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6975" tabRatio="895" firstSheet="2" activeTab="5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" sheetId="7" r:id="rId7"/>
    <sheet name="8.felhki" sheetId="8" r:id="rId8"/>
    <sheet name="9.tart" sheetId="9" r:id="rId9"/>
    <sheet name="10. Stab.tv.saját bev" sheetId="10" r:id="rId10"/>
    <sheet name="11.normatívák" sheetId="11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létszám'!$6:$6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bev'!$A$1:$I$15</definedName>
    <definedName name="_xlnm.Print_Area" localSheetId="10">'11.normatívák'!$A$1:$L$53</definedName>
    <definedName name="_xlnm.Print_Area" localSheetId="1">'2. kiadások'!$A$1:$I$154</definedName>
    <definedName name="_xlnm.Print_Area" localSheetId="3">'4.önkorm.szakf. '!$D$1:$AB$55</definedName>
    <definedName name="_xlnm.Print_Area" localSheetId="4">'5. kiadások megbontása'!$A$1:$M$79</definedName>
    <definedName name="_xlnm.Print_Area" localSheetId="5">'6. források sz. bontás'!$A$1:$AC$62</definedName>
    <definedName name="_xlnm.Print_Area" localSheetId="6">'7. létszám'!$A$1:$M$70</definedName>
    <definedName name="_xlnm.Print_Area" localSheetId="7">'8.felhki'!$A$1:$D$75</definedName>
    <definedName name="_xlnm.Print_Area" localSheetId="8">'9.tart'!$A$1:$D$76</definedName>
  </definedNames>
  <calcPr fullCalcOnLoad="1"/>
</workbook>
</file>

<file path=xl/sharedStrings.xml><?xml version="1.0" encoding="utf-8"?>
<sst xmlns="http://schemas.openxmlformats.org/spreadsheetml/2006/main" count="1828" uniqueCount="1191">
  <si>
    <t>Rovatok megnevezése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</si>
  <si>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</si>
  <si>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</si>
  <si>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</si>
  <si>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</si>
  <si>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</si>
  <si>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</si>
  <si>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</si>
  <si>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</si>
  <si>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</si>
  <si>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</si>
  <si>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</si>
  <si>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</si>
  <si>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</si>
  <si>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</si>
  <si>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</si>
  <si>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</si>
  <si>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</si>
  <si>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</si>
  <si>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</si>
  <si>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</si>
  <si>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</si>
  <si>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</si>
  <si>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</si>
  <si>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</si>
  <si>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</si>
  <si>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</si>
  <si>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</si>
  <si>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</si>
  <si>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</si>
  <si>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</si>
  <si>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</si>
  <si>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</si>
  <si>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</si>
  <si>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</si>
  <si>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</si>
  <si>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</si>
  <si>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</si>
  <si>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</si>
  <si>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</si>
  <si>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</si>
  <si>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</si>
  <si>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</si>
  <si>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</si>
  <si>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</si>
  <si>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</si>
  <si>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</si>
  <si>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</si>
  <si>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</si>
  <si>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</si>
  <si>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</si>
  <si>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</si>
  <si>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</si>
  <si>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</si>
  <si>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</si>
  <si>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</si>
  <si>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</si>
  <si>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</si>
  <si>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</si>
  <si>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</si>
  <si>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</si>
  <si>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</si>
  <si>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</si>
  <si>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</si>
  <si>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</si>
  <si>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</si>
  <si>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</si>
  <si>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</si>
  <si>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</si>
  <si>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</si>
  <si>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</si>
  <si>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</si>
  <si>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</si>
  <si>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</si>
  <si>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</si>
  <si>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</si>
  <si>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</si>
  <si>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</si>
  <si>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</si>
  <si>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</si>
  <si>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</si>
  <si>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</si>
  <si>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</si>
  <si>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</si>
  <si>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</si>
  <si>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</si>
  <si>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</si>
  <si>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</si>
  <si>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</si>
  <si>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</si>
  <si>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</si>
  <si>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</si>
  <si>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</si>
  <si>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</si>
  <si>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</si>
  <si>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</si>
  <si>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</si>
  <si>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</si>
  <si>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</si>
  <si>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</si>
  <si>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</si>
  <si>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</si>
  <si>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</si>
  <si>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</si>
  <si>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</si>
  <si>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</si>
  <si>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</si>
  <si>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</si>
  <si>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</si>
  <si>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</si>
  <si>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</si>
  <si>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</si>
  <si>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</si>
  <si>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</si>
  <si>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</si>
  <si>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</si>
  <si>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</si>
  <si>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</si>
  <si>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</si>
  <si>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</si>
  <si>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</si>
  <si>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</si>
  <si>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</si>
  <si>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</si>
  <si>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</si>
  <si>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</si>
  <si>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</si>
  <si>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</si>
  <si>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</si>
  <si>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</si>
  <si>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</si>
  <si>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</si>
  <si>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</si>
  <si>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</si>
  <si>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</si>
  <si>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</si>
  <si>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</si>
  <si>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</si>
  <si>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</si>
  <si>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</si>
  <si>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</si>
  <si>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</si>
  <si>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</si>
  <si>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</si>
  <si>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</si>
  <si>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</si>
  <si>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</si>
  <si>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</si>
  <si>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</si>
  <si>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</si>
  <si>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</si>
  <si>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</si>
  <si>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</si>
  <si>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</si>
  <si>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</si>
  <si>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</si>
  <si>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</si>
  <si>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</si>
  <si>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</si>
  <si>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</si>
  <si>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</si>
  <si>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</si>
  <si>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</si>
  <si>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</si>
  <si>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</si>
  <si>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</si>
  <si>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</si>
  <si>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</si>
  <si>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</si>
  <si>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</si>
  <si>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</si>
  <si>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</si>
  <si>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</si>
  <si>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</si>
  <si>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</si>
  <si>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</si>
  <si>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</si>
  <si>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</si>
  <si>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</si>
  <si>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</si>
  <si>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</si>
  <si>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</si>
  <si>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</si>
  <si>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</si>
  <si>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</si>
  <si>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</si>
  <si>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</si>
  <si>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</si>
  <si>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</si>
  <si>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</si>
  <si>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</si>
  <si>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</si>
  <si>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</si>
  <si>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</si>
  <si>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</si>
  <si>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</si>
  <si>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</si>
  <si>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</si>
  <si>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</si>
  <si>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</si>
  <si>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</si>
  <si>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</si>
  <si>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</si>
  <si>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</si>
  <si>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</si>
  <si>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</si>
  <si>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</si>
  <si>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</si>
  <si>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</si>
  <si>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</si>
  <si>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</si>
  <si>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</si>
  <si>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</si>
  <si>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</si>
  <si>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</si>
  <si>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</si>
  <si>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</si>
  <si>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</si>
  <si>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</si>
  <si>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</si>
  <si>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</si>
  <si>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</si>
  <si>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</si>
  <si>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Gyermekétkeztetés tám. - fin. szempontjából elismert dolgozók bértámogatása (óvoda)</t>
  </si>
  <si>
    <t>Kieg. RGYVK címén kifizetett összeg és kapcsolódó pótlék megtérítése</t>
  </si>
  <si>
    <t>RGYVK-hoz kapcs. természetb. j. (Erzsébet utalvány) megtérítése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</si>
  <si>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</si>
  <si>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</si>
  <si>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</si>
  <si>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</si>
  <si>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</si>
  <si>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</si>
  <si>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</si>
  <si>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</si>
  <si>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</si>
  <si>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</si>
  <si>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</si>
  <si>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</si>
  <si>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</si>
  <si>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</si>
  <si>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</si>
  <si>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</si>
  <si>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</si>
  <si>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</si>
  <si>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</si>
  <si>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</si>
  <si>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</si>
  <si>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</si>
  <si>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</si>
  <si>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</si>
  <si>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</si>
  <si>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</si>
  <si>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</si>
  <si>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</si>
  <si>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</si>
  <si>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</si>
  <si>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</si>
  <si>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</si>
  <si>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</si>
  <si>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</si>
  <si>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</si>
  <si>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</si>
  <si>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</si>
  <si>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</si>
  <si>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</si>
  <si>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</si>
  <si>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</si>
  <si>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</si>
  <si>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</si>
  <si>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</si>
  <si>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</si>
  <si>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</si>
  <si>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</si>
  <si>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</si>
  <si>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</si>
  <si>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</si>
  <si>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</si>
  <si>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</si>
  <si>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</si>
  <si>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</si>
  <si>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</si>
  <si>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</si>
  <si>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</si>
  <si>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</si>
  <si>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</si>
  <si>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</si>
  <si>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</si>
  <si>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</si>
  <si>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</si>
  <si>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</si>
  <si>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</si>
  <si>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</si>
  <si>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</si>
  <si>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</si>
  <si>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</si>
  <si>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</si>
  <si>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</si>
  <si>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</si>
  <si>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</si>
  <si>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</si>
  <si>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</si>
  <si>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</si>
  <si>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</si>
  <si>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</si>
  <si>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</si>
  <si>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</si>
  <si>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</si>
  <si>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</si>
  <si>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</si>
  <si>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</si>
  <si>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</si>
  <si>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</si>
  <si>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</si>
  <si>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</si>
  <si>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</si>
  <si>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</si>
  <si>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</si>
  <si>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</si>
  <si>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</si>
  <si>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</si>
  <si>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</si>
  <si>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</si>
  <si>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</si>
  <si>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</si>
  <si>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</si>
  <si>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</si>
  <si>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</si>
  <si>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</si>
  <si>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</si>
  <si>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</si>
  <si>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</si>
  <si>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</si>
  <si>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</si>
  <si>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</si>
  <si>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</si>
  <si>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</si>
  <si>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</si>
  <si>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</si>
  <si>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</si>
  <si>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</si>
  <si>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</si>
  <si>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</si>
  <si>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</si>
  <si>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</si>
  <si>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</si>
  <si>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</si>
  <si>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</si>
  <si>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</si>
  <si>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</si>
  <si>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</si>
  <si>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</si>
  <si>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</si>
  <si>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</si>
  <si>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</si>
  <si>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</si>
  <si>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</si>
  <si>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</si>
  <si>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</si>
  <si>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</si>
  <si>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</si>
  <si>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</si>
  <si>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</si>
  <si>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</si>
  <si>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</si>
  <si>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</si>
  <si>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</si>
  <si>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</si>
  <si>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</si>
  <si>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</si>
  <si>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</si>
  <si>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</si>
  <si>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</si>
  <si>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</si>
  <si>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</si>
  <si>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</si>
  <si>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</si>
  <si>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</si>
  <si>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</si>
  <si>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</si>
  <si>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</si>
  <si>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</si>
  <si>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</si>
  <si>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</si>
  <si>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</si>
  <si>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</si>
  <si>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</si>
  <si>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</si>
  <si>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</si>
  <si>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</si>
  <si>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</si>
  <si>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</si>
  <si>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</si>
  <si>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</si>
  <si>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</si>
  <si>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</si>
  <si>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</si>
  <si>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</si>
  <si>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</si>
  <si>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</si>
  <si>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</si>
  <si>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</si>
  <si>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</si>
  <si>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</si>
  <si>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</si>
  <si>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</si>
  <si>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</si>
  <si>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</si>
  <si>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</si>
  <si>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</si>
  <si>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</si>
  <si>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</si>
  <si>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</si>
  <si>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</si>
  <si>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</si>
  <si>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</si>
  <si>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</si>
  <si>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</si>
  <si>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</si>
  <si>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</si>
  <si>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</si>
  <si>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</si>
  <si>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</si>
  <si>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</si>
  <si>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</si>
  <si>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</si>
  <si>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</si>
  <si>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</si>
  <si>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</si>
  <si>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</si>
  <si>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</si>
  <si>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</si>
  <si>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</si>
  <si>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</si>
  <si>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</si>
  <si>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</si>
  <si>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</si>
  <si>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</si>
  <si>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</si>
  <si>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</si>
  <si>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</si>
  <si>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</si>
  <si>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</si>
  <si>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</si>
  <si>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</si>
  <si>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</si>
  <si>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</si>
  <si>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</si>
  <si>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</si>
  <si>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</si>
  <si>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</si>
  <si>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</si>
  <si>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</si>
  <si>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</si>
  <si>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</si>
  <si>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</si>
  <si>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</si>
  <si>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</si>
  <si>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</si>
  <si>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</si>
  <si>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</si>
  <si>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</si>
  <si>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</si>
  <si>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</si>
  <si>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</si>
  <si>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</si>
  <si>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</si>
  <si>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</si>
  <si>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</si>
  <si>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</si>
  <si>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</si>
  <si>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</si>
  <si>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</si>
  <si>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</si>
  <si>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</si>
  <si>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</si>
  <si>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</si>
  <si>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</si>
  <si>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</si>
  <si>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</si>
  <si>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</si>
  <si>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</si>
  <si>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</si>
  <si>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</si>
  <si>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</si>
  <si>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</si>
  <si>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</si>
  <si>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</si>
  <si>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</si>
  <si>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</si>
  <si>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</si>
  <si>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</si>
  <si>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</si>
  <si>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</si>
  <si>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</si>
  <si>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</si>
  <si>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</si>
  <si>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</si>
  <si>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</si>
  <si>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</si>
  <si>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</si>
  <si>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</si>
  <si>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</si>
  <si>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</si>
  <si>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</si>
  <si>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</si>
  <si>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</si>
  <si>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</si>
  <si>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</si>
  <si>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</si>
  <si>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</si>
  <si>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</si>
  <si>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</si>
  <si>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</si>
  <si>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</si>
  <si>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</si>
  <si>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</si>
  <si>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</si>
  <si>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</si>
  <si>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</si>
  <si>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</si>
  <si>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</si>
  <si>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</si>
  <si>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</si>
  <si>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</si>
  <si>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</si>
  <si>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</si>
  <si>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</si>
  <si>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</si>
  <si>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</si>
  <si>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</si>
  <si>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</si>
  <si>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</si>
  <si>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</si>
  <si>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Munka-adót terh. jár.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</si>
  <si>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</si>
  <si>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</si>
  <si>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</si>
  <si>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</si>
  <si>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</si>
  <si>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</si>
  <si>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</si>
  <si>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</si>
  <si>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</si>
  <si>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</si>
  <si>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</si>
  <si>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</si>
  <si>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</si>
  <si>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</si>
  <si>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</si>
  <si>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</si>
  <si>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</si>
  <si>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</si>
  <si>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</si>
  <si>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</si>
  <si>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</si>
  <si>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</si>
  <si>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</si>
  <si>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</si>
  <si>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</si>
  <si>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</si>
  <si>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</si>
  <si>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</si>
  <si>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</si>
  <si>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</si>
  <si>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</si>
  <si>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</si>
  <si>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</si>
  <si>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</si>
  <si>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</si>
  <si>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</si>
  <si>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</si>
  <si>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</si>
  <si>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</si>
  <si>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</si>
  <si>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</si>
  <si>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</si>
  <si>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</si>
  <si>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</si>
  <si>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</si>
  <si>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</si>
  <si>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</si>
  <si>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</si>
  <si>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</si>
  <si>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</si>
  <si>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</si>
  <si>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</si>
  <si>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</si>
  <si>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</si>
  <si>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</si>
  <si>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</si>
  <si>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</si>
  <si>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</si>
  <si>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</si>
  <si>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</si>
  <si>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</si>
  <si>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</si>
  <si>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</si>
  <si>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</si>
  <si>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</si>
  <si>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</si>
  <si>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</si>
  <si>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</si>
  <si>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</si>
  <si>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</si>
  <si>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</si>
  <si>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</si>
  <si>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</si>
  <si>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</si>
  <si>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</si>
  <si>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</si>
  <si>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</si>
  <si>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</si>
  <si>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</si>
  <si>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</si>
  <si>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</si>
  <si>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</si>
  <si>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</si>
  <si>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</si>
  <si>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</si>
  <si>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</si>
  <si>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</si>
  <si>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</si>
  <si>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</si>
  <si>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</si>
  <si>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</si>
  <si>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</si>
  <si>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</si>
  <si>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</si>
  <si>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</si>
  <si>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</si>
  <si>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</si>
  <si>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</si>
  <si>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</si>
  <si>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</si>
  <si>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</si>
  <si>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</si>
  <si>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</si>
  <si>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</si>
  <si>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</si>
  <si>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</si>
  <si>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</si>
  <si>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</si>
  <si>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</si>
  <si>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</si>
  <si>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</si>
  <si>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</si>
  <si>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</si>
  <si>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</si>
  <si>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</si>
  <si>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</si>
  <si>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</si>
  <si>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</si>
  <si>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</si>
  <si>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</si>
  <si>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</si>
  <si>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</si>
  <si>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</si>
  <si>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</si>
  <si>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</si>
  <si>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</si>
  <si>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</si>
  <si>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</si>
  <si>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</si>
  <si>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</si>
  <si>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</si>
  <si>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</si>
  <si>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</si>
  <si>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</si>
  <si>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</si>
  <si>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</si>
  <si>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</si>
  <si>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</si>
  <si>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</si>
  <si>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</si>
  <si>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</si>
  <si>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</si>
  <si>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</si>
  <si>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</si>
  <si>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</si>
  <si>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</si>
  <si>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</si>
  <si>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</si>
  <si>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</si>
  <si>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</si>
  <si>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</si>
  <si>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</si>
  <si>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</si>
  <si>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</si>
  <si>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</si>
  <si>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</si>
  <si>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Mötv. 13.§(1) 19.</t>
  </si>
  <si>
    <t>Mötv. 13.§(1) 2.</t>
  </si>
  <si>
    <t>Mötv. 13.§(1) 9.</t>
  </si>
  <si>
    <t>Mötv. 13.§(1) 13.</t>
  </si>
  <si>
    <t>Mötv. 13.§(1) 11.</t>
  </si>
  <si>
    <t>23</t>
  </si>
  <si>
    <t>24</t>
  </si>
  <si>
    <t>25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</si>
  <si>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</si>
  <si>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</si>
  <si>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</si>
  <si>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</si>
  <si>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</si>
  <si>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</si>
  <si>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</si>
  <si>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</si>
  <si>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</si>
  <si>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</si>
  <si>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</si>
  <si>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Mötv. 13.§(1) 7., Közműv. tv. 64.§(1)</t>
  </si>
  <si>
    <t>Mötv. 13.§(1) 7., Közműv. tv. 73.§(2)</t>
  </si>
  <si>
    <t>Mötv. 13.§(1) 15.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</si>
  <si>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</si>
  <si>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</si>
  <si>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</si>
  <si>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</si>
  <si>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</si>
  <si>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</si>
  <si>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</si>
  <si>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</si>
  <si>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</si>
  <si>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</si>
  <si>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</si>
  <si>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</si>
  <si>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</si>
  <si>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</si>
  <si>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</si>
  <si>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</si>
  <si>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</si>
  <si>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</si>
  <si>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</si>
  <si>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</si>
  <si>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</si>
  <si>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</si>
  <si>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</si>
  <si>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</si>
  <si>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Ügyeleti ellátáshoz OEP-finanszírozás</t>
  </si>
  <si>
    <t>Étkeztetési, szállítási tevék. bevétele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</si>
  <si>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</si>
  <si>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</si>
  <si>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</si>
  <si>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Köztemetés kiadásának megtérítése</t>
  </si>
  <si>
    <t>Állami feladatok kiadása</t>
  </si>
  <si>
    <t>Tűzoltóság BM támogatása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</si>
  <si>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</si>
  <si>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</si>
  <si>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</si>
  <si>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</si>
  <si>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Kamatbevételek</t>
  </si>
  <si>
    <t>Hadigondozotti ellátás állami támogatása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</si>
  <si>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</si>
  <si>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</si>
  <si>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</si>
  <si>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</si>
  <si>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</si>
  <si>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</si>
  <si>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</si>
  <si>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</si>
  <si>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</si>
  <si>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</si>
  <si>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</si>
  <si>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</si>
  <si>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</si>
  <si>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</si>
  <si>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</si>
  <si>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</si>
  <si>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</si>
  <si>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</si>
  <si>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</si>
  <si>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</si>
  <si>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</si>
  <si>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</si>
  <si>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</si>
  <si>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</si>
  <si>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</si>
  <si>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</si>
  <si>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</si>
  <si>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K1103</t>
  </si>
  <si>
    <t xml:space="preserve"> Céljuttatás, projektprémium</t>
  </si>
  <si>
    <t>Műk. c. visszatérítendő támogatások, kölcsönök nyújtása államháztartáson kívülre g, egyéb vállalkoz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</si>
  <si>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</si>
  <si>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</si>
  <si>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</si>
  <si>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</si>
  <si>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</si>
  <si>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</si>
  <si>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</si>
  <si>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</si>
  <si>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Üdülői szálláshely-szolgáltatás és étkeztetés</t>
  </si>
  <si>
    <t>Könyvtári állomány gyarapítása, nyilvántartása</t>
  </si>
  <si>
    <t>Közművelődés- hagyományos közösségi kulturális értékek gondozása</t>
  </si>
  <si>
    <t>Időskorúak, demens betegek tartós bentlakásos ellátása</t>
  </si>
  <si>
    <t>Egyéb szociális pénzbeli ellátások, támogatások</t>
  </si>
  <si>
    <t>Eü Közp. kölcs. vfiz. -fejl. tartalék</t>
  </si>
  <si>
    <t>Nyitnikék Gyerekház</t>
  </si>
  <si>
    <t>Fejlesztési c. tartalék - Eü-i Közp. kölcsön visszafiz.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</si>
  <si>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</si>
  <si>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</si>
  <si>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</si>
  <si>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</si>
  <si>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Nyitnikék Gyerekház fejezeti támogatása</t>
  </si>
  <si>
    <t>Rövid időtartamú közfoglalkoztatás támogatása</t>
  </si>
  <si>
    <t>Ingatlan értékesítés áfa-ja</t>
  </si>
  <si>
    <t>Terményértékesítés (búza, kukorica stb.)</t>
  </si>
  <si>
    <t>Fejlesztési c. céltartalék - Egészségügyi Központ kölcsön visszafizetéséből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</si>
  <si>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</si>
  <si>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</si>
  <si>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</si>
  <si>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</si>
  <si>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</si>
  <si>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</si>
  <si>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</si>
  <si>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</si>
  <si>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</si>
  <si>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</si>
  <si>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</si>
  <si>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</si>
  <si>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</si>
  <si>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</si>
  <si>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</si>
  <si>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</si>
  <si>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</si>
  <si>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</si>
  <si>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</si>
  <si>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</si>
  <si>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</si>
  <si>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</si>
  <si>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</si>
  <si>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</si>
  <si>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</si>
  <si>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</si>
  <si>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</si>
  <si>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</si>
  <si>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</si>
  <si>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</si>
  <si>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</si>
  <si>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</si>
  <si>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</si>
  <si>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</si>
  <si>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</si>
  <si>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</si>
  <si>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</si>
  <si>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</si>
  <si>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</si>
  <si>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</si>
  <si>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</si>
  <si>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</si>
  <si>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</si>
  <si>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</si>
  <si>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</si>
  <si>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</si>
  <si>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</si>
  <si>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</si>
  <si>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</si>
  <si>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</si>
  <si>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</si>
  <si>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Jánoshalma Városi Önkormányzat és költségvetési szervei 2016. évi költségvetésének bevételi előirányzatai</t>
  </si>
  <si>
    <t>Jánoshalma Városi Önkormányzat és költségvetési szervei 2016. évi költségvetésének kiadási előirányzatai</t>
  </si>
  <si>
    <t>Jánoshalma Város Önkormányzat 2016. évi költségvetése működési és felhalmozási célú bontásban</t>
  </si>
  <si>
    <t>Jánoshalma Városi Önkormányzat  2016. évi költségvetési kiadásai feladatonként</t>
  </si>
  <si>
    <t>Család- és Gyermekjóléti Központ</t>
  </si>
  <si>
    <t>Gyermeklánc Óvoda és Egységes Óvoda-Bölcsőde, Család- és Gyermekjóléti Központ összesen:</t>
  </si>
  <si>
    <t>Jh. Városi Önkormányzat összesen:</t>
  </si>
  <si>
    <t>Jánoshalma Városi Önkormányzata</t>
  </si>
  <si>
    <t>Jánoshalma Városi Önkormányzat  és költségvetési szerveinek 2016. évi költségvetési bevételei és  kiadásai kötelező-, önként vállalt-, és állami (államigazgatási) feladatok szerinti bontásban</t>
  </si>
  <si>
    <t>2016. évi felhalmozási kiadások feladatonként, felújítási kiadások célonként</t>
  </si>
  <si>
    <t xml:space="preserve">Céltartalék - viziközművek 2016. évi bérleti díj bevételéből (szerződés szerint viziközművek fejlesztésére fordítandó a szolgáltatóval történő egyeztetés alapján) </t>
  </si>
  <si>
    <t>Védőnők 2016. évi OEP-finanszírozásának maradványa</t>
  </si>
  <si>
    <t>Környezetvédelmi alap képzése a 2016. évre tervezett talajterhelési díj bevételből</t>
  </si>
  <si>
    <t>Jánoshalma Városi Önkormányzat 2016. évi költségvetésében tervezett központi költségvetési támogatások</t>
  </si>
  <si>
    <t>a Magyarország 2016. évi központi költségvetéséről szóló 2015. évi C. törvény 2. sz. mellékletének jogcímei szerint</t>
  </si>
  <si>
    <t>A 2015. évről áthúzódó bérkompenzáció támogatása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</si>
  <si>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</si>
  <si>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</si>
  <si>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</si>
  <si>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</si>
  <si>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</si>
  <si>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</si>
  <si>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</si>
  <si>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</si>
  <si>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</si>
  <si>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</si>
  <si>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</si>
  <si>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</si>
  <si>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</si>
  <si>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</si>
  <si>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</si>
  <si>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</si>
  <si>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Befektetett pü-i eszk-ből származó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</si>
  <si>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</si>
  <si>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</si>
  <si>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</si>
  <si>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</si>
  <si>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</si>
  <si>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</si>
  <si>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</si>
  <si>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</si>
  <si>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kiotói egységek és kibocsátási egységek elad-ból befolyt eladási ár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</si>
  <si>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</si>
  <si>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</si>
  <si>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</si>
  <si>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</si>
  <si>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</si>
  <si>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Céltartalék - Védőnők 2015. évi OEP fin. maradv.</t>
  </si>
  <si>
    <t>Nyugdíjazások évközi kiadásaira</t>
  </si>
  <si>
    <t>Pedagógus II. kategória - (teljes összeg, minősítés megszerzése 2014.12.31.-ig)</t>
  </si>
  <si>
    <t xml:space="preserve">II.5 a (1) </t>
  </si>
  <si>
    <t xml:space="preserve">II.5 b (1) </t>
  </si>
  <si>
    <t>Pedagógus II. kategória - (11 havi összeg, minősítést 2015. évben szerezték meg)</t>
  </si>
  <si>
    <t xml:space="preserve">II.5 a (2) </t>
  </si>
  <si>
    <t>Borpince u. 32. vízbekötés</t>
  </si>
  <si>
    <t>Önkormányzati bérlakások felújítása</t>
  </si>
  <si>
    <t>Általános Iskola labdafogó háló beszerzés</t>
  </si>
  <si>
    <t>Téglagyár utcai csapadék és belvíz elvezető kialakítása</t>
  </si>
  <si>
    <t>Jánoshalmi Művésztelep működtetéséhez eszközbeszerzések (gázpalack, gázégő, bogrács, három láb, edények, konyhai eszközök, székek, törölközők, ágyneműk, plédek)</t>
  </si>
  <si>
    <t>Pedagógiai Szakszolgálat részére wifi router, egyéb informatikai eszközök és kis értékű eszközök beszerzése</t>
  </si>
  <si>
    <t>Tárgyi eszköz beszerzések (porszívó, számítástechnikai eszközök, távmérő, létra-fellépő, telefonkészülék, telefon alközpont)</t>
  </si>
  <si>
    <t>Gyermeklánc Óvoda és Egységes Óvoda- Bölcsőde, Család- és Gyermekjóléti Központ</t>
  </si>
  <si>
    <t>Gyermeklánc Óvoda és Egységes Óvoda- Bölcsőde, Család- és Gyermekjóléti Központ  összesen:</t>
  </si>
  <si>
    <t>Ügyeleti szolgálatnál várható nyugdíjazások évközi kiadásaira (felmentési illetmény és közterhei)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</si>
  <si>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</si>
  <si>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</si>
  <si>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</si>
  <si>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</si>
  <si>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104043</t>
  </si>
  <si>
    <t>Család és gyerekjóléti központ</t>
  </si>
  <si>
    <t>104044</t>
  </si>
  <si>
    <t>Biztos Kezdet Gyerekház</t>
  </si>
  <si>
    <t>Vállalk. tev. - Növénytermesztés és kapcsolódó szolgáltatások</t>
  </si>
  <si>
    <t>Művészeti tevékenységek -Jánoshalmi Művésztelep működtetése</t>
  </si>
  <si>
    <t>Védőnők 2016.évi OEP tart.</t>
  </si>
  <si>
    <t>Ügyelet -nyugdíjazások évközi kiad.-ra tart.</t>
  </si>
  <si>
    <t>Q</t>
  </si>
  <si>
    <t>Művészeti tevékenységek - Jánoshalmi Művésztelep működtetése</t>
  </si>
  <si>
    <t>Család és gyermekjóléti központ</t>
  </si>
  <si>
    <t xml:space="preserve">Egyéb szoc. pénzbeli ellátások, támogatások </t>
  </si>
  <si>
    <t xml:space="preserve">Mötv. 13.§(1) 4.,  Eü tv. 5.§ (1)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</si>
  <si>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</si>
  <si>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</si>
  <si>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</si>
  <si>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Mötv. 13.§(1) 19. 5.</t>
  </si>
  <si>
    <t xml:space="preserve">Mötv. 13.§(1) 8a, Szoc. tv.  45.§, . 48.§ </t>
  </si>
  <si>
    <t>Mötv. 13.§(1)6.  9.</t>
  </si>
  <si>
    <t>Szoc.tv. 38.§ (1)</t>
  </si>
  <si>
    <t>Gyvt. 40/A. §</t>
  </si>
  <si>
    <t>Gyvt. 21/A.§ (3) a,</t>
  </si>
  <si>
    <t>Gyvt. 21.§ (1) b</t>
  </si>
  <si>
    <t xml:space="preserve">Gyvt. tv. 14.§ (3), 18.§ (1a), 20/A.§,20/B.§, </t>
  </si>
  <si>
    <t>Óvodapedagógusok és a munkájukat közvetlen segítők bértámogatása</t>
  </si>
  <si>
    <t>Család- és gyermekjóléti szolgálat, Család- és gyermekjóléti központ</t>
  </si>
  <si>
    <t>A rászoruló gyermekek intézményen kívüli szünidei étkeztetésének támogatása</t>
  </si>
  <si>
    <t>Tűzoltóság települési támogatása</t>
  </si>
  <si>
    <t>Szennyvíz beruházás EU-s és hazai támogatás</t>
  </si>
  <si>
    <t>Ügyeleti szolgáltatások ellenértéke (pl. vérvétel)</t>
  </si>
  <si>
    <t>Építményüzemeltetés bevétele</t>
  </si>
  <si>
    <t>Panda vírusirtó beszerzése 10 db - Óvodai nevelés (Jh-i óvodák)</t>
  </si>
  <si>
    <t>Panda vírusirtó beszerzése 2 db - Nyitnikék Gyerekház</t>
  </si>
  <si>
    <t>Panda vírusirtó beszerzése 8 db - Család- és Gyermekjóléti Központ</t>
  </si>
  <si>
    <t>Fénymásoló beszerzése  - Család- és Gyermekjóléti Központ</t>
  </si>
  <si>
    <t>Szt. Anna Kat. Iskola hozzájárulása a műfüves labdarúgó pálya önrészéhez</t>
  </si>
  <si>
    <t>Műfüves labdarúgópálya kialakítása (Radnóti u. 13. sz. alatt) - pályázati önerő</t>
  </si>
  <si>
    <t>Projektor + vászon beszerzése (2015. évi közművelődési érdekeltségnövelő támogatás és a 13/2015.(I.29) Kt. határozattal biztosított önerő felhasználása)</t>
  </si>
  <si>
    <t xml:space="preserve">Batthyány u. és Radnóti u.-i óvodákba mozgásérzékelő lámpák beszerzése </t>
  </si>
  <si>
    <t>Egyéb eszközbeszerzés  - Család- és Gyermekjóléti Központ</t>
  </si>
  <si>
    <t>Petőfi utcai óvoda - kémény bélelése</t>
  </si>
  <si>
    <t>adatok Ft-ban</t>
  </si>
  <si>
    <t>Jánoshalma Városi Önkormányzat és költségvetési szerveinek 2016. évi költségvetési kiadásai kötelező-, önként vállalt-, és állami (államigazgatási) feladatok szerinti bontásban (Ft)</t>
  </si>
  <si>
    <t xml:space="preserve"> Ft-ban</t>
  </si>
  <si>
    <t>Ft-ban</t>
  </si>
  <si>
    <t>magánfőzött párlat adója</t>
  </si>
  <si>
    <t>Alaptev. maradványából képzett tartalék</t>
  </si>
  <si>
    <t>Vállalkozási tevékenység maradványából képz. tartalék</t>
  </si>
  <si>
    <t>Víztermelés, -kezelés, -ellátás</t>
  </si>
  <si>
    <t>063020</t>
  </si>
  <si>
    <t>Vállalk. tev. maradványából képzett tartalék</t>
  </si>
  <si>
    <t>102023</t>
  </si>
  <si>
    <t>Központi kv-i befizetések</t>
  </si>
  <si>
    <t>018020</t>
  </si>
  <si>
    <t>018010</t>
  </si>
  <si>
    <t>Önk-ok elszámolásai a közp-i kv-sel</t>
  </si>
  <si>
    <t>Önk-ok előző évi elszám-ból sz. kiadásai</t>
  </si>
  <si>
    <t>Gyermekek, fiatalok és családok életminőségét javító programok</t>
  </si>
  <si>
    <t>3.8. Kamatbevételek</t>
  </si>
  <si>
    <t>3.9. Biztosító által fizetett kártérítés</t>
  </si>
  <si>
    <t>3.10. Egyéb működési bevételek</t>
  </si>
  <si>
    <t>5.4. Egyéb elvonások, befizetések</t>
  </si>
  <si>
    <t>5.5. Tartalékok</t>
  </si>
  <si>
    <t>1.4. Elvonások és befizetések bevételei</t>
  </si>
  <si>
    <t>III/a, Előző évek költségvetési maradványának igénybevétele</t>
  </si>
  <si>
    <t>III/b, Előző évek vállalkozási maradványának igénybevétele</t>
  </si>
  <si>
    <t>IV.Belföldi értékpapírok bevételei</t>
  </si>
  <si>
    <t>IV. Értékpapírok vásárlásának kiadása</t>
  </si>
  <si>
    <t>V. Hitel-, kölcsönfelvétel államháztartáson kívülről</t>
  </si>
  <si>
    <t>V. Hitelek törlesztése és kötvénykibocsátás kiadásai</t>
  </si>
  <si>
    <t>VI. Államháztartáson belüli megelőlegezések</t>
  </si>
  <si>
    <t>VI. Államháztartáson belüli megelőlegezések visszafizetése</t>
  </si>
  <si>
    <t>Mötv. 13.§(1) 11. 21.</t>
  </si>
  <si>
    <t>Áht. 2011.évi CXCV. tv. 53.§</t>
  </si>
  <si>
    <t>39</t>
  </si>
  <si>
    <t>40</t>
  </si>
  <si>
    <t>41</t>
  </si>
  <si>
    <t>42</t>
  </si>
  <si>
    <t>A köznev. int.-ek működtetéséhez kapcs. tám.</t>
  </si>
  <si>
    <t>2015. évi szabad maradvány elvonása</t>
  </si>
  <si>
    <t>Műk. c. kv-i és váll. maradv. igénybev.</t>
  </si>
  <si>
    <t>Felh. c. maradv. igénybevétel</t>
  </si>
  <si>
    <t>2015. december havi bérkompenzáció</t>
  </si>
  <si>
    <t>2016. évi bérkompenzáció</t>
  </si>
  <si>
    <t>Szoc. ágazati pótlék és szoc. kieg. ág-i pótl.</t>
  </si>
  <si>
    <t>I. világháborús emlékmű felújításának tám.</t>
  </si>
  <si>
    <t>"Roma lányok .." pályázati támogatás</t>
  </si>
  <si>
    <t>Kv-i maradvány igénybevétel 2015. évi</t>
  </si>
  <si>
    <t>I. világháború emlékeit őrző emlékművek rendbetétele, renoválása, helyreállítása</t>
  </si>
  <si>
    <t>Diákélelmezési konyha tárgyi eszköz beszerzései (zsúrkocsi, rozsdamentes fazekak fedővel, kosarak mosogatógéphez, robotgép, felmosó kocsi, gyerekétk. nyilvántartásához számítógép vásárlás)</t>
  </si>
  <si>
    <t>Család- és nővédelmi eü. gondozás - tárgyi eszköz beszerzései (hűtő, vércukormérő, fonendoszkópok, vérnyomásmérők, kisértékű eszközök az új védőnői szűrésekhez, új szakmai feladatok informatikai és egyéb tárgyi eszk.)</t>
  </si>
  <si>
    <t xml:space="preserve">Céltartalék - viziközművek előző évek és 2016. évi bérleti díj bevételéből (szerződés szerint viziközművek fejlesztésére fordítandó a szolgáltatóval történő egyeztetés alapján) </t>
  </si>
  <si>
    <t>73/2016. (IV.21.) Kt. hat. Diákélelmezési konyha - önkormányzati étkeztetési fejlesztések  (pályázat)</t>
  </si>
  <si>
    <t>64/2016. (IV.21.) Kt. hat. Tűzoltóság tetőszigetelési munkái</t>
  </si>
  <si>
    <t xml:space="preserve">51/2016.(III.24.) Kt. hat. Művésztelep energetikai fejlesztése, többfunkciós közösségi terek fejlesztése (pályázat) </t>
  </si>
  <si>
    <t>35/2016. (III.24.) Kt. hat. Gazdakör székház felújítás támogatása</t>
  </si>
  <si>
    <t xml:space="preserve">51/2016. (III.24.) Kt. hat. Művésztelep - településképet meghatározó épület rekonstrukciója pályázat - tervezési munkálataira </t>
  </si>
  <si>
    <t>58/2016.(III.24.) Kt. hat. Jánoshalmi Kistérségi Egészségügyi Központ Kft. tagi kölcsön - határidő módosítás miatt</t>
  </si>
  <si>
    <t xml:space="preserve">Céltartalék - Jánoshalmi Kistérségi Egészségügyi Központ Kft tagi kölcsön visszafizetéséből </t>
  </si>
  <si>
    <t>59/2016. (III.24.) Kt. hat. Jánoshalma- Mélykút Ivóvízmin. -jav. Társulás támogatása</t>
  </si>
  <si>
    <t>74/2016. (IV.21.) Kt. hat. Jánoshalmi Napok NKA pályázat nevezési díj + Áfa</t>
  </si>
  <si>
    <t>Alaptevékenység maradványából képzett tartalék</t>
  </si>
  <si>
    <t>2015. évi költségvetési maradványból tartalék képzés</t>
  </si>
  <si>
    <t>Maradvány terhelő kötelezettségek</t>
  </si>
  <si>
    <t>Környezetvédelmi alap (Előző évek maradványa)</t>
  </si>
  <si>
    <t>Védőnők OEP-finanszírozásának maradványa 2015. évről és előző évekről</t>
  </si>
  <si>
    <t xml:space="preserve">Céltartalék - viziközművek bérleti díj bevétel maradványa előző évekről </t>
  </si>
  <si>
    <t>Önkormányzati intézmények elvont 2015. évi szabad kv-i maradványának tartalékba helyezése</t>
  </si>
  <si>
    <t>Vállalkozási tevékenység maradványából képzett tartalék</t>
  </si>
  <si>
    <t>2015. évi vállalkozási tevékenység maradványából tartalék képzés</t>
  </si>
  <si>
    <t>A 2014. évi állami támogatások elszámolásának felülvizsgálata alapján visszafizetendő összeg</t>
  </si>
  <si>
    <t>Az I. világháború emlékeit őrző emlékművek rendbetétele, renoválása, helyreállítása KKETTKK-CP-02 pályázat - önerő</t>
  </si>
  <si>
    <t>Szociális ágazati pótlék 2016. évre tervezett összege</t>
  </si>
  <si>
    <t>Szoc., gyermekjóléti és gyermekvéd. kiegészítő ágazati pótlékhoz nyújtott támogatás 2016. évre tervezett összege</t>
  </si>
  <si>
    <t>Ügyeleti szolgálatnál nyugdíjazások évközi kiadásai (felmentési illetmény és közterhei)</t>
  </si>
  <si>
    <t>Gyermekétkeztetés nyilvántartásához számítógép vásárlás</t>
  </si>
  <si>
    <t>Védőnők tartalékának felhasználása új szakmai feladatok eszközbeszerzéseire</t>
  </si>
  <si>
    <t>III.6</t>
  </si>
  <si>
    <t>2016. évi bérkompenzáció (becsült összeg)</t>
  </si>
  <si>
    <t>3. melléklet jogcímei mindösszesen:</t>
  </si>
  <si>
    <t>Szociális ágazati pótlék és szociális, gyermekjóléti és gyermekvédelmi kiegészítő ágazati pótlékhoz nyújtott támogatás (2016. évi becsült összeg)</t>
  </si>
  <si>
    <t xml:space="preserve">A helyi önkormányzat és költségvetési szervei engedélyezett létszáma és a közfoglalkoztatottak létszáma </t>
  </si>
  <si>
    <t>Jánoshalmi tagóvodák                           (Radnóti u., Batthyány u.)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</si>
  <si>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</si>
  <si>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</si>
  <si>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</si>
  <si>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</si>
  <si>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</si>
  <si>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</si>
  <si>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Egységes óvoda-bölcsődei csoport (Petőfi utca)</t>
  </si>
  <si>
    <t>- Óvónő</t>
  </si>
  <si>
    <t>- Kisgyermeknevelő</t>
  </si>
  <si>
    <t>Kéleshalmi tagintézmény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</si>
  <si>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</si>
  <si>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</si>
  <si>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</si>
  <si>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</si>
  <si>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</si>
  <si>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</si>
  <si>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Munkatárs</t>
  </si>
  <si>
    <t xml:space="preserve">- Köztisztviselők                      </t>
  </si>
  <si>
    <t>- Fizikai alkalmazottak                              (1 gk. vezető, 1 takarítónő)</t>
  </si>
  <si>
    <t>Polgárm. Hiv. összesen:</t>
  </si>
  <si>
    <t>- Polgármester</t>
  </si>
  <si>
    <t>- Főállású alpolgármester</t>
  </si>
  <si>
    <t>Önkormányzati Tűzoltóság</t>
  </si>
  <si>
    <t>- Tűzoltók (közalkalmazottak)</t>
  </si>
  <si>
    <t>Építményüzemeltetés</t>
  </si>
  <si>
    <t>- Gazdasági ügyintéző</t>
  </si>
  <si>
    <t>- Takarítónő</t>
  </si>
  <si>
    <t>- Fűtő, karbantartó</t>
  </si>
  <si>
    <t>- Technikus</t>
  </si>
  <si>
    <t>Ügyeleti Szolgálat</t>
  </si>
  <si>
    <t>- Ápolók</t>
  </si>
  <si>
    <t>- Gépkocsivezető</t>
  </si>
  <si>
    <t>Védőnői Szolgálat</t>
  </si>
  <si>
    <t>- Védőnők</t>
  </si>
  <si>
    <t>- Konyhavezető</t>
  </si>
  <si>
    <t>- Szakács</t>
  </si>
  <si>
    <t>- Hentes</t>
  </si>
  <si>
    <t>- Konyhai kisegítő</t>
  </si>
  <si>
    <t>- Gépkocsi vezető</t>
  </si>
  <si>
    <t>Helyi önkorm. összesen:</t>
  </si>
  <si>
    <t>HELYI ÖNKORMÁNYZAT ÉS INTÉZMÉNYEI ÖSSZESEN:</t>
  </si>
  <si>
    <t xml:space="preserve">Közfoglalkoztatás </t>
  </si>
  <si>
    <t>Helyi Önkormányzat</t>
  </si>
  <si>
    <t>KÖZFOGLALKOZTATOTTAK LÉTSZÁMA ÖSSZESEN:</t>
  </si>
  <si>
    <t>- Szociális munkás és tanácsadó</t>
  </si>
  <si>
    <t>"Roma lányok korai iskola- elhagyásának megakadályozása" pályázati program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</si>
  <si>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</si>
  <si>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</si>
  <si>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</si>
  <si>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</si>
  <si>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</si>
  <si>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</si>
  <si>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</si>
  <si>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</si>
  <si>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</si>
  <si>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</si>
  <si>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</si>
  <si>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</si>
  <si>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Óvodai nevelés, ellátás működtetési feladatai</t>
  </si>
  <si>
    <t>43</t>
  </si>
  <si>
    <t>Dacia Duster típusú gépjármű beszerzés  - Család- és Gyermekjóléti Központ</t>
  </si>
  <si>
    <t>Belterületi utak, járdák felújítása pályázati önerő - Pacsirta utca szilárd burkolatú közút felújítása</t>
  </si>
  <si>
    <t>Család- és Gyermekjóléti Központ gépjármű vásárlás</t>
  </si>
  <si>
    <t>Óvodafejlesztés pályázati önerő - Batthyány utcai óvoda felújítása, eszközbeszerzések</t>
  </si>
  <si>
    <t>045120</t>
  </si>
  <si>
    <t>Út, autópálya építése</t>
  </si>
  <si>
    <t>049030</t>
  </si>
  <si>
    <t>Kéményseprő-ipari tevékenység</t>
  </si>
  <si>
    <t>Szennyvízcsatorna építése, fenntartása, üzemeltetése</t>
  </si>
  <si>
    <t xml:space="preserve">Mötv. 13.§(1) 11. </t>
  </si>
  <si>
    <t>44</t>
  </si>
  <si>
    <t>45</t>
  </si>
  <si>
    <t>46</t>
  </si>
  <si>
    <t>Nyári diákmunka támogatása (Kormányhivatal)</t>
  </si>
  <si>
    <t>Kéményseprő-ipari közszolgáltatás támogatása</t>
  </si>
  <si>
    <t>Helyi Építési Szabályzat módosítás továbbszáml.</t>
  </si>
  <si>
    <t>1956, forr. és szab.harc. 60. évf. emlékműsor tám.</t>
  </si>
  <si>
    <t>Óvodafejlesztés támogatása</t>
  </si>
  <si>
    <t>Naperőmű által termelt energia ért. bevétele</t>
  </si>
  <si>
    <t>Testvértlepülési együttműk. tám. (Bethlen G. Alap)</t>
  </si>
  <si>
    <t>Család- és nővédelmi eü. gondozás egyszeri visszamenőleges finanszírozása</t>
  </si>
  <si>
    <t>Országos és helyi népszavazással kapcsolatos tevékenységek</t>
  </si>
  <si>
    <t>Nsztv. 1.§ (1)  Ve. 66.§ (3), 67.§ (1)</t>
  </si>
  <si>
    <t>Nsztv.</t>
  </si>
  <si>
    <t>2013. évi CCXXXVIII. törvény a népszavazás kezdeményezéséről, az európai polgári kezdeményezésről, valamint a népszavazási eljárásról</t>
  </si>
  <si>
    <t>Ve.</t>
  </si>
  <si>
    <t>2013. évi XXXVI. törvény a választási eljárásról</t>
  </si>
  <si>
    <t>2016.X.02-i népszavazás költségvetési támogatása</t>
  </si>
  <si>
    <t>- Nyári diákmunka program</t>
  </si>
  <si>
    <t>Jánoshalmi Viziközmű-társulati hitel elszámolása I. részlet</t>
  </si>
  <si>
    <t>Térségi kerékpárút tervezési munkái</t>
  </si>
  <si>
    <t>Óvodafejlesztés  - eszközbeszerzések (mosógép, villanybojler,hűtőszekrény, konyhabútor, asztalok, székek, riasztórendszer, zsírfogó, ipari mosogatógép)</t>
  </si>
  <si>
    <t>Óvodafejlesztés  - Batthyány utcai óvoda felújítása (tetőcsere, napelemes rendszer kiépítése)</t>
  </si>
  <si>
    <t>Polgármesteri Hivatal átalakítása, hozzáépítés- Sándorfi Tervezőiroda kiviteli terv, eljárási díjak</t>
  </si>
  <si>
    <t>Háziorvosi ügyeleti ellátás eszközbeszerzései (hűtőszekrény, higanymentes vérnyomásmérő, heverők)</t>
  </si>
  <si>
    <t>Térfigyelő kamerarendszer bővítése</t>
  </si>
  <si>
    <t xml:space="preserve">Batthyány u-i óvodába mosógép, Petőfi utcai óvodába új tároló kocsi beszerzése </t>
  </si>
  <si>
    <t>Lajtha László Művészeti és Kulturális Szolgáltató Nonprofit Kft. - meglévő részesedés növelése</t>
  </si>
  <si>
    <t>Nyári diákmunka program foglalkozás egészségügyi vizsgálata</t>
  </si>
  <si>
    <t>Térségi kerékpárút tervezési költségeihez fedezet biztosítása</t>
  </si>
  <si>
    <t>Szennyvíz beruházás alszámla - felmerült bankköltségek</t>
  </si>
  <si>
    <t>2016. évi mezőgazdasági vállalkozási tevékenység kiadásainak fedezete bevétel kiesés miatt</t>
  </si>
  <si>
    <t>Dózsa Gy. u. 81. sz. társasház felújítási alapjának fizetési kötelezettség változása miatti többlet kiadás</t>
  </si>
  <si>
    <t>- Bölcsődei dajka</t>
  </si>
  <si>
    <t>Kéményseprő-ipari közszolgálatás helyi önkormányzat általi ellátásának támogatása</t>
  </si>
  <si>
    <t>8.</t>
  </si>
  <si>
    <t xml:space="preserve">II. </t>
  </si>
  <si>
    <t>3.a,</t>
  </si>
  <si>
    <t>Kötelező önkormányzati feladatot ellátó intézmények fejlesztése, felújítása</t>
  </si>
  <si>
    <t>táppénz hozzájárulás</t>
  </si>
  <si>
    <t>013320</t>
  </si>
  <si>
    <t>20. Eü. ellátás</t>
  </si>
  <si>
    <t>31. Pelikán Kft. feladatell. tám.</t>
  </si>
  <si>
    <t>Köztemető-fenntartás és -működtetés</t>
  </si>
  <si>
    <t>47</t>
  </si>
  <si>
    <t>Közművelődési érdekeltségnövelő támogatás</t>
  </si>
  <si>
    <t>Egyéb műk. bev. (szerződéssz., közüz. díj túlf.-ből</t>
  </si>
  <si>
    <t>Jh-i Közfoglalkoztatási Non-profit Kft.2015. évi támogatás visszatérítés</t>
  </si>
  <si>
    <t>Család- és nővédelmi eü. gondozás -havi díjazás emelése</t>
  </si>
  <si>
    <t>56-os emlékmű elhelyezése Jánoshalmán</t>
  </si>
  <si>
    <t>Egyéb működési bevételek</t>
  </si>
  <si>
    <t>Jánoshalmi Viziközmű-társulati hitel elszámolása II. részlet</t>
  </si>
  <si>
    <t>Közművelődési érdekeltségnövelő támogatás átadása Lajtha Kft.-nek</t>
  </si>
  <si>
    <t>Kápolna felújítás önkormányzati támogatása</t>
  </si>
  <si>
    <t>KEOP 4.10.0/C/12-2013-0048.sz. projekt támogatás túlfizetésének rendezése</t>
  </si>
  <si>
    <t>1956-os "Emlékmű elhelyezése Jánoshalmán" c. projekt megvalósítása</t>
  </si>
  <si>
    <t>Tűzoltóság eszközbeszerzései (kétajtós tűzoltó öltözőszekrény, bojler, kötelek, tachográf)</t>
  </si>
  <si>
    <t>152/2016. (IX.22.) Kt. hat. Viziközmű-társulati hitel (szennyvízberuházás) elszámolásának II. részlete</t>
  </si>
  <si>
    <t>153/2016. (IX.22.) Kt. hat. Lajtha László Kft. rendkívüli költségvetési támogatása</t>
  </si>
  <si>
    <t>5.a,</t>
  </si>
  <si>
    <t>Rendkívüli  költségvetési támogatás (felhalmozási rész) Lajtha Kft.-nek</t>
  </si>
  <si>
    <t>Továbbszámlázott hulladékszállítási díjak,  közüzemi díjak és vagyonbizt. díjak bevételei</t>
  </si>
  <si>
    <t>Felh. célú tám. ÁH-on belülre</t>
  </si>
  <si>
    <t>1. melléklet a 17/2016.(XI.25.) önkormányzati rendelethez</t>
  </si>
  <si>
    <t>2. melléklet a 17/2016.(XI.25.) önkormányzati rendelethez</t>
  </si>
  <si>
    <t>3. melléklet a 17/2016.(XI.25.) önkormányzati rendelethez</t>
  </si>
  <si>
    <t>4. melléklet a 17/2016.(XI.25.) önkormányzati rendelethez</t>
  </si>
  <si>
    <t>5. melléklet a 17/2016.(XI.25.) önkormányzati rendelethez</t>
  </si>
  <si>
    <t>6. melléklet a 17/2016.(XI.25.) önkormányzati rendelethez</t>
  </si>
  <si>
    <t>7. melléklet a 17/2016. (XI.25.) önkormányzati rendelethez</t>
  </si>
  <si>
    <t>8. melléklet a 17/2016.(XI.25.) önkormányzati rendelethez</t>
  </si>
  <si>
    <t>9. melléklet a 17/2016.(XI.25.) önkormányzati rendelethez</t>
  </si>
  <si>
    <t>10. melléklet a 17/2016. (XI.25.) önkormányzati rendelethez</t>
  </si>
  <si>
    <t>11. melléklet a 17/2016. (XI.25.)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</si>
</sst>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97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7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14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80" fillId="25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7" borderId="7" applyNumberFormat="0" applyFont="0" applyAlignment="0" applyProtection="0"/>
    <xf numFmtId="0" fontId="88" fillId="28" borderId="0" applyNumberFormat="0" applyBorder="0" applyAlignment="0" applyProtection="0"/>
    <xf numFmtId="0" fontId="89" fillId="29" borderId="8" applyNumberFormat="0" applyAlignment="0" applyProtection="0"/>
    <xf numFmtId="0" fontId="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0" borderId="0" applyNumberFormat="0" applyBorder="0" applyAlignment="0" applyProtection="0"/>
    <xf numFmtId="0" fontId="93" fillId="31" borderId="0" applyNumberFormat="0" applyBorder="0" applyAlignment="0" applyProtection="0"/>
    <xf numFmtId="0" fontId="94" fillId="29" borderId="1" applyNumberFormat="0" applyAlignment="0" applyProtection="0"/>
    <xf numFmtId="9" fontId="0" fillId="0" borderId="0" applyFont="0" applyFill="0" applyBorder="0" applyAlignment="0" applyProtection="0"/>
  </cellStyleXfs>
  <cellXfs count="111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13" fillId="0" borderId="0" xfId="57" applyFont="1">
      <alignment/>
      <protection/>
    </xf>
    <xf numFmtId="0" fontId="12" fillId="0" borderId="0" xfId="57" applyFont="1" applyAlignment="1">
      <alignment vertical="center"/>
      <protection/>
    </xf>
    <xf numFmtId="0" fontId="14" fillId="0" borderId="25" xfId="57" applyFont="1" applyBorder="1" applyAlignment="1">
      <alignment horizontal="center" vertical="center" wrapText="1"/>
      <protection/>
    </xf>
    <xf numFmtId="0" fontId="16" fillId="0" borderId="25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>
      <alignment/>
      <protection/>
    </xf>
    <xf numFmtId="0" fontId="15" fillId="0" borderId="25" xfId="57" applyFont="1" applyBorder="1">
      <alignment/>
      <protection/>
    </xf>
    <xf numFmtId="0" fontId="15" fillId="0" borderId="0" xfId="57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25" xfId="57" applyFont="1" applyBorder="1">
      <alignment/>
      <protection/>
    </xf>
    <xf numFmtId="0" fontId="20" fillId="0" borderId="0" xfId="57" applyFont="1">
      <alignment/>
      <protection/>
    </xf>
    <xf numFmtId="0" fontId="15" fillId="0" borderId="0" xfId="57" applyFont="1" applyBorder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8" fillId="0" borderId="25" xfId="57" applyFont="1" applyBorder="1" applyAlignment="1">
      <alignment horizontal="left" vertical="center" indent="2"/>
      <protection/>
    </xf>
    <xf numFmtId="16" fontId="18" fillId="0" borderId="25" xfId="57" applyNumberFormat="1" applyFont="1" applyBorder="1" applyAlignment="1">
      <alignment horizontal="left" vertical="center" indent="2"/>
      <protection/>
    </xf>
    <xf numFmtId="0" fontId="18" fillId="0" borderId="25" xfId="57" applyFont="1" applyBorder="1" applyAlignment="1">
      <alignment horizontal="left" indent="2"/>
      <protection/>
    </xf>
    <xf numFmtId="3" fontId="16" fillId="0" borderId="25" xfId="48" applyNumberFormat="1" applyFont="1" applyBorder="1" applyAlignment="1">
      <alignment horizontal="right"/>
    </xf>
    <xf numFmtId="3" fontId="15" fillId="0" borderId="25" xfId="48" applyNumberFormat="1" applyFont="1" applyBorder="1" applyAlignment="1">
      <alignment horizontal="right"/>
    </xf>
    <xf numFmtId="3" fontId="18" fillId="0" borderId="25" xfId="48" applyNumberFormat="1" applyFont="1" applyBorder="1" applyAlignment="1">
      <alignment horizontal="right"/>
    </xf>
    <xf numFmtId="0" fontId="22" fillId="0" borderId="25" xfId="57" applyFont="1" applyBorder="1" applyAlignment="1">
      <alignment horizontal="left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3" fontId="22" fillId="0" borderId="25" xfId="48" applyNumberFormat="1" applyFont="1" applyBorder="1" applyAlignment="1">
      <alignment horizontal="right"/>
    </xf>
    <xf numFmtId="0" fontId="22" fillId="0" borderId="25" xfId="57" applyFont="1" applyBorder="1">
      <alignment/>
      <protection/>
    </xf>
    <xf numFmtId="0" fontId="23" fillId="0" borderId="0" xfId="57" applyFont="1">
      <alignment/>
      <protection/>
    </xf>
    <xf numFmtId="0" fontId="24" fillId="0" borderId="25" xfId="57" applyFont="1" applyBorder="1" applyAlignment="1">
      <alignment horizontal="right"/>
      <protection/>
    </xf>
    <xf numFmtId="0" fontId="25" fillId="0" borderId="0" xfId="57" applyFont="1">
      <alignment/>
      <protection/>
    </xf>
    <xf numFmtId="0" fontId="26" fillId="0" borderId="25" xfId="57" applyFont="1" applyBorder="1" applyAlignment="1">
      <alignment vertical="center"/>
      <protection/>
    </xf>
    <xf numFmtId="3" fontId="26" fillId="0" borderId="25" xfId="48" applyNumberFormat="1" applyFont="1" applyBorder="1" applyAlignment="1">
      <alignment horizontal="right"/>
    </xf>
    <xf numFmtId="0" fontId="26" fillId="0" borderId="25" xfId="57" applyFont="1" applyBorder="1">
      <alignment/>
      <protection/>
    </xf>
    <xf numFmtId="0" fontId="26" fillId="0" borderId="0" xfId="57" applyFont="1">
      <alignment/>
      <protection/>
    </xf>
    <xf numFmtId="0" fontId="26" fillId="0" borderId="25" xfId="57" applyFont="1" applyBorder="1" applyAlignment="1">
      <alignment vertical="center" wrapText="1"/>
      <protection/>
    </xf>
    <xf numFmtId="0" fontId="26" fillId="0" borderId="25" xfId="57" applyFont="1" applyBorder="1" applyAlignment="1">
      <alignment horizontal="left" vertical="center"/>
      <protection/>
    </xf>
    <xf numFmtId="0" fontId="27" fillId="0" borderId="0" xfId="57" applyFont="1">
      <alignment/>
      <protection/>
    </xf>
    <xf numFmtId="0" fontId="26" fillId="0" borderId="25" xfId="57" applyFont="1" applyBorder="1" applyAlignment="1">
      <alignment horizontal="left" vertical="center" wrapText="1"/>
      <protection/>
    </xf>
    <xf numFmtId="0" fontId="28" fillId="0" borderId="0" xfId="57" applyFont="1">
      <alignment/>
      <protection/>
    </xf>
    <xf numFmtId="0" fontId="16" fillId="0" borderId="25" xfId="57" applyFont="1" applyBorder="1" applyAlignment="1">
      <alignment horizontal="left" vertical="center" indent="1"/>
      <protection/>
    </xf>
    <xf numFmtId="0" fontId="16" fillId="0" borderId="25" xfId="57" applyFont="1" applyBorder="1" applyAlignment="1">
      <alignment horizontal="left" indent="1"/>
      <protection/>
    </xf>
    <xf numFmtId="3" fontId="29" fillId="0" borderId="25" xfId="57" applyNumberFormat="1" applyFont="1" applyBorder="1" applyAlignment="1">
      <alignment horizontal="right" vertical="center"/>
      <protection/>
    </xf>
    <xf numFmtId="0" fontId="22" fillId="0" borderId="25" xfId="57" applyFont="1" applyBorder="1" applyAlignment="1">
      <alignment vertical="top"/>
      <protection/>
    </xf>
    <xf numFmtId="3" fontId="29" fillId="0" borderId="25" xfId="48" applyNumberFormat="1" applyFont="1" applyBorder="1" applyAlignment="1">
      <alignment horizontal="right"/>
    </xf>
    <xf numFmtId="0" fontId="16" fillId="0" borderId="25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7" fillId="0" borderId="25" xfId="57" applyFont="1" applyBorder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25" xfId="57" applyFont="1" applyBorder="1" applyAlignment="1">
      <alignment horizontal="center"/>
      <protection/>
    </xf>
    <xf numFmtId="0" fontId="3" fillId="0" borderId="2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 wrapText="1"/>
      <protection/>
    </xf>
    <xf numFmtId="0" fontId="15" fillId="0" borderId="0" xfId="62" applyFont="1" applyAlignment="1">
      <alignment vertical="center" wrapText="1"/>
      <protection/>
    </xf>
    <xf numFmtId="0" fontId="16" fillId="0" borderId="25" xfId="62" applyFont="1" applyBorder="1" applyAlignment="1">
      <alignment horizontal="center" vertical="center" wrapText="1"/>
      <protection/>
    </xf>
    <xf numFmtId="3" fontId="12" fillId="0" borderId="13" xfId="62" applyNumberFormat="1" applyFont="1" applyBorder="1" applyAlignment="1">
      <alignment horizontal="right" vertical="center" wrapText="1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3" fontId="17" fillId="0" borderId="25" xfId="62" applyNumberFormat="1" applyFont="1" applyBorder="1" applyAlignment="1">
      <alignment horizontal="center" vertical="center" wrapText="1"/>
      <protection/>
    </xf>
    <xf numFmtId="0" fontId="17" fillId="0" borderId="25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3" fontId="17" fillId="0" borderId="13" xfId="62" applyNumberFormat="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/>
    </xf>
    <xf numFmtId="3" fontId="14" fillId="0" borderId="25" xfId="57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0" fontId="13" fillId="0" borderId="0" xfId="62" applyFont="1" applyAlignment="1">
      <alignment horizontal="right" vertical="center"/>
      <protection/>
    </xf>
    <xf numFmtId="0" fontId="31" fillId="0" borderId="0" xfId="0" applyFont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8" fillId="32" borderId="31" xfId="0" applyFont="1" applyFill="1" applyBorder="1" applyAlignment="1">
      <alignment horizontal="center" vertical="center"/>
    </xf>
    <xf numFmtId="0" fontId="17" fillId="32" borderId="31" xfId="62" applyFont="1" applyFill="1" applyBorder="1" applyAlignment="1">
      <alignment horizontal="center" vertical="center"/>
      <protection/>
    </xf>
    <xf numFmtId="0" fontId="12" fillId="32" borderId="25" xfId="62" applyFont="1" applyFill="1" applyBorder="1" applyAlignment="1">
      <alignment horizontal="center" vertical="center"/>
      <protection/>
    </xf>
    <xf numFmtId="3" fontId="11" fillId="32" borderId="25" xfId="62" applyNumberFormat="1" applyFont="1" applyFill="1" applyBorder="1" applyAlignment="1">
      <alignment horizontal="right" vertical="center"/>
      <protection/>
    </xf>
    <xf numFmtId="3" fontId="11" fillId="32" borderId="25" xfId="62" applyNumberFormat="1" applyFont="1" applyFill="1" applyBorder="1" applyAlignment="1">
      <alignment horizontal="right" vertical="center" wrapText="1"/>
      <protection/>
    </xf>
    <xf numFmtId="3" fontId="12" fillId="32" borderId="13" xfId="62" applyNumberFormat="1" applyFont="1" applyFill="1" applyBorder="1" applyAlignment="1">
      <alignment horizontal="right" vertical="center" wrapText="1"/>
      <protection/>
    </xf>
    <xf numFmtId="0" fontId="11" fillId="32" borderId="0" xfId="62" applyFont="1" applyFill="1" applyAlignment="1">
      <alignment vertical="center"/>
      <protection/>
    </xf>
    <xf numFmtId="0" fontId="2" fillId="32" borderId="2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3" fontId="11" fillId="0" borderId="25" xfId="62" applyNumberFormat="1" applyFont="1" applyFill="1" applyBorder="1" applyAlignment="1">
      <alignment horizontal="right" vertical="center"/>
      <protection/>
    </xf>
    <xf numFmtId="3" fontId="11" fillId="0" borderId="25" xfId="62" applyNumberFormat="1" applyFont="1" applyFill="1" applyBorder="1" applyAlignment="1">
      <alignment horizontal="right" vertical="center" wrapText="1"/>
      <protection/>
    </xf>
    <xf numFmtId="0" fontId="17" fillId="0" borderId="32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3" fontId="11" fillId="0" borderId="22" xfId="62" applyNumberFormat="1" applyFont="1" applyFill="1" applyBorder="1" applyAlignment="1">
      <alignment horizontal="right" vertical="center"/>
      <protection/>
    </xf>
    <xf numFmtId="3" fontId="11" fillId="0" borderId="22" xfId="62" applyNumberFormat="1" applyFont="1" applyFill="1" applyBorder="1" applyAlignment="1">
      <alignment horizontal="right" vertical="center" wrapText="1"/>
      <protection/>
    </xf>
    <xf numFmtId="3" fontId="12" fillId="0" borderId="34" xfId="62" applyNumberFormat="1" applyFont="1" applyBorder="1" applyAlignment="1">
      <alignment horizontal="right" vertical="center" wrapText="1"/>
      <protection/>
    </xf>
    <xf numFmtId="0" fontId="11" fillId="0" borderId="0" xfId="62" applyFont="1" applyAlignment="1">
      <alignment horizontal="center" vertical="center" wrapText="1"/>
      <protection/>
    </xf>
    <xf numFmtId="3" fontId="95" fillId="0" borderId="25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95" fillId="0" borderId="21" xfId="0" applyNumberFormat="1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3" fontId="33" fillId="0" borderId="25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3" fontId="35" fillId="0" borderId="25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15" fillId="0" borderId="0" xfId="0" applyFont="1" applyAlignment="1">
      <alignment/>
    </xf>
    <xf numFmtId="49" fontId="15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13" fillId="0" borderId="0" xfId="61" applyFont="1">
      <alignment/>
      <protection/>
    </xf>
    <xf numFmtId="0" fontId="37" fillId="0" borderId="0" xfId="0" applyFont="1" applyAlignment="1">
      <alignment horizontal="right" vertical="center"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6" fillId="0" borderId="0" xfId="61" applyFont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 wrapText="1"/>
      <protection/>
    </xf>
    <xf numFmtId="0" fontId="16" fillId="0" borderId="25" xfId="61" applyFont="1" applyBorder="1" applyAlignment="1">
      <alignment horizontal="center" vertical="center" wrapText="1"/>
      <protection/>
    </xf>
    <xf numFmtId="0" fontId="16" fillId="0" borderId="13" xfId="61" applyFont="1" applyBorder="1" applyAlignment="1">
      <alignment horizontal="center" vertical="center" wrapText="1"/>
      <protection/>
    </xf>
    <xf numFmtId="0" fontId="16" fillId="0" borderId="21" xfId="61" applyFont="1" applyBorder="1" applyAlignment="1">
      <alignment horizontal="center" vertical="center" wrapText="1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31" xfId="61" applyFont="1" applyBorder="1" applyAlignment="1">
      <alignment horizontal="center" vertical="center" wrapText="1"/>
      <protection/>
    </xf>
    <xf numFmtId="0" fontId="17" fillId="0" borderId="25" xfId="61" applyFont="1" applyBorder="1" applyAlignment="1">
      <alignment horizontal="center" vertical="center" wrapText="1"/>
      <protection/>
    </xf>
    <xf numFmtId="0" fontId="17" fillId="0" borderId="13" xfId="61" applyFont="1" applyBorder="1" applyAlignment="1">
      <alignment horizontal="center" vertical="center" wrapText="1"/>
      <protection/>
    </xf>
    <xf numFmtId="0" fontId="17" fillId="0" borderId="21" xfId="61" applyFont="1" applyBorder="1" applyAlignment="1">
      <alignment horizontal="center" vertical="center" wrapText="1"/>
      <protection/>
    </xf>
    <xf numFmtId="0" fontId="17" fillId="0" borderId="35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/>
      <protection/>
    </xf>
    <xf numFmtId="49" fontId="16" fillId="33" borderId="25" xfId="61" applyNumberFormat="1" applyFont="1" applyFill="1" applyBorder="1" applyAlignment="1">
      <alignment horizontal="center" vertical="center"/>
      <protection/>
    </xf>
    <xf numFmtId="0" fontId="16" fillId="33" borderId="25" xfId="61" applyFont="1" applyFill="1" applyBorder="1" applyAlignment="1">
      <alignment vertical="center"/>
      <protection/>
    </xf>
    <xf numFmtId="0" fontId="16" fillId="33" borderId="18" xfId="61" applyFont="1" applyFill="1" applyBorder="1" applyAlignment="1">
      <alignment vertical="center" wrapText="1"/>
      <protection/>
    </xf>
    <xf numFmtId="3" fontId="16" fillId="33" borderId="31" xfId="61" applyNumberFormat="1" applyFont="1" applyFill="1" applyBorder="1" applyAlignment="1">
      <alignment vertical="center"/>
      <protection/>
    </xf>
    <xf numFmtId="3" fontId="16" fillId="33" borderId="25" xfId="61" applyNumberFormat="1" applyFont="1" applyFill="1" applyBorder="1" applyAlignment="1">
      <alignment vertical="center"/>
      <protection/>
    </xf>
    <xf numFmtId="3" fontId="16" fillId="33" borderId="13" xfId="61" applyNumberFormat="1" applyFont="1" applyFill="1" applyBorder="1" applyAlignment="1">
      <alignment vertical="center"/>
      <protection/>
    </xf>
    <xf numFmtId="3" fontId="16" fillId="33" borderId="21" xfId="61" applyNumberFormat="1" applyFont="1" applyFill="1" applyBorder="1" applyAlignment="1">
      <alignment vertical="center"/>
      <protection/>
    </xf>
    <xf numFmtId="3" fontId="16" fillId="33" borderId="36" xfId="61" applyNumberFormat="1" applyFont="1" applyFill="1" applyBorder="1" applyAlignment="1">
      <alignment vertical="center"/>
      <protection/>
    </xf>
    <xf numFmtId="3" fontId="16" fillId="0" borderId="0" xfId="61" applyNumberFormat="1" applyFont="1" applyAlignment="1">
      <alignment vertical="center"/>
      <protection/>
    </xf>
    <xf numFmtId="3" fontId="96" fillId="0" borderId="0" xfId="61" applyNumberFormat="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49" fontId="16" fillId="0" borderId="25" xfId="61" applyNumberFormat="1" applyFont="1" applyBorder="1" applyAlignment="1">
      <alignment vertical="center"/>
      <protection/>
    </xf>
    <xf numFmtId="0" fontId="16" fillId="0" borderId="25" xfId="61" applyFont="1" applyBorder="1">
      <alignment/>
      <protection/>
    </xf>
    <xf numFmtId="0" fontId="16" fillId="0" borderId="18" xfId="61" applyFont="1" applyBorder="1" applyAlignment="1">
      <alignment wrapText="1"/>
      <protection/>
    </xf>
    <xf numFmtId="4" fontId="16" fillId="0" borderId="31" xfId="61" applyNumberFormat="1" applyFont="1" applyBorder="1">
      <alignment/>
      <protection/>
    </xf>
    <xf numFmtId="3" fontId="16" fillId="0" borderId="25" xfId="61" applyNumberFormat="1" applyFont="1" applyBorder="1">
      <alignment/>
      <protection/>
    </xf>
    <xf numFmtId="3" fontId="16" fillId="0" borderId="13" xfId="61" applyNumberFormat="1" applyFont="1" applyBorder="1">
      <alignment/>
      <protection/>
    </xf>
    <xf numFmtId="3" fontId="16" fillId="0" borderId="31" xfId="61" applyNumberFormat="1" applyFont="1" applyBorder="1">
      <alignment/>
      <protection/>
    </xf>
    <xf numFmtId="3" fontId="16" fillId="0" borderId="21" xfId="61" applyNumberFormat="1" applyFont="1" applyBorder="1">
      <alignment/>
      <protection/>
    </xf>
    <xf numFmtId="3" fontId="16" fillId="0" borderId="36" xfId="61" applyNumberFormat="1" applyFont="1" applyBorder="1">
      <alignment/>
      <protection/>
    </xf>
    <xf numFmtId="3" fontId="16" fillId="0" borderId="0" xfId="61" applyNumberFormat="1" applyFont="1">
      <alignment/>
      <protection/>
    </xf>
    <xf numFmtId="3" fontId="15" fillId="0" borderId="0" xfId="61" applyNumberFormat="1" applyFont="1">
      <alignment/>
      <protection/>
    </xf>
    <xf numFmtId="0" fontId="16" fillId="0" borderId="0" xfId="61" applyFont="1">
      <alignment/>
      <protection/>
    </xf>
    <xf numFmtId="49" fontId="15" fillId="0" borderId="25" xfId="61" applyNumberFormat="1" applyFont="1" applyBorder="1" applyAlignment="1">
      <alignment vertical="center"/>
      <protection/>
    </xf>
    <xf numFmtId="0" fontId="15" fillId="0" borderId="25" xfId="61" applyFont="1" applyBorder="1">
      <alignment/>
      <protection/>
    </xf>
    <xf numFmtId="0" fontId="15" fillId="0" borderId="18" xfId="61" applyFont="1" applyBorder="1">
      <alignment/>
      <protection/>
    </xf>
    <xf numFmtId="3" fontId="15" fillId="0" borderId="31" xfId="61" applyNumberFormat="1" applyFont="1" applyBorder="1">
      <alignment/>
      <protection/>
    </xf>
    <xf numFmtId="3" fontId="15" fillId="0" borderId="25" xfId="61" applyNumberFormat="1" applyFont="1" applyBorder="1">
      <alignment/>
      <protection/>
    </xf>
    <xf numFmtId="3" fontId="15" fillId="0" borderId="13" xfId="61" applyNumberFormat="1" applyFont="1" applyBorder="1">
      <alignment/>
      <protection/>
    </xf>
    <xf numFmtId="3" fontId="15" fillId="0" borderId="21" xfId="61" applyNumberFormat="1" applyFont="1" applyBorder="1">
      <alignment/>
      <protection/>
    </xf>
    <xf numFmtId="3" fontId="15" fillId="0" borderId="36" xfId="61" applyNumberFormat="1" applyFont="1" applyBorder="1">
      <alignment/>
      <protection/>
    </xf>
    <xf numFmtId="0" fontId="16" fillId="0" borderId="18" xfId="61" applyFont="1" applyBorder="1">
      <alignment/>
      <protection/>
    </xf>
    <xf numFmtId="0" fontId="15" fillId="33" borderId="25" xfId="61" applyFont="1" applyFill="1" applyBorder="1">
      <alignment/>
      <protection/>
    </xf>
    <xf numFmtId="3" fontId="15" fillId="33" borderId="31" xfId="61" applyNumberFormat="1" applyFont="1" applyFill="1" applyBorder="1">
      <alignment/>
      <protection/>
    </xf>
    <xf numFmtId="3" fontId="15" fillId="33" borderId="25" xfId="61" applyNumberFormat="1" applyFont="1" applyFill="1" applyBorder="1">
      <alignment/>
      <protection/>
    </xf>
    <xf numFmtId="3" fontId="16" fillId="33" borderId="13" xfId="61" applyNumberFormat="1" applyFont="1" applyFill="1" applyBorder="1">
      <alignment/>
      <protection/>
    </xf>
    <xf numFmtId="3" fontId="15" fillId="33" borderId="21" xfId="61" applyNumberFormat="1" applyFont="1" applyFill="1" applyBorder="1">
      <alignment/>
      <protection/>
    </xf>
    <xf numFmtId="3" fontId="16" fillId="33" borderId="36" xfId="61" applyNumberFormat="1" applyFont="1" applyFill="1" applyBorder="1">
      <alignment/>
      <protection/>
    </xf>
    <xf numFmtId="3" fontId="96" fillId="0" borderId="0" xfId="61" applyNumberFormat="1" applyFont="1">
      <alignment/>
      <protection/>
    </xf>
    <xf numFmtId="49" fontId="16" fillId="0" borderId="25" xfId="61" applyNumberFormat="1" applyFont="1" applyBorder="1" applyAlignment="1">
      <alignment horizontal="center" vertical="center"/>
      <protection/>
    </xf>
    <xf numFmtId="169" fontId="15" fillId="0" borderId="21" xfId="61" applyNumberFormat="1" applyFont="1" applyBorder="1">
      <alignment/>
      <protection/>
    </xf>
    <xf numFmtId="0" fontId="15" fillId="0" borderId="18" xfId="61" applyFont="1" applyBorder="1" applyAlignment="1">
      <alignment wrapText="1"/>
      <protection/>
    </xf>
    <xf numFmtId="3" fontId="16" fillId="0" borderId="31" xfId="61" applyNumberFormat="1" applyFont="1" applyFill="1" applyBorder="1">
      <alignment/>
      <protection/>
    </xf>
    <xf numFmtId="3" fontId="16" fillId="0" borderId="25" xfId="61" applyNumberFormat="1" applyFont="1" applyFill="1" applyBorder="1">
      <alignment/>
      <protection/>
    </xf>
    <xf numFmtId="169" fontId="16" fillId="0" borderId="31" xfId="61" applyNumberFormat="1" applyFont="1" applyBorder="1">
      <alignment/>
      <protection/>
    </xf>
    <xf numFmtId="169" fontId="16" fillId="0" borderId="21" xfId="61" applyNumberFormat="1" applyFont="1" applyBorder="1">
      <alignment/>
      <protection/>
    </xf>
    <xf numFmtId="3" fontId="16" fillId="0" borderId="31" xfId="61" applyNumberFormat="1" applyFont="1" applyFill="1" applyBorder="1" applyAlignment="1">
      <alignment horizontal="center"/>
      <protection/>
    </xf>
    <xf numFmtId="3" fontId="16" fillId="0" borderId="25" xfId="61" applyNumberFormat="1" applyFont="1" applyFill="1" applyBorder="1" applyAlignment="1">
      <alignment horizontal="center"/>
      <protection/>
    </xf>
    <xf numFmtId="0" fontId="16" fillId="33" borderId="25" xfId="61" applyFont="1" applyFill="1" applyBorder="1">
      <alignment/>
      <protection/>
    </xf>
    <xf numFmtId="3" fontId="16" fillId="33" borderId="31" xfId="61" applyNumberFormat="1" applyFont="1" applyFill="1" applyBorder="1">
      <alignment/>
      <protection/>
    </xf>
    <xf numFmtId="3" fontId="16" fillId="33" borderId="25" xfId="61" applyNumberFormat="1" applyFont="1" applyFill="1" applyBorder="1">
      <alignment/>
      <protection/>
    </xf>
    <xf numFmtId="4" fontId="16" fillId="33" borderId="31" xfId="61" applyNumberFormat="1" applyFont="1" applyFill="1" applyBorder="1">
      <alignment/>
      <protection/>
    </xf>
    <xf numFmtId="3" fontId="16" fillId="33" borderId="21" xfId="61" applyNumberFormat="1" applyFont="1" applyFill="1" applyBorder="1">
      <alignment/>
      <protection/>
    </xf>
    <xf numFmtId="4" fontId="16" fillId="33" borderId="21" xfId="61" applyNumberFormat="1" applyFont="1" applyFill="1" applyBorder="1">
      <alignment/>
      <protection/>
    </xf>
    <xf numFmtId="2" fontId="15" fillId="0" borderId="31" xfId="61" applyNumberFormat="1" applyFont="1" applyBorder="1">
      <alignment/>
      <protection/>
    </xf>
    <xf numFmtId="2" fontId="15" fillId="0" borderId="21" xfId="61" applyNumberFormat="1" applyFont="1" applyBorder="1">
      <alignment/>
      <protection/>
    </xf>
    <xf numFmtId="4" fontId="15" fillId="0" borderId="31" xfId="61" applyNumberFormat="1" applyFont="1" applyBorder="1">
      <alignment/>
      <protection/>
    </xf>
    <xf numFmtId="3" fontId="15" fillId="0" borderId="25" xfId="61" applyNumberFormat="1" applyFont="1" applyFill="1" applyBorder="1">
      <alignment/>
      <protection/>
    </xf>
    <xf numFmtId="169" fontId="15" fillId="0" borderId="31" xfId="61" applyNumberFormat="1" applyFont="1" applyBorder="1">
      <alignment/>
      <protection/>
    </xf>
    <xf numFmtId="4" fontId="15" fillId="0" borderId="31" xfId="61" applyNumberFormat="1" applyFont="1" applyFill="1" applyBorder="1">
      <alignment/>
      <protection/>
    </xf>
    <xf numFmtId="3" fontId="15" fillId="0" borderId="21" xfId="61" applyNumberFormat="1" applyFont="1" applyFill="1" applyBorder="1">
      <alignment/>
      <protection/>
    </xf>
    <xf numFmtId="3" fontId="14" fillId="33" borderId="31" xfId="61" applyNumberFormat="1" applyFont="1" applyFill="1" applyBorder="1" applyAlignment="1">
      <alignment horizontal="center"/>
      <protection/>
    </xf>
    <xf numFmtId="3" fontId="14" fillId="33" borderId="25" xfId="61" applyNumberFormat="1" applyFont="1" applyFill="1" applyBorder="1" applyAlignment="1">
      <alignment horizontal="center"/>
      <protection/>
    </xf>
    <xf numFmtId="3" fontId="14" fillId="33" borderId="21" xfId="61" applyNumberFormat="1" applyFont="1" applyFill="1" applyBorder="1" applyAlignment="1">
      <alignment horizontal="center"/>
      <protection/>
    </xf>
    <xf numFmtId="3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14" fillId="32" borderId="0" xfId="61" applyFont="1" applyFill="1" applyBorder="1" applyAlignment="1">
      <alignment horizontal="right"/>
      <protection/>
    </xf>
    <xf numFmtId="3" fontId="14" fillId="32" borderId="0" xfId="61" applyNumberFormat="1" applyFont="1" applyFill="1" applyBorder="1" applyAlignment="1">
      <alignment horizontal="center"/>
      <protection/>
    </xf>
    <xf numFmtId="3" fontId="16" fillId="32" borderId="0" xfId="61" applyNumberFormat="1" applyFont="1" applyFill="1" applyBorder="1">
      <alignment/>
      <protection/>
    </xf>
    <xf numFmtId="3" fontId="14" fillId="32" borderId="0" xfId="61" applyNumberFormat="1" applyFont="1" applyFill="1">
      <alignment/>
      <protection/>
    </xf>
    <xf numFmtId="3" fontId="16" fillId="32" borderId="0" xfId="61" applyNumberFormat="1" applyFont="1" applyFill="1">
      <alignment/>
      <protection/>
    </xf>
    <xf numFmtId="0" fontId="14" fillId="32" borderId="0" xfId="61" applyFont="1" applyFill="1">
      <alignment/>
      <protection/>
    </xf>
    <xf numFmtId="3" fontId="35" fillId="33" borderId="31" xfId="61" applyNumberFormat="1" applyFont="1" applyFill="1" applyBorder="1" applyAlignment="1">
      <alignment horizontal="center"/>
      <protection/>
    </xf>
    <xf numFmtId="3" fontId="35" fillId="33" borderId="25" xfId="61" applyNumberFormat="1" applyFont="1" applyFill="1" applyBorder="1" applyAlignment="1">
      <alignment horizontal="center"/>
      <protection/>
    </xf>
    <xf numFmtId="3" fontId="35" fillId="33" borderId="13" xfId="61" applyNumberFormat="1" applyFont="1" applyFill="1" applyBorder="1">
      <alignment/>
      <protection/>
    </xf>
    <xf numFmtId="3" fontId="35" fillId="33" borderId="21" xfId="61" applyNumberFormat="1" applyFont="1" applyFill="1" applyBorder="1" applyAlignment="1">
      <alignment horizontal="center"/>
      <protection/>
    </xf>
    <xf numFmtId="3" fontId="35" fillId="33" borderId="36" xfId="61" applyNumberFormat="1" applyFont="1" applyFill="1" applyBorder="1">
      <alignment/>
      <protection/>
    </xf>
    <xf numFmtId="49" fontId="38" fillId="0" borderId="0" xfId="60" applyNumberFormat="1" applyFont="1" applyFill="1" applyAlignment="1">
      <alignment horizontal="center" vertical="center"/>
      <protection/>
    </xf>
    <xf numFmtId="0" fontId="38" fillId="0" borderId="0" xfId="60" applyFont="1" applyFill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0" fontId="15" fillId="0" borderId="0" xfId="60" applyFont="1" applyFill="1" applyAlignment="1">
      <alignment vertical="center"/>
      <protection/>
    </xf>
    <xf numFmtId="0" fontId="15" fillId="0" borderId="0" xfId="0" applyFont="1" applyBorder="1" applyAlignment="1">
      <alignment/>
    </xf>
    <xf numFmtId="0" fontId="15" fillId="0" borderId="0" xfId="60" applyFont="1" applyFill="1" applyAlignment="1">
      <alignment horizontal="left" vertical="center"/>
      <protection/>
    </xf>
    <xf numFmtId="0" fontId="15" fillId="0" borderId="0" xfId="60" applyFont="1" applyAlignment="1">
      <alignment horizontal="left"/>
      <protection/>
    </xf>
    <xf numFmtId="0" fontId="38" fillId="0" borderId="0" xfId="0" applyFont="1" applyAlignment="1">
      <alignment horizontal="right" vertical="center"/>
    </xf>
    <xf numFmtId="0" fontId="15" fillId="0" borderId="37" xfId="0" applyFont="1" applyBorder="1" applyAlignment="1">
      <alignment/>
    </xf>
    <xf numFmtId="0" fontId="16" fillId="0" borderId="38" xfId="59" applyFont="1" applyBorder="1" applyAlignment="1">
      <alignment horizontal="center"/>
      <protection/>
    </xf>
    <xf numFmtId="0" fontId="16" fillId="0" borderId="39" xfId="59" applyFont="1" applyBorder="1">
      <alignment/>
      <protection/>
    </xf>
    <xf numFmtId="0" fontId="16" fillId="0" borderId="40" xfId="60" applyFont="1" applyFill="1" applyBorder="1" applyAlignment="1">
      <alignment horizontal="center" vertical="center" wrapText="1"/>
      <protection/>
    </xf>
    <xf numFmtId="0" fontId="16" fillId="0" borderId="41" xfId="59" applyFont="1" applyBorder="1" applyAlignment="1">
      <alignment horizontal="center"/>
      <protection/>
    </xf>
    <xf numFmtId="0" fontId="16" fillId="0" borderId="22" xfId="59" applyFont="1" applyBorder="1">
      <alignment/>
      <protection/>
    </xf>
    <xf numFmtId="0" fontId="16" fillId="0" borderId="39" xfId="60" applyFont="1" applyFill="1" applyBorder="1" applyAlignment="1">
      <alignment horizontal="center" vertical="center" wrapText="1"/>
      <protection/>
    </xf>
    <xf numFmtId="0" fontId="16" fillId="0" borderId="42" xfId="59" applyFont="1" applyBorder="1" applyAlignment="1">
      <alignment horizontal="center"/>
      <protection/>
    </xf>
    <xf numFmtId="0" fontId="16" fillId="0" borderId="43" xfId="59" applyFont="1" applyBorder="1">
      <alignment/>
      <protection/>
    </xf>
    <xf numFmtId="0" fontId="16" fillId="0" borderId="44" xfId="60" applyFont="1" applyFill="1" applyBorder="1" applyAlignment="1">
      <alignment horizontal="center" vertical="center" wrapText="1"/>
      <protection/>
    </xf>
    <xf numFmtId="0" fontId="18" fillId="0" borderId="45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46" xfId="59" applyFont="1" applyBorder="1">
      <alignment/>
      <protection/>
    </xf>
    <xf numFmtId="0" fontId="18" fillId="0" borderId="47" xfId="59" applyFont="1" applyBorder="1">
      <alignment/>
      <protection/>
    </xf>
    <xf numFmtId="0" fontId="18" fillId="0" borderId="48" xfId="59" applyFont="1" applyBorder="1">
      <alignment/>
      <protection/>
    </xf>
    <xf numFmtId="3" fontId="18" fillId="0" borderId="0" xfId="59" applyNumberFormat="1" applyFont="1" applyBorder="1">
      <alignment/>
      <protection/>
    </xf>
    <xf numFmtId="3" fontId="12" fillId="0" borderId="49" xfId="59" applyNumberFormat="1" applyFont="1" applyBorder="1" applyAlignment="1">
      <alignment horizontal="right" vertical="center"/>
      <protection/>
    </xf>
    <xf numFmtId="3" fontId="18" fillId="0" borderId="50" xfId="59" applyNumberFormat="1" applyFont="1" applyBorder="1">
      <alignment/>
      <protection/>
    </xf>
    <xf numFmtId="0" fontId="18" fillId="0" borderId="51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3" fontId="12" fillId="0" borderId="52" xfId="59" applyNumberFormat="1" applyFont="1" applyBorder="1" applyAlignment="1">
      <alignment horizontal="right" vertical="center"/>
      <protection/>
    </xf>
    <xf numFmtId="3" fontId="12" fillId="0" borderId="53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0" fontId="12" fillId="0" borderId="52" xfId="60" applyFont="1" applyFill="1" applyBorder="1" applyAlignment="1">
      <alignment horizontal="center" vertical="center" wrapText="1"/>
      <protection/>
    </xf>
    <xf numFmtId="0" fontId="12" fillId="0" borderId="53" xfId="60" applyFont="1" applyFill="1" applyBorder="1" applyAlignment="1">
      <alignment horizontal="center" vertical="center" wrapText="1"/>
      <protection/>
    </xf>
    <xf numFmtId="0" fontId="12" fillId="0" borderId="54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3" fontId="12" fillId="0" borderId="45" xfId="59" applyNumberFormat="1" applyFont="1" applyBorder="1" applyAlignment="1">
      <alignment horizontal="right" vertical="center"/>
      <protection/>
    </xf>
    <xf numFmtId="3" fontId="18" fillId="0" borderId="55" xfId="59" applyNumberFormat="1" applyFont="1" applyBorder="1">
      <alignment/>
      <protection/>
    </xf>
    <xf numFmtId="0" fontId="18" fillId="0" borderId="53" xfId="59" applyFont="1" applyBorder="1">
      <alignment/>
      <protection/>
    </xf>
    <xf numFmtId="0" fontId="40" fillId="0" borderId="48" xfId="59" applyFont="1" applyBorder="1" applyAlignment="1">
      <alignment horizontal="right" vertical="center"/>
      <protection/>
    </xf>
    <xf numFmtId="0" fontId="19" fillId="0" borderId="45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47" xfId="59" applyFont="1" applyBorder="1" applyAlignment="1">
      <alignment horizontal="right"/>
      <protection/>
    </xf>
    <xf numFmtId="3" fontId="16" fillId="0" borderId="47" xfId="59" applyNumberFormat="1" applyFont="1" applyBorder="1" applyAlignment="1">
      <alignment horizontal="right"/>
      <protection/>
    </xf>
    <xf numFmtId="3" fontId="16" fillId="0" borderId="0" xfId="59" applyNumberFormat="1" applyFont="1" applyBorder="1">
      <alignment/>
      <protection/>
    </xf>
    <xf numFmtId="3" fontId="16" fillId="0" borderId="48" xfId="59" applyNumberFormat="1" applyFont="1" applyBorder="1">
      <alignment/>
      <protection/>
    </xf>
    <xf numFmtId="3" fontId="40" fillId="0" borderId="45" xfId="59" applyNumberFormat="1" applyFont="1" applyBorder="1" applyAlignment="1">
      <alignment horizontal="right" vertical="center"/>
      <protection/>
    </xf>
    <xf numFmtId="3" fontId="40" fillId="0" borderId="53" xfId="59" applyNumberFormat="1" applyFont="1" applyBorder="1" applyAlignment="1">
      <alignment horizontal="right" vertical="center"/>
      <protection/>
    </xf>
    <xf numFmtId="3" fontId="18" fillId="0" borderId="45" xfId="59" applyNumberFormat="1" applyFont="1" applyBorder="1">
      <alignment/>
      <protection/>
    </xf>
    <xf numFmtId="3" fontId="18" fillId="0" borderId="53" xfId="59" applyNumberFormat="1" applyFont="1" applyBorder="1">
      <alignment/>
      <protection/>
    </xf>
    <xf numFmtId="3" fontId="40" fillId="0" borderId="48" xfId="59" applyNumberFormat="1" applyFont="1" applyBorder="1" applyAlignment="1">
      <alignment horizontal="right" vertical="center"/>
      <protection/>
    </xf>
    <xf numFmtId="0" fontId="18" fillId="0" borderId="45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47" xfId="59" applyFont="1" applyBorder="1" applyAlignment="1">
      <alignment horizontal="right"/>
      <protection/>
    </xf>
    <xf numFmtId="3" fontId="18" fillId="0" borderId="33" xfId="59" applyNumberFormat="1" applyFont="1" applyFill="1" applyBorder="1">
      <alignment/>
      <protection/>
    </xf>
    <xf numFmtId="0" fontId="40" fillId="0" borderId="48" xfId="59" applyFont="1" applyBorder="1">
      <alignment/>
      <protection/>
    </xf>
    <xf numFmtId="3" fontId="18" fillId="0" borderId="33" xfId="59" applyNumberFormat="1" applyFont="1" applyBorder="1">
      <alignment/>
      <protection/>
    </xf>
    <xf numFmtId="3" fontId="40" fillId="0" borderId="45" xfId="59" applyNumberFormat="1" applyFont="1" applyBorder="1">
      <alignment/>
      <protection/>
    </xf>
    <xf numFmtId="3" fontId="40" fillId="0" borderId="53" xfId="59" applyNumberFormat="1" applyFont="1" applyBorder="1">
      <alignment/>
      <protection/>
    </xf>
    <xf numFmtId="3" fontId="40" fillId="0" borderId="55" xfId="59" applyNumberFormat="1" applyFont="1" applyBorder="1">
      <alignment/>
      <protection/>
    </xf>
    <xf numFmtId="3" fontId="40" fillId="0" borderId="48" xfId="59" applyNumberFormat="1" applyFont="1" applyBorder="1">
      <alignment/>
      <protection/>
    </xf>
    <xf numFmtId="0" fontId="15" fillId="0" borderId="45" xfId="59" applyFont="1" applyBorder="1" applyAlignment="1">
      <alignment horizontal="right"/>
      <protection/>
    </xf>
    <xf numFmtId="0" fontId="15" fillId="0" borderId="0" xfId="59" applyFont="1" applyBorder="1" applyAlignment="1">
      <alignment horizontal="right"/>
      <protection/>
    </xf>
    <xf numFmtId="0" fontId="15" fillId="0" borderId="47" xfId="59" applyFont="1" applyBorder="1" applyAlignment="1">
      <alignment horizontal="right"/>
      <protection/>
    </xf>
    <xf numFmtId="0" fontId="15" fillId="0" borderId="0" xfId="59" applyFont="1" applyBorder="1">
      <alignment/>
      <protection/>
    </xf>
    <xf numFmtId="0" fontId="15" fillId="0" borderId="48" xfId="59" applyFont="1" applyBorder="1">
      <alignment/>
      <protection/>
    </xf>
    <xf numFmtId="3" fontId="18" fillId="0" borderId="0" xfId="59" applyNumberFormat="1" applyFont="1" applyFill="1" applyBorder="1">
      <alignment/>
      <protection/>
    </xf>
    <xf numFmtId="3" fontId="41" fillId="0" borderId="0" xfId="59" applyNumberFormat="1" applyFont="1" applyBorder="1">
      <alignment/>
      <protection/>
    </xf>
    <xf numFmtId="0" fontId="41" fillId="0" borderId="45" xfId="59" applyFont="1" applyBorder="1" applyAlignment="1">
      <alignment horizontal="left"/>
      <protection/>
    </xf>
    <xf numFmtId="0" fontId="41" fillId="0" borderId="0" xfId="59" applyFont="1" applyBorder="1" applyAlignment="1">
      <alignment horizontal="left"/>
      <protection/>
    </xf>
    <xf numFmtId="0" fontId="41" fillId="0" borderId="52" xfId="59" applyFont="1" applyBorder="1" applyAlignment="1">
      <alignment horizontal="left"/>
      <protection/>
    </xf>
    <xf numFmtId="0" fontId="41" fillId="0" borderId="50" xfId="59" applyFont="1" applyBorder="1" applyAlignment="1">
      <alignment horizontal="left"/>
      <protection/>
    </xf>
    <xf numFmtId="3" fontId="18" fillId="0" borderId="56" xfId="59" applyNumberFormat="1" applyFont="1" applyBorder="1">
      <alignment/>
      <protection/>
    </xf>
    <xf numFmtId="3" fontId="18" fillId="0" borderId="56" xfId="59" applyNumberFormat="1" applyFont="1" applyFill="1" applyBorder="1">
      <alignment/>
      <protection/>
    </xf>
    <xf numFmtId="0" fontId="15" fillId="0" borderId="37" xfId="59" applyFont="1" applyBorder="1" applyAlignment="1">
      <alignment horizontal="right"/>
      <protection/>
    </xf>
    <xf numFmtId="0" fontId="15" fillId="0" borderId="57" xfId="59" applyFont="1" applyBorder="1" applyAlignment="1">
      <alignment horizontal="right"/>
      <protection/>
    </xf>
    <xf numFmtId="0" fontId="15" fillId="0" borderId="37" xfId="59" applyFont="1" applyBorder="1">
      <alignment/>
      <protection/>
    </xf>
    <xf numFmtId="0" fontId="15" fillId="0" borderId="58" xfId="59" applyFont="1" applyBorder="1">
      <alignment/>
      <protection/>
    </xf>
    <xf numFmtId="0" fontId="15" fillId="0" borderId="59" xfId="59" applyFont="1" applyBorder="1">
      <alignment/>
      <protection/>
    </xf>
    <xf numFmtId="0" fontId="18" fillId="0" borderId="37" xfId="59" applyFont="1" applyBorder="1" applyAlignment="1">
      <alignment horizontal="center"/>
      <protection/>
    </xf>
    <xf numFmtId="3" fontId="12" fillId="0" borderId="60" xfId="59" applyNumberFormat="1" applyFont="1" applyBorder="1" applyAlignment="1">
      <alignment horizontal="right" vertical="center"/>
      <protection/>
    </xf>
    <xf numFmtId="0" fontId="18" fillId="0" borderId="37" xfId="59" applyFont="1" applyBorder="1" applyAlignment="1">
      <alignment horizontal="left"/>
      <protection/>
    </xf>
    <xf numFmtId="3" fontId="15" fillId="0" borderId="61" xfId="59" applyNumberFormat="1" applyFont="1" applyBorder="1">
      <alignment/>
      <protection/>
    </xf>
    <xf numFmtId="3" fontId="18" fillId="0" borderId="37" xfId="59" applyNumberFormat="1" applyFont="1" applyFill="1" applyBorder="1">
      <alignment/>
      <protection/>
    </xf>
    <xf numFmtId="3" fontId="40" fillId="0" borderId="59" xfId="59" applyNumberFormat="1" applyFont="1" applyBorder="1" applyAlignment="1">
      <alignment horizontal="right" vertical="center"/>
      <protection/>
    </xf>
    <xf numFmtId="3" fontId="40" fillId="0" borderId="62" xfId="59" applyNumberFormat="1" applyFont="1" applyBorder="1" applyAlignment="1">
      <alignment horizontal="right" vertical="center"/>
      <protection/>
    </xf>
    <xf numFmtId="3" fontId="18" fillId="0" borderId="63" xfId="59" applyNumberFormat="1" applyFont="1" applyBorder="1">
      <alignment/>
      <protection/>
    </xf>
    <xf numFmtId="3" fontId="18" fillId="0" borderId="59" xfId="59" applyNumberFormat="1" applyFont="1" applyBorder="1">
      <alignment/>
      <protection/>
    </xf>
    <xf numFmtId="3" fontId="18" fillId="0" borderId="62" xfId="59" applyNumberFormat="1" applyFont="1" applyBorder="1">
      <alignment/>
      <protection/>
    </xf>
    <xf numFmtId="3" fontId="40" fillId="0" borderId="58" xfId="59" applyNumberFormat="1" applyFont="1" applyBorder="1" applyAlignment="1">
      <alignment horizontal="right" vertical="center"/>
      <protection/>
    </xf>
    <xf numFmtId="0" fontId="19" fillId="0" borderId="64" xfId="59" applyFont="1" applyBorder="1" applyAlignment="1">
      <alignment horizontal="right"/>
      <protection/>
    </xf>
    <xf numFmtId="3" fontId="16" fillId="0" borderId="65" xfId="59" applyNumberFormat="1" applyFont="1" applyBorder="1" applyAlignment="1">
      <alignment horizontal="right"/>
      <protection/>
    </xf>
    <xf numFmtId="3" fontId="16" fillId="0" borderId="66" xfId="59" applyNumberFormat="1" applyFont="1" applyBorder="1">
      <alignment/>
      <protection/>
    </xf>
    <xf numFmtId="3" fontId="16" fillId="0" borderId="67" xfId="59" applyNumberFormat="1" applyFont="1" applyBorder="1">
      <alignment/>
      <protection/>
    </xf>
    <xf numFmtId="3" fontId="41" fillId="0" borderId="66" xfId="59" applyNumberFormat="1" applyFont="1" applyBorder="1">
      <alignment/>
      <protection/>
    </xf>
    <xf numFmtId="3" fontId="12" fillId="0" borderId="68" xfId="59" applyNumberFormat="1" applyFont="1" applyBorder="1">
      <alignment/>
      <protection/>
    </xf>
    <xf numFmtId="3" fontId="15" fillId="0" borderId="69" xfId="59" applyNumberFormat="1" applyFont="1" applyBorder="1">
      <alignment/>
      <protection/>
    </xf>
    <xf numFmtId="3" fontId="19" fillId="0" borderId="66" xfId="59" applyNumberFormat="1" applyFont="1" applyFill="1" applyBorder="1">
      <alignment/>
      <protection/>
    </xf>
    <xf numFmtId="3" fontId="12" fillId="0" borderId="70" xfId="59" applyNumberFormat="1" applyFont="1" applyBorder="1" applyAlignment="1">
      <alignment horizontal="right"/>
      <protection/>
    </xf>
    <xf numFmtId="3" fontId="40" fillId="0" borderId="71" xfId="59" applyNumberFormat="1" applyFont="1" applyBorder="1">
      <alignment/>
      <protection/>
    </xf>
    <xf numFmtId="3" fontId="40" fillId="0" borderId="65" xfId="59" applyNumberFormat="1" applyFont="1" applyBorder="1">
      <alignment/>
      <protection/>
    </xf>
    <xf numFmtId="3" fontId="40" fillId="0" borderId="72" xfId="59" applyNumberFormat="1" applyFont="1" applyBorder="1">
      <alignment/>
      <protection/>
    </xf>
    <xf numFmtId="3" fontId="40" fillId="0" borderId="67" xfId="59" applyNumberFormat="1" applyFont="1" applyBorder="1" applyAlignment="1">
      <alignment horizontal="right" vertical="center"/>
      <protection/>
    </xf>
    <xf numFmtId="0" fontId="15" fillId="0" borderId="51" xfId="59" applyFont="1" applyBorder="1">
      <alignment/>
      <protection/>
    </xf>
    <xf numFmtId="0" fontId="15" fillId="0" borderId="47" xfId="59" applyFont="1" applyBorder="1">
      <alignment/>
      <protection/>
    </xf>
    <xf numFmtId="0" fontId="15" fillId="0" borderId="53" xfId="59" applyFont="1" applyBorder="1">
      <alignment/>
      <protection/>
    </xf>
    <xf numFmtId="3" fontId="41" fillId="0" borderId="33" xfId="59" applyNumberFormat="1" applyFont="1" applyBorder="1" applyAlignment="1">
      <alignment/>
      <protection/>
    </xf>
    <xf numFmtId="0" fontId="15" fillId="0" borderId="73" xfId="59" applyFont="1" applyBorder="1">
      <alignment/>
      <protection/>
    </xf>
    <xf numFmtId="0" fontId="15" fillId="0" borderId="62" xfId="59" applyFont="1" applyBorder="1">
      <alignment/>
      <protection/>
    </xf>
    <xf numFmtId="0" fontId="15" fillId="0" borderId="74" xfId="59" applyFont="1" applyBorder="1">
      <alignment/>
      <protection/>
    </xf>
    <xf numFmtId="3" fontId="16" fillId="0" borderId="53" xfId="59" applyNumberFormat="1" applyFont="1" applyBorder="1" applyAlignment="1">
      <alignment horizontal="right"/>
      <protection/>
    </xf>
    <xf numFmtId="0" fontId="18" fillId="0" borderId="45" xfId="59" applyFont="1" applyBorder="1" applyAlignment="1">
      <alignment horizontal="left"/>
      <protection/>
    </xf>
    <xf numFmtId="3" fontId="18" fillId="0" borderId="16" xfId="59" applyNumberFormat="1" applyFont="1" applyFill="1" applyBorder="1">
      <alignment/>
      <protection/>
    </xf>
    <xf numFmtId="3" fontId="40" fillId="0" borderId="75" xfId="59" applyNumberFormat="1" applyFont="1" applyBorder="1" applyAlignment="1">
      <alignment horizontal="right"/>
      <protection/>
    </xf>
    <xf numFmtId="3" fontId="41" fillId="0" borderId="56" xfId="59" applyNumberFormat="1" applyFont="1" applyFill="1" applyBorder="1">
      <alignment/>
      <protection/>
    </xf>
    <xf numFmtId="3" fontId="18" fillId="0" borderId="76" xfId="59" applyNumberFormat="1" applyFont="1" applyFill="1" applyBorder="1">
      <alignment/>
      <protection/>
    </xf>
    <xf numFmtId="3" fontId="12" fillId="0" borderId="77" xfId="59" applyNumberFormat="1" applyFont="1" applyBorder="1" applyAlignment="1">
      <alignment horizontal="right" vertical="center"/>
      <protection/>
    </xf>
    <xf numFmtId="3" fontId="40" fillId="0" borderId="45" xfId="59" applyNumberFormat="1" applyFont="1" applyBorder="1" applyAlignment="1">
      <alignment horizontal="right"/>
      <protection/>
    </xf>
    <xf numFmtId="3" fontId="40" fillId="0" borderId="53" xfId="59" applyNumberFormat="1" applyFont="1" applyBorder="1" applyAlignment="1">
      <alignment horizontal="right"/>
      <protection/>
    </xf>
    <xf numFmtId="3" fontId="16" fillId="34" borderId="65" xfId="59" applyNumberFormat="1" applyFont="1" applyFill="1" applyBorder="1" applyAlignment="1">
      <alignment horizontal="right"/>
      <protection/>
    </xf>
    <xf numFmtId="3" fontId="16" fillId="34" borderId="66" xfId="59" applyNumberFormat="1" applyFont="1" applyFill="1" applyBorder="1">
      <alignment/>
      <protection/>
    </xf>
    <xf numFmtId="3" fontId="16" fillId="34" borderId="67" xfId="59" applyNumberFormat="1" applyFont="1" applyFill="1" applyBorder="1">
      <alignment/>
      <protection/>
    </xf>
    <xf numFmtId="0" fontId="15" fillId="34" borderId="66" xfId="59" applyFont="1" applyFill="1" applyBorder="1">
      <alignment/>
      <protection/>
    </xf>
    <xf numFmtId="3" fontId="16" fillId="34" borderId="78" xfId="59" applyNumberFormat="1" applyFont="1" applyFill="1" applyBorder="1" applyAlignment="1">
      <alignment horizontal="right"/>
      <protection/>
    </xf>
    <xf numFmtId="0" fontId="15" fillId="34" borderId="79" xfId="59" applyFont="1" applyFill="1" applyBorder="1">
      <alignment/>
      <protection/>
    </xf>
    <xf numFmtId="3" fontId="40" fillId="34" borderId="80" xfId="59" applyNumberFormat="1" applyFont="1" applyFill="1" applyBorder="1" applyAlignment="1">
      <alignment horizontal="right"/>
      <protection/>
    </xf>
    <xf numFmtId="3" fontId="40" fillId="34" borderId="81" xfId="59" applyNumberFormat="1" applyFont="1" applyFill="1" applyBorder="1" applyAlignment="1">
      <alignment horizontal="right"/>
      <protection/>
    </xf>
    <xf numFmtId="3" fontId="40" fillId="34" borderId="82" xfId="59" applyNumberFormat="1" applyFont="1" applyFill="1" applyBorder="1">
      <alignment/>
      <protection/>
    </xf>
    <xf numFmtId="3" fontId="40" fillId="34" borderId="80" xfId="59" applyNumberFormat="1" applyFont="1" applyFill="1" applyBorder="1">
      <alignment/>
      <protection/>
    </xf>
    <xf numFmtId="3" fontId="40" fillId="34" borderId="81" xfId="59" applyNumberFormat="1" applyFont="1" applyFill="1" applyBorder="1">
      <alignment/>
      <protection/>
    </xf>
    <xf numFmtId="3" fontId="40" fillId="34" borderId="83" xfId="59" applyNumberFormat="1" applyFont="1" applyFill="1" applyBorder="1">
      <alignment/>
      <protection/>
    </xf>
    <xf numFmtId="0" fontId="16" fillId="0" borderId="84" xfId="59" applyFont="1" applyBorder="1" applyAlignment="1">
      <alignment horizontal="center"/>
      <protection/>
    </xf>
    <xf numFmtId="0" fontId="16" fillId="0" borderId="85" xfId="59" applyFont="1" applyBorder="1">
      <alignment/>
      <protection/>
    </xf>
    <xf numFmtId="0" fontId="16" fillId="0" borderId="34" xfId="60" applyFont="1" applyFill="1" applyBorder="1" applyAlignment="1">
      <alignment horizontal="center" vertical="center" wrapText="1"/>
      <protection/>
    </xf>
    <xf numFmtId="0" fontId="16" fillId="0" borderId="39" xfId="59" applyFont="1" applyBorder="1" applyAlignment="1">
      <alignment horizontal="center"/>
      <protection/>
    </xf>
    <xf numFmtId="0" fontId="15" fillId="0" borderId="86" xfId="0" applyFont="1" applyBorder="1" applyAlignment="1">
      <alignment/>
    </xf>
    <xf numFmtId="0" fontId="18" fillId="0" borderId="56" xfId="0" applyFont="1" applyBorder="1" applyAlignment="1">
      <alignment/>
    </xf>
    <xf numFmtId="0" fontId="12" fillId="0" borderId="0" xfId="59" applyFont="1" applyBorder="1" applyAlignment="1">
      <alignment horizontal="right" vertical="center"/>
      <protection/>
    </xf>
    <xf numFmtId="0" fontId="12" fillId="0" borderId="87" xfId="59" applyFont="1" applyBorder="1" applyAlignment="1">
      <alignment horizontal="right" vertical="center"/>
      <protection/>
    </xf>
    <xf numFmtId="0" fontId="18" fillId="0" borderId="55" xfId="59" applyFont="1" applyBorder="1">
      <alignment/>
      <protection/>
    </xf>
    <xf numFmtId="0" fontId="15" fillId="0" borderId="45" xfId="59" applyFont="1" applyBorder="1">
      <alignment/>
      <protection/>
    </xf>
    <xf numFmtId="0" fontId="15" fillId="0" borderId="53" xfId="59" applyFont="1" applyBorder="1" applyAlignment="1">
      <alignment horizontal="right"/>
      <protection/>
    </xf>
    <xf numFmtId="0" fontId="18" fillId="0" borderId="0" xfId="0" applyFont="1" applyAlignment="1">
      <alignment/>
    </xf>
    <xf numFmtId="3" fontId="40" fillId="0" borderId="0" xfId="59" applyNumberFormat="1" applyFont="1" applyBorder="1" applyAlignment="1">
      <alignment horizontal="right" vertical="center"/>
      <protection/>
    </xf>
    <xf numFmtId="3" fontId="18" fillId="0" borderId="0" xfId="59" applyNumberFormat="1" applyFont="1" applyBorder="1" applyAlignment="1">
      <alignment horizontal="right"/>
      <protection/>
    </xf>
    <xf numFmtId="3" fontId="15" fillId="0" borderId="53" xfId="59" applyNumberFormat="1" applyFont="1" applyBorder="1" applyAlignment="1">
      <alignment horizontal="right"/>
      <protection/>
    </xf>
    <xf numFmtId="3" fontId="15" fillId="0" borderId="0" xfId="59" applyNumberFormat="1" applyFont="1" applyBorder="1">
      <alignment/>
      <protection/>
    </xf>
    <xf numFmtId="3" fontId="15" fillId="0" borderId="48" xfId="59" applyNumberFormat="1" applyFont="1" applyBorder="1">
      <alignment/>
      <protection/>
    </xf>
    <xf numFmtId="0" fontId="18" fillId="0" borderId="0" xfId="0" applyFont="1" applyFill="1" applyBorder="1" applyAlignment="1">
      <alignment/>
    </xf>
    <xf numFmtId="0" fontId="15" fillId="0" borderId="42" xfId="59" applyFont="1" applyBorder="1">
      <alignment/>
      <protection/>
    </xf>
    <xf numFmtId="3" fontId="16" fillId="0" borderId="43" xfId="59" applyNumberFormat="1" applyFont="1" applyBorder="1" applyAlignment="1">
      <alignment horizontal="right"/>
      <protection/>
    </xf>
    <xf numFmtId="3" fontId="16" fillId="0" borderId="88" xfId="59" applyNumberFormat="1" applyFont="1" applyBorder="1">
      <alignment/>
      <protection/>
    </xf>
    <xf numFmtId="3" fontId="16" fillId="0" borderId="44" xfId="59" applyNumberFormat="1" applyFont="1" applyBorder="1">
      <alignment/>
      <protection/>
    </xf>
    <xf numFmtId="3" fontId="18" fillId="35" borderId="76" xfId="59" applyNumberFormat="1" applyFont="1" applyFill="1" applyBorder="1" applyAlignment="1">
      <alignment/>
      <protection/>
    </xf>
    <xf numFmtId="3" fontId="12" fillId="0" borderId="77" xfId="59" applyNumberFormat="1" applyFont="1" applyBorder="1" applyAlignment="1">
      <alignment horizontal="right"/>
      <protection/>
    </xf>
    <xf numFmtId="0" fontId="15" fillId="0" borderId="89" xfId="59" applyFont="1" applyBorder="1">
      <alignment/>
      <protection/>
    </xf>
    <xf numFmtId="0" fontId="15" fillId="0" borderId="88" xfId="59" applyFont="1" applyBorder="1">
      <alignment/>
      <protection/>
    </xf>
    <xf numFmtId="3" fontId="15" fillId="0" borderId="76" xfId="59" applyNumberFormat="1" applyFont="1" applyBorder="1">
      <alignment/>
      <protection/>
    </xf>
    <xf numFmtId="0" fontId="15" fillId="0" borderId="76" xfId="59" applyFont="1" applyBorder="1">
      <alignment/>
      <protection/>
    </xf>
    <xf numFmtId="3" fontId="12" fillId="0" borderId="90" xfId="59" applyNumberFormat="1" applyFont="1" applyBorder="1" applyAlignment="1">
      <alignment horizontal="right"/>
      <protection/>
    </xf>
    <xf numFmtId="3" fontId="40" fillId="0" borderId="39" xfId="59" applyNumberFormat="1" applyFont="1" applyBorder="1" applyAlignment="1">
      <alignment horizontal="right"/>
      <protection/>
    </xf>
    <xf numFmtId="3" fontId="40" fillId="0" borderId="38" xfId="59" applyNumberFormat="1" applyFont="1" applyBorder="1" applyAlignment="1">
      <alignment horizontal="right"/>
      <protection/>
    </xf>
    <xf numFmtId="3" fontId="40" fillId="0" borderId="91" xfId="59" applyNumberFormat="1" applyFont="1" applyBorder="1">
      <alignment/>
      <protection/>
    </xf>
    <xf numFmtId="3" fontId="40" fillId="0" borderId="42" xfId="59" applyNumberFormat="1" applyFont="1" applyBorder="1">
      <alignment/>
      <protection/>
    </xf>
    <xf numFmtId="3" fontId="40" fillId="0" borderId="43" xfId="59" applyNumberFormat="1" applyFont="1" applyBorder="1">
      <alignment/>
      <protection/>
    </xf>
    <xf numFmtId="3" fontId="40" fillId="0" borderId="44" xfId="59" applyNumberFormat="1" applyFont="1" applyBorder="1" applyAlignment="1">
      <alignment horizontal="right" vertical="center"/>
      <protection/>
    </xf>
    <xf numFmtId="0" fontId="18" fillId="34" borderId="71" xfId="59" applyFont="1" applyFill="1" applyBorder="1" applyAlignment="1">
      <alignment horizontal="left"/>
      <protection/>
    </xf>
    <xf numFmtId="3" fontId="12" fillId="34" borderId="68" xfId="59" applyNumberFormat="1" applyFont="1" applyFill="1" applyBorder="1" applyAlignment="1">
      <alignment horizontal="right"/>
      <protection/>
    </xf>
    <xf numFmtId="0" fontId="15" fillId="34" borderId="64" xfId="59" applyFont="1" applyFill="1" applyBorder="1">
      <alignment/>
      <protection/>
    </xf>
    <xf numFmtId="3" fontId="12" fillId="34" borderId="70" xfId="59" applyNumberFormat="1" applyFont="1" applyFill="1" applyBorder="1" applyAlignment="1">
      <alignment horizontal="right"/>
      <protection/>
    </xf>
    <xf numFmtId="3" fontId="40" fillId="34" borderId="66" xfId="59" applyNumberFormat="1" applyFont="1" applyFill="1" applyBorder="1" applyAlignment="1">
      <alignment horizontal="right"/>
      <protection/>
    </xf>
    <xf numFmtId="3" fontId="40" fillId="34" borderId="65" xfId="59" applyNumberFormat="1" applyFont="1" applyFill="1" applyBorder="1" applyAlignment="1">
      <alignment horizontal="right"/>
      <protection/>
    </xf>
    <xf numFmtId="3" fontId="40" fillId="34" borderId="72" xfId="59" applyNumberFormat="1" applyFont="1" applyFill="1" applyBorder="1">
      <alignment/>
      <protection/>
    </xf>
    <xf numFmtId="3" fontId="40" fillId="34" borderId="71" xfId="59" applyNumberFormat="1" applyFont="1" applyFill="1" applyBorder="1">
      <alignment/>
      <protection/>
    </xf>
    <xf numFmtId="3" fontId="40" fillId="34" borderId="65" xfId="59" applyNumberFormat="1" applyFont="1" applyFill="1" applyBorder="1">
      <alignment/>
      <protection/>
    </xf>
    <xf numFmtId="3" fontId="40" fillId="34" borderId="67" xfId="59" applyNumberFormat="1" applyFont="1" applyFill="1" applyBorder="1" applyAlignment="1">
      <alignment horizontal="right" vertical="center"/>
      <protection/>
    </xf>
    <xf numFmtId="0" fontId="15" fillId="0" borderId="71" xfId="59" applyFont="1" applyBorder="1">
      <alignment/>
      <protection/>
    </xf>
    <xf numFmtId="0" fontId="15" fillId="0" borderId="66" xfId="59" applyFont="1" applyBorder="1" applyAlignment="1">
      <alignment horizontal="right"/>
      <protection/>
    </xf>
    <xf numFmtId="0" fontId="15" fillId="0" borderId="65" xfId="59" applyFont="1" applyBorder="1" applyAlignment="1">
      <alignment horizontal="right"/>
      <protection/>
    </xf>
    <xf numFmtId="0" fontId="15" fillId="0" borderId="66" xfId="59" applyFont="1" applyBorder="1">
      <alignment/>
      <protection/>
    </xf>
    <xf numFmtId="0" fontId="15" fillId="0" borderId="67" xfId="59" applyFont="1" applyBorder="1">
      <alignment/>
      <protection/>
    </xf>
    <xf numFmtId="0" fontId="15" fillId="0" borderId="66" xfId="59" applyFont="1" applyBorder="1" applyAlignment="1">
      <alignment/>
      <protection/>
    </xf>
    <xf numFmtId="0" fontId="12" fillId="0" borderId="68" xfId="59" applyFont="1" applyBorder="1" applyAlignment="1">
      <alignment horizontal="right"/>
      <protection/>
    </xf>
    <xf numFmtId="0" fontId="15" fillId="0" borderId="64" xfId="59" applyFont="1" applyBorder="1">
      <alignment/>
      <protection/>
    </xf>
    <xf numFmtId="0" fontId="12" fillId="0" borderId="66" xfId="59" applyFont="1" applyBorder="1" applyAlignment="1">
      <alignment horizontal="right"/>
      <protection/>
    </xf>
    <xf numFmtId="0" fontId="12" fillId="0" borderId="65" xfId="59" applyFont="1" applyBorder="1" applyAlignment="1">
      <alignment horizontal="right"/>
      <protection/>
    </xf>
    <xf numFmtId="0" fontId="15" fillId="0" borderId="72" xfId="59" applyFont="1" applyBorder="1">
      <alignment/>
      <protection/>
    </xf>
    <xf numFmtId="0" fontId="15" fillId="0" borderId="65" xfId="59" applyFont="1" applyBorder="1">
      <alignment/>
      <protection/>
    </xf>
    <xf numFmtId="0" fontId="40" fillId="0" borderId="92" xfId="59" applyFont="1" applyBorder="1" applyAlignment="1">
      <alignment horizontal="right" vertical="center"/>
      <protection/>
    </xf>
    <xf numFmtId="0" fontId="40" fillId="0" borderId="45" xfId="59" applyFont="1" applyBorder="1" applyAlignment="1">
      <alignment horizontal="center" wrapText="1"/>
      <protection/>
    </xf>
    <xf numFmtId="0" fontId="40" fillId="0" borderId="0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/>
      <protection/>
    </xf>
    <xf numFmtId="0" fontId="16" fillId="0" borderId="0" xfId="59" applyFont="1" applyBorder="1">
      <alignment/>
      <protection/>
    </xf>
    <xf numFmtId="0" fontId="16" fillId="0" borderId="48" xfId="60" applyFont="1" applyFill="1" applyBorder="1" applyAlignment="1">
      <alignment horizontal="center" vertical="center" wrapText="1"/>
      <protection/>
    </xf>
    <xf numFmtId="0" fontId="40" fillId="0" borderId="51" xfId="60" applyFont="1" applyFill="1" applyBorder="1" applyAlignment="1">
      <alignment horizontal="center" vertical="center" wrapText="1"/>
      <protection/>
    </xf>
    <xf numFmtId="0" fontId="40" fillId="0" borderId="0" xfId="60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53" xfId="59" applyFont="1" applyBorder="1">
      <alignment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45" xfId="59" applyFont="1" applyBorder="1" applyAlignment="1">
      <alignment horizontal="center"/>
      <protection/>
    </xf>
    <xf numFmtId="0" fontId="15" fillId="0" borderId="0" xfId="59" applyFont="1">
      <alignment/>
      <protection/>
    </xf>
    <xf numFmtId="0" fontId="18" fillId="0" borderId="33" xfId="59" applyFont="1" applyBorder="1">
      <alignment/>
      <protection/>
    </xf>
    <xf numFmtId="0" fontId="15" fillId="0" borderId="55" xfId="59" applyFont="1" applyBorder="1">
      <alignment/>
      <protection/>
    </xf>
    <xf numFmtId="0" fontId="15" fillId="0" borderId="0" xfId="0" applyFont="1" applyAlignment="1">
      <alignment horizontal="right"/>
    </xf>
    <xf numFmtId="3" fontId="40" fillId="0" borderId="0" xfId="59" applyNumberFormat="1" applyFont="1" applyBorder="1">
      <alignment/>
      <protection/>
    </xf>
    <xf numFmtId="3" fontId="40" fillId="0" borderId="75" xfId="59" applyNumberFormat="1" applyFont="1" applyBorder="1">
      <alignment/>
      <protection/>
    </xf>
    <xf numFmtId="0" fontId="15" fillId="0" borderId="0" xfId="0" applyFont="1" applyBorder="1" applyAlignment="1">
      <alignment horizontal="right"/>
    </xf>
    <xf numFmtId="3" fontId="18" fillId="0" borderId="16" xfId="59" applyNumberFormat="1" applyFont="1" applyBorder="1" applyAlignment="1">
      <alignment/>
      <protection/>
    </xf>
    <xf numFmtId="0" fontId="15" fillId="0" borderId="84" xfId="59" applyFont="1" applyBorder="1">
      <alignment/>
      <protection/>
    </xf>
    <xf numFmtId="0" fontId="15" fillId="0" borderId="39" xfId="59" applyFont="1" applyBorder="1">
      <alignment/>
      <protection/>
    </xf>
    <xf numFmtId="0" fontId="41" fillId="0" borderId="16" xfId="59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5" fillId="0" borderId="50" xfId="0" applyFont="1" applyBorder="1" applyAlignment="1">
      <alignment horizontal="right"/>
    </xf>
    <xf numFmtId="3" fontId="16" fillId="0" borderId="87" xfId="59" applyNumberFormat="1" applyFont="1" applyBorder="1" applyAlignment="1">
      <alignment horizontal="right"/>
      <protection/>
    </xf>
    <xf numFmtId="3" fontId="16" fillId="0" borderId="50" xfId="59" applyNumberFormat="1" applyFont="1" applyBorder="1">
      <alignment/>
      <protection/>
    </xf>
    <xf numFmtId="3" fontId="16" fillId="0" borderId="54" xfId="59" applyNumberFormat="1" applyFont="1" applyBorder="1">
      <alignment/>
      <protection/>
    </xf>
    <xf numFmtId="3" fontId="18" fillId="0" borderId="56" xfId="59" applyNumberFormat="1" applyFont="1" applyBorder="1" applyAlignment="1">
      <alignment/>
      <protection/>
    </xf>
    <xf numFmtId="0" fontId="15" fillId="0" borderId="93" xfId="59" applyFont="1" applyBorder="1">
      <alignment/>
      <protection/>
    </xf>
    <xf numFmtId="0" fontId="15" fillId="0" borderId="50" xfId="59" applyFont="1" applyBorder="1">
      <alignment/>
      <protection/>
    </xf>
    <xf numFmtId="0" fontId="15" fillId="0" borderId="56" xfId="59" applyFont="1" applyBorder="1">
      <alignment/>
      <protection/>
    </xf>
    <xf numFmtId="3" fontId="12" fillId="0" borderId="94" xfId="59" applyNumberFormat="1" applyFont="1" applyBorder="1" applyAlignment="1">
      <alignment vertical="center"/>
      <protection/>
    </xf>
    <xf numFmtId="3" fontId="40" fillId="0" borderId="52" xfId="59" applyNumberFormat="1" applyFont="1" applyBorder="1" applyAlignment="1">
      <alignment horizontal="right" vertical="center"/>
      <protection/>
    </xf>
    <xf numFmtId="3" fontId="40" fillId="0" borderId="87" xfId="59" applyNumberFormat="1" applyFont="1" applyBorder="1" applyAlignment="1">
      <alignment horizontal="right" vertical="center"/>
      <protection/>
    </xf>
    <xf numFmtId="3" fontId="40" fillId="0" borderId="95" xfId="59" applyNumberFormat="1" applyFont="1" applyBorder="1">
      <alignment/>
      <protection/>
    </xf>
    <xf numFmtId="3" fontId="40" fillId="0" borderId="52" xfId="59" applyNumberFormat="1" applyFont="1" applyBorder="1">
      <alignment/>
      <protection/>
    </xf>
    <xf numFmtId="3" fontId="40" fillId="0" borderId="87" xfId="59" applyNumberFormat="1" applyFont="1" applyBorder="1">
      <alignment/>
      <protection/>
    </xf>
    <xf numFmtId="3" fontId="40" fillId="0" borderId="54" xfId="59" applyNumberFormat="1" applyFont="1" applyBorder="1" applyAlignment="1">
      <alignment horizontal="right" vertical="center"/>
      <protection/>
    </xf>
    <xf numFmtId="3" fontId="41" fillId="0" borderId="0" xfId="59" applyNumberFormat="1" applyFont="1" applyBorder="1" applyAlignment="1">
      <alignment/>
      <protection/>
    </xf>
    <xf numFmtId="3" fontId="41" fillId="0" borderId="0" xfId="59" applyNumberFormat="1" applyFont="1">
      <alignment/>
      <protection/>
    </xf>
    <xf numFmtId="3" fontId="12" fillId="0" borderId="40" xfId="59" applyNumberFormat="1" applyFont="1" applyBorder="1">
      <alignment/>
      <protection/>
    </xf>
    <xf numFmtId="0" fontId="42" fillId="0" borderId="41" xfId="59" applyFont="1" applyBorder="1">
      <alignment/>
      <protection/>
    </xf>
    <xf numFmtId="0" fontId="42" fillId="0" borderId="39" xfId="59" applyFont="1" applyBorder="1">
      <alignment/>
      <protection/>
    </xf>
    <xf numFmtId="0" fontId="42" fillId="0" borderId="16" xfId="59" applyFont="1" applyBorder="1">
      <alignment/>
      <protection/>
    </xf>
    <xf numFmtId="3" fontId="12" fillId="0" borderId="96" xfId="59" applyNumberFormat="1" applyFont="1" applyBorder="1" applyAlignment="1">
      <alignment vertical="center"/>
      <protection/>
    </xf>
    <xf numFmtId="3" fontId="40" fillId="0" borderId="41" xfId="59" applyNumberFormat="1" applyFont="1" applyBorder="1" applyAlignment="1">
      <alignment horizontal="right" vertical="center"/>
      <protection/>
    </xf>
    <xf numFmtId="3" fontId="40" fillId="0" borderId="38" xfId="59" applyNumberFormat="1" applyFont="1" applyBorder="1" applyAlignment="1">
      <alignment horizontal="right" vertical="center"/>
      <protection/>
    </xf>
    <xf numFmtId="3" fontId="40" fillId="0" borderId="41" xfId="59" applyNumberFormat="1" applyFont="1" applyBorder="1">
      <alignment/>
      <protection/>
    </xf>
    <xf numFmtId="3" fontId="40" fillId="0" borderId="38" xfId="59" applyNumberFormat="1" applyFont="1" applyBorder="1">
      <alignment/>
      <protection/>
    </xf>
    <xf numFmtId="3" fontId="40" fillId="0" borderId="40" xfId="59" applyNumberFormat="1" applyFont="1" applyBorder="1" applyAlignment="1">
      <alignment horizontal="right" vertical="center"/>
      <protection/>
    </xf>
    <xf numFmtId="3" fontId="16" fillId="34" borderId="81" xfId="59" applyNumberFormat="1" applyFont="1" applyFill="1" applyBorder="1">
      <alignment/>
      <protection/>
    </xf>
    <xf numFmtId="3" fontId="16" fillId="34" borderId="97" xfId="59" applyNumberFormat="1" applyFont="1" applyFill="1" applyBorder="1">
      <alignment/>
      <protection/>
    </xf>
    <xf numFmtId="3" fontId="16" fillId="34" borderId="98" xfId="59" applyNumberFormat="1" applyFont="1" applyFill="1" applyBorder="1">
      <alignment/>
      <protection/>
    </xf>
    <xf numFmtId="0" fontId="18" fillId="34" borderId="0" xfId="59" applyFont="1" applyFill="1" applyBorder="1" applyAlignment="1">
      <alignment horizontal="left" wrapText="1"/>
      <protection/>
    </xf>
    <xf numFmtId="3" fontId="12" fillId="34" borderId="99" xfId="59" applyNumberFormat="1" applyFont="1" applyFill="1" applyBorder="1">
      <alignment/>
      <protection/>
    </xf>
    <xf numFmtId="3" fontId="12" fillId="34" borderId="78" xfId="59" applyNumberFormat="1" applyFont="1" applyFill="1" applyBorder="1">
      <alignment/>
      <protection/>
    </xf>
    <xf numFmtId="0" fontId="15" fillId="34" borderId="100" xfId="59" applyFont="1" applyFill="1" applyBorder="1">
      <alignment/>
      <protection/>
    </xf>
    <xf numFmtId="3" fontId="12" fillId="34" borderId="64" xfId="59" applyNumberFormat="1" applyFont="1" applyFill="1" applyBorder="1">
      <alignment/>
      <protection/>
    </xf>
    <xf numFmtId="3" fontId="40" fillId="34" borderId="101" xfId="59" applyNumberFormat="1" applyFont="1" applyFill="1" applyBorder="1">
      <alignment/>
      <protection/>
    </xf>
    <xf numFmtId="3" fontId="40" fillId="34" borderId="102" xfId="59" applyNumberFormat="1" applyFont="1" applyFill="1" applyBorder="1">
      <alignment/>
      <protection/>
    </xf>
    <xf numFmtId="3" fontId="40" fillId="34" borderId="92" xfId="59" applyNumberFormat="1" applyFont="1" applyFill="1" applyBorder="1">
      <alignment/>
      <protection/>
    </xf>
    <xf numFmtId="3" fontId="40" fillId="34" borderId="103" xfId="59" applyNumberFormat="1" applyFont="1" applyFill="1" applyBorder="1">
      <alignment/>
      <protection/>
    </xf>
    <xf numFmtId="3" fontId="12" fillId="0" borderId="102" xfId="59" applyNumberFormat="1" applyFont="1" applyBorder="1" applyAlignment="1">
      <alignment horizontal="center"/>
      <protection/>
    </xf>
    <xf numFmtId="3" fontId="12" fillId="0" borderId="104" xfId="59" applyNumberFormat="1" applyFont="1" applyBorder="1" applyAlignment="1">
      <alignment horizontal="center"/>
      <protection/>
    </xf>
    <xf numFmtId="3" fontId="12" fillId="0" borderId="105" xfId="59" applyNumberFormat="1" applyFont="1" applyBorder="1">
      <alignment/>
      <protection/>
    </xf>
    <xf numFmtId="0" fontId="43" fillId="0" borderId="106" xfId="59" applyFont="1" applyBorder="1" applyAlignment="1">
      <alignment horizontal="left"/>
      <protection/>
    </xf>
    <xf numFmtId="3" fontId="12" fillId="0" borderId="106" xfId="59" applyNumberFormat="1" applyFont="1" applyBorder="1" applyAlignment="1">
      <alignment horizontal="right" vertical="center"/>
      <protection/>
    </xf>
    <xf numFmtId="0" fontId="11" fillId="0" borderId="106" xfId="59" applyFont="1" applyBorder="1">
      <alignment/>
      <protection/>
    </xf>
    <xf numFmtId="3" fontId="12" fillId="0" borderId="107" xfId="59" applyNumberFormat="1" applyFont="1" applyBorder="1">
      <alignment/>
      <protection/>
    </xf>
    <xf numFmtId="0" fontId="11" fillId="0" borderId="86" xfId="59" applyFont="1" applyBorder="1">
      <alignment/>
      <protection/>
    </xf>
    <xf numFmtId="3" fontId="12" fillId="0" borderId="106" xfId="59" applyNumberFormat="1" applyFont="1" applyBorder="1">
      <alignment/>
      <protection/>
    </xf>
    <xf numFmtId="3" fontId="12" fillId="0" borderId="108" xfId="59" applyNumberFormat="1" applyFont="1" applyBorder="1">
      <alignment/>
      <protection/>
    </xf>
    <xf numFmtId="3" fontId="12" fillId="0" borderId="102" xfId="59" applyNumberFormat="1" applyFont="1" applyBorder="1">
      <alignment/>
      <protection/>
    </xf>
    <xf numFmtId="3" fontId="12" fillId="0" borderId="109" xfId="59" applyNumberFormat="1" applyFont="1" applyBorder="1">
      <alignment/>
      <protection/>
    </xf>
    <xf numFmtId="3" fontId="40" fillId="0" borderId="86" xfId="59" applyNumberFormat="1" applyFont="1" applyBorder="1">
      <alignment/>
      <protection/>
    </xf>
    <xf numFmtId="3" fontId="40" fillId="0" borderId="102" xfId="59" applyNumberFormat="1" applyFont="1" applyBorder="1">
      <alignment/>
      <protection/>
    </xf>
    <xf numFmtId="3" fontId="40" fillId="0" borderId="92" xfId="59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37" xfId="59" applyFont="1" applyBorder="1">
      <alignment/>
      <protection/>
    </xf>
    <xf numFmtId="0" fontId="18" fillId="0" borderId="0" xfId="59" applyFont="1" applyFill="1" applyBorder="1">
      <alignment/>
      <protection/>
    </xf>
    <xf numFmtId="0" fontId="16" fillId="0" borderId="22" xfId="59" applyFont="1" applyBorder="1" applyAlignment="1">
      <alignment horizontal="center"/>
      <protection/>
    </xf>
    <xf numFmtId="0" fontId="16" fillId="0" borderId="43" xfId="59" applyFont="1" applyBorder="1" applyAlignment="1">
      <alignment horizontal="center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center"/>
      <protection/>
    </xf>
    <xf numFmtId="0" fontId="18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>
      <alignment horizontal="right" vertical="center"/>
      <protection/>
    </xf>
    <xf numFmtId="0" fontId="15" fillId="0" borderId="0" xfId="59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59" applyFont="1" applyFill="1" applyAlignment="1">
      <alignment horizontal="right"/>
      <protection/>
    </xf>
    <xf numFmtId="0" fontId="11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3" fontId="15" fillId="0" borderId="0" xfId="59" applyNumberFormat="1" applyFont="1" applyFill="1">
      <alignment/>
      <protection/>
    </xf>
    <xf numFmtId="3" fontId="15" fillId="0" borderId="0" xfId="59" applyNumberFormat="1" applyFont="1" applyFill="1" applyBorder="1">
      <alignment/>
      <protection/>
    </xf>
    <xf numFmtId="0" fontId="38" fillId="0" borderId="29" xfId="59" applyFont="1" applyFill="1" applyBorder="1">
      <alignment/>
      <protection/>
    </xf>
    <xf numFmtId="3" fontId="15" fillId="0" borderId="29" xfId="59" applyNumberFormat="1" applyFont="1" applyFill="1" applyBorder="1">
      <alignment/>
      <protection/>
    </xf>
    <xf numFmtId="0" fontId="15" fillId="0" borderId="29" xfId="59" applyFont="1" applyFill="1" applyBorder="1">
      <alignment/>
      <protection/>
    </xf>
    <xf numFmtId="0" fontId="15" fillId="0" borderId="0" xfId="59" applyFont="1" applyFill="1" applyAlignment="1">
      <alignment horizontal="right"/>
      <protection/>
    </xf>
    <xf numFmtId="0" fontId="15" fillId="0" borderId="0" xfId="59" applyFont="1" applyFill="1" applyAlignment="1">
      <alignment/>
      <protection/>
    </xf>
    <xf numFmtId="0" fontId="15" fillId="0" borderId="0" xfId="0" applyFont="1" applyFill="1" applyAlignment="1">
      <alignment horizontal="left"/>
    </xf>
    <xf numFmtId="0" fontId="16" fillId="0" borderId="0" xfId="59" applyFont="1" applyFill="1">
      <alignment/>
      <protection/>
    </xf>
    <xf numFmtId="3" fontId="16" fillId="0" borderId="0" xfId="59" applyNumberFormat="1" applyFont="1" applyFill="1">
      <alignment/>
      <protection/>
    </xf>
    <xf numFmtId="3" fontId="16" fillId="0" borderId="0" xfId="59" applyNumberFormat="1" applyFont="1" applyFill="1" applyBorder="1">
      <alignment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horizontal="left" vertical="center"/>
      <protection/>
    </xf>
    <xf numFmtId="0" fontId="37" fillId="0" borderId="39" xfId="60" applyFont="1" applyFill="1" applyBorder="1" applyAlignment="1">
      <alignment horizontal="center" vertical="center"/>
      <protection/>
    </xf>
    <xf numFmtId="0" fontId="17" fillId="0" borderId="32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horizontal="center" vertical="center" wrapText="1"/>
      <protection/>
    </xf>
    <xf numFmtId="0" fontId="17" fillId="0" borderId="34" xfId="60" applyFont="1" applyFill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49" fontId="17" fillId="0" borderId="110" xfId="60" applyNumberFormat="1" applyFont="1" applyFill="1" applyBorder="1" applyAlignment="1">
      <alignment vertical="center"/>
      <protection/>
    </xf>
    <xf numFmtId="49" fontId="38" fillId="0" borderId="111" xfId="60" applyNumberFormat="1" applyFont="1" applyFill="1" applyBorder="1" applyAlignment="1">
      <alignment horizontal="center" vertical="center"/>
      <protection/>
    </xf>
    <xf numFmtId="0" fontId="17" fillId="0" borderId="112" xfId="60" applyFont="1" applyFill="1" applyBorder="1" applyAlignment="1">
      <alignment vertical="center" wrapText="1"/>
      <protection/>
    </xf>
    <xf numFmtId="3" fontId="37" fillId="0" borderId="10" xfId="60" applyNumberFormat="1" applyFont="1" applyFill="1" applyBorder="1" applyAlignment="1">
      <alignment vertical="center" wrapText="1"/>
      <protection/>
    </xf>
    <xf numFmtId="3" fontId="37" fillId="0" borderId="113" xfId="60" applyNumberFormat="1" applyFont="1" applyFill="1" applyBorder="1" applyAlignment="1">
      <alignment vertical="center" wrapText="1"/>
      <protection/>
    </xf>
    <xf numFmtId="3" fontId="37" fillId="0" borderId="114" xfId="60" applyNumberFormat="1" applyFont="1" applyFill="1" applyBorder="1" applyAlignment="1">
      <alignment vertical="center" wrapText="1"/>
      <protection/>
    </xf>
    <xf numFmtId="3" fontId="37" fillId="0" borderId="13" xfId="60" applyNumberFormat="1" applyFont="1" applyFill="1" applyBorder="1" applyAlignment="1">
      <alignment vertical="center" wrapText="1"/>
      <protection/>
    </xf>
    <xf numFmtId="3" fontId="37" fillId="0" borderId="115" xfId="60" applyNumberFormat="1" applyFont="1" applyFill="1" applyBorder="1" applyAlignment="1">
      <alignment vertical="center" wrapText="1"/>
      <protection/>
    </xf>
    <xf numFmtId="3" fontId="38" fillId="0" borderId="115" xfId="60" applyNumberFormat="1" applyFont="1" applyFill="1" applyBorder="1" applyAlignment="1">
      <alignment vertical="center"/>
      <protection/>
    </xf>
    <xf numFmtId="3" fontId="38" fillId="0" borderId="114" xfId="60" applyNumberFormat="1" applyFont="1" applyFill="1" applyBorder="1" applyAlignment="1">
      <alignment vertical="center"/>
      <protection/>
    </xf>
    <xf numFmtId="3" fontId="17" fillId="0" borderId="36" xfId="60" applyNumberFormat="1" applyFont="1" applyFill="1" applyBorder="1" applyAlignment="1">
      <alignment vertical="center"/>
      <protection/>
    </xf>
    <xf numFmtId="49" fontId="38" fillId="0" borderId="113" xfId="60" applyNumberFormat="1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vertical="center" wrapText="1"/>
      <protection/>
    </xf>
    <xf numFmtId="3" fontId="37" fillId="0" borderId="12" xfId="60" applyNumberFormat="1" applyFont="1" applyFill="1" applyBorder="1" applyAlignment="1">
      <alignment vertical="center" wrapText="1"/>
      <protection/>
    </xf>
    <xf numFmtId="3" fontId="44" fillId="0" borderId="13" xfId="60" applyNumberFormat="1" applyFont="1" applyFill="1" applyBorder="1" applyAlignment="1">
      <alignment vertical="center"/>
      <protection/>
    </xf>
    <xf numFmtId="49" fontId="38" fillId="0" borderId="31" xfId="60" applyNumberFormat="1" applyFont="1" applyFill="1" applyBorder="1" applyAlignment="1">
      <alignment horizontal="center" vertical="center"/>
      <protection/>
    </xf>
    <xf numFmtId="3" fontId="37" fillId="0" borderId="31" xfId="60" applyNumberFormat="1" applyFont="1" applyFill="1" applyBorder="1" applyAlignment="1">
      <alignment vertical="center" wrapText="1"/>
      <protection/>
    </xf>
    <xf numFmtId="3" fontId="37" fillId="0" borderId="25" xfId="60" applyNumberFormat="1" applyFont="1" applyFill="1" applyBorder="1" applyAlignment="1">
      <alignment vertical="center" wrapText="1"/>
      <protection/>
    </xf>
    <xf numFmtId="3" fontId="37" fillId="0" borderId="21" xfId="60" applyNumberFormat="1" applyFont="1" applyFill="1" applyBorder="1" applyAlignment="1">
      <alignment vertical="center" wrapText="1"/>
      <protection/>
    </xf>
    <xf numFmtId="3" fontId="38" fillId="0" borderId="21" xfId="60" applyNumberFormat="1" applyFont="1" applyFill="1" applyBorder="1" applyAlignment="1">
      <alignment vertical="center"/>
      <protection/>
    </xf>
    <xf numFmtId="3" fontId="38" fillId="0" borderId="25" xfId="60" applyNumberFormat="1" applyFont="1" applyFill="1" applyBorder="1" applyAlignment="1">
      <alignment vertical="center"/>
      <protection/>
    </xf>
    <xf numFmtId="3" fontId="37" fillId="32" borderId="21" xfId="60" applyNumberFormat="1" applyFont="1" applyFill="1" applyBorder="1" applyAlignment="1">
      <alignment horizontal="right" vertical="center" wrapText="1"/>
      <protection/>
    </xf>
    <xf numFmtId="3" fontId="37" fillId="32" borderId="25" xfId="60" applyNumberFormat="1" applyFont="1" applyFill="1" applyBorder="1" applyAlignment="1">
      <alignment vertical="center" wrapText="1"/>
      <protection/>
    </xf>
    <xf numFmtId="3" fontId="37" fillId="32" borderId="13" xfId="60" applyNumberFormat="1" applyFont="1" applyFill="1" applyBorder="1" applyAlignment="1">
      <alignment vertical="center" wrapText="1"/>
      <protection/>
    </xf>
    <xf numFmtId="0" fontId="17" fillId="0" borderId="19" xfId="60" applyFont="1" applyFill="1" applyBorder="1" applyAlignment="1">
      <alignment vertical="center" wrapText="1"/>
      <protection/>
    </xf>
    <xf numFmtId="3" fontId="37" fillId="0" borderId="13" xfId="60" applyNumberFormat="1" applyFont="1" applyFill="1" applyBorder="1" applyAlignment="1">
      <alignment vertical="center"/>
      <protection/>
    </xf>
    <xf numFmtId="3" fontId="37" fillId="0" borderId="21" xfId="60" applyNumberFormat="1" applyFont="1" applyFill="1" applyBorder="1" applyAlignment="1">
      <alignment horizontal="right" vertical="center" wrapText="1"/>
      <protection/>
    </xf>
    <xf numFmtId="3" fontId="37" fillId="0" borderId="13" xfId="60" applyNumberFormat="1" applyFont="1" applyFill="1" applyBorder="1" applyAlignment="1">
      <alignment horizontal="left" vertical="center" wrapText="1"/>
      <protection/>
    </xf>
    <xf numFmtId="3" fontId="37" fillId="0" borderId="31" xfId="60" applyNumberFormat="1" applyFont="1" applyFill="1" applyBorder="1" applyAlignment="1">
      <alignment vertical="center"/>
      <protection/>
    </xf>
    <xf numFmtId="3" fontId="37" fillId="0" borderId="25" xfId="60" applyNumberFormat="1" applyFont="1" applyFill="1" applyBorder="1" applyAlignment="1">
      <alignment vertical="center"/>
      <protection/>
    </xf>
    <xf numFmtId="3" fontId="37" fillId="0" borderId="21" xfId="60" applyNumberFormat="1" applyFont="1" applyFill="1" applyBorder="1" applyAlignment="1">
      <alignment vertical="center"/>
      <protection/>
    </xf>
    <xf numFmtId="3" fontId="37" fillId="32" borderId="12" xfId="60" applyNumberFormat="1" applyFont="1" applyFill="1" applyBorder="1" applyAlignment="1">
      <alignment vertical="center" wrapText="1"/>
      <protection/>
    </xf>
    <xf numFmtId="3" fontId="45" fillId="0" borderId="31" xfId="60" applyNumberFormat="1" applyFont="1" applyFill="1" applyBorder="1" applyAlignment="1">
      <alignment vertical="center"/>
      <protection/>
    </xf>
    <xf numFmtId="3" fontId="45" fillId="0" borderId="25" xfId="60" applyNumberFormat="1" applyFont="1" applyFill="1" applyBorder="1" applyAlignment="1">
      <alignment vertical="center"/>
      <protection/>
    </xf>
    <xf numFmtId="3" fontId="45" fillId="0" borderId="21" xfId="60" applyNumberFormat="1" applyFont="1" applyFill="1" applyBorder="1" applyAlignment="1">
      <alignment vertical="center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3" fontId="44" fillId="0" borderId="25" xfId="60" applyNumberFormat="1" applyFont="1" applyFill="1" applyBorder="1" applyAlignment="1">
      <alignment vertical="center"/>
      <protection/>
    </xf>
    <xf numFmtId="3" fontId="37" fillId="32" borderId="21" xfId="60" applyNumberFormat="1" applyFont="1" applyFill="1" applyBorder="1" applyAlignment="1">
      <alignment vertical="center"/>
      <protection/>
    </xf>
    <xf numFmtId="3" fontId="46" fillId="0" borderId="21" xfId="60" applyNumberFormat="1" applyFont="1" applyFill="1" applyBorder="1" applyAlignment="1">
      <alignment vertical="center" wrapText="1"/>
      <protection/>
    </xf>
    <xf numFmtId="3" fontId="46" fillId="0" borderId="25" xfId="60" applyNumberFormat="1" applyFont="1" applyFill="1" applyBorder="1" applyAlignment="1">
      <alignment vertical="center" wrapText="1"/>
      <protection/>
    </xf>
    <xf numFmtId="3" fontId="47" fillId="0" borderId="21" xfId="60" applyNumberFormat="1" applyFont="1" applyFill="1" applyBorder="1" applyAlignment="1">
      <alignment vertical="center"/>
      <protection/>
    </xf>
    <xf numFmtId="3" fontId="45" fillId="0" borderId="116" xfId="60" applyNumberFormat="1" applyFont="1" applyFill="1" applyBorder="1" applyAlignment="1">
      <alignment vertical="center"/>
      <protection/>
    </xf>
    <xf numFmtId="3" fontId="44" fillId="0" borderId="21" xfId="60" applyNumberFormat="1" applyFont="1" applyFill="1" applyBorder="1" applyAlignment="1">
      <alignment vertical="center"/>
      <protection/>
    </xf>
    <xf numFmtId="3" fontId="45" fillId="0" borderId="34" xfId="60" applyNumberFormat="1" applyFont="1" applyFill="1" applyBorder="1" applyAlignment="1">
      <alignment vertical="center"/>
      <protection/>
    </xf>
    <xf numFmtId="3" fontId="19" fillId="0" borderId="28" xfId="60" applyNumberFormat="1" applyFont="1" applyFill="1" applyBorder="1" applyAlignment="1">
      <alignment vertical="center"/>
      <protection/>
    </xf>
    <xf numFmtId="3" fontId="19" fillId="0" borderId="34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 wrapText="1"/>
      <protection/>
    </xf>
    <xf numFmtId="3" fontId="37" fillId="0" borderId="112" xfId="60" applyNumberFormat="1" applyFont="1" applyFill="1" applyBorder="1" applyAlignment="1">
      <alignment vertical="center" wrapText="1"/>
      <protection/>
    </xf>
    <xf numFmtId="0" fontId="17" fillId="0" borderId="25" xfId="60" applyFont="1" applyFill="1" applyBorder="1" applyAlignment="1">
      <alignment vertical="center" wrapText="1"/>
      <protection/>
    </xf>
    <xf numFmtId="3" fontId="37" fillId="0" borderId="26" xfId="60" applyNumberFormat="1" applyFont="1" applyFill="1" applyBorder="1" applyAlignment="1">
      <alignment vertical="center" wrapText="1"/>
      <protection/>
    </xf>
    <xf numFmtId="3" fontId="37" fillId="0" borderId="11" xfId="60" applyNumberFormat="1" applyFont="1" applyFill="1" applyBorder="1" applyAlignment="1">
      <alignment vertical="center" wrapText="1"/>
      <protection/>
    </xf>
    <xf numFmtId="3" fontId="19" fillId="0" borderId="117" xfId="60" applyNumberFormat="1" applyFont="1" applyFill="1" applyBorder="1" applyAlignment="1">
      <alignment vertical="center"/>
      <protection/>
    </xf>
    <xf numFmtId="3" fontId="19" fillId="0" borderId="77" xfId="60" applyNumberFormat="1" applyFont="1" applyFill="1" applyBorder="1" applyAlignment="1">
      <alignment vertical="center"/>
      <protection/>
    </xf>
    <xf numFmtId="3" fontId="37" fillId="0" borderId="11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7" fillId="0" borderId="118" xfId="60" applyNumberFormat="1" applyFont="1" applyFill="1" applyBorder="1" applyAlignment="1">
      <alignment vertical="center" wrapText="1"/>
      <protection/>
    </xf>
    <xf numFmtId="3" fontId="37" fillId="0" borderId="116" xfId="60" applyNumberFormat="1" applyFont="1" applyFill="1" applyBorder="1" applyAlignment="1">
      <alignment vertical="center" wrapText="1"/>
      <protection/>
    </xf>
    <xf numFmtId="49" fontId="38" fillId="0" borderId="119" xfId="60" applyNumberFormat="1" applyFont="1" applyFill="1" applyBorder="1" applyAlignment="1">
      <alignment horizontal="center" vertical="center"/>
      <protection/>
    </xf>
    <xf numFmtId="0" fontId="17" fillId="0" borderId="120" xfId="60" applyFont="1" applyFill="1" applyBorder="1" applyAlignment="1">
      <alignment vertical="center" wrapText="1"/>
      <protection/>
    </xf>
    <xf numFmtId="3" fontId="37" fillId="0" borderId="119" xfId="60" applyNumberFormat="1" applyFont="1" applyFill="1" applyBorder="1" applyAlignment="1">
      <alignment vertical="center" wrapText="1"/>
      <protection/>
    </xf>
    <xf numFmtId="3" fontId="37" fillId="0" borderId="120" xfId="60" applyNumberFormat="1" applyFont="1" applyFill="1" applyBorder="1" applyAlignment="1">
      <alignment vertical="center" wrapText="1"/>
      <protection/>
    </xf>
    <xf numFmtId="3" fontId="37" fillId="0" borderId="34" xfId="60" applyNumberFormat="1" applyFont="1" applyFill="1" applyBorder="1" applyAlignment="1">
      <alignment vertical="center" wrapText="1"/>
      <protection/>
    </xf>
    <xf numFmtId="3" fontId="19" fillId="0" borderId="89" xfId="60" applyNumberFormat="1" applyFont="1" applyFill="1" applyBorder="1" applyAlignment="1">
      <alignment horizontal="right" vertical="center"/>
      <protection/>
    </xf>
    <xf numFmtId="3" fontId="40" fillId="0" borderId="28" xfId="60" applyNumberFormat="1" applyFont="1" applyFill="1" applyBorder="1" applyAlignment="1">
      <alignment vertical="center"/>
      <protection/>
    </xf>
    <xf numFmtId="3" fontId="40" fillId="0" borderId="39" xfId="60" applyNumberFormat="1" applyFont="1" applyFill="1" applyBorder="1" applyAlignment="1">
      <alignment vertical="center"/>
      <protection/>
    </xf>
    <xf numFmtId="3" fontId="40" fillId="0" borderId="77" xfId="60" applyNumberFormat="1" applyFont="1" applyFill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0" fontId="38" fillId="0" borderId="114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3" fontId="37" fillId="0" borderId="114" xfId="0" applyNumberFormat="1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13" xfId="0" applyNumberFormat="1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vertical="center" wrapText="1"/>
    </xf>
    <xf numFmtId="3" fontId="39" fillId="0" borderId="26" xfId="0" applyNumberFormat="1" applyFont="1" applyFill="1" applyBorder="1" applyAlignment="1">
      <alignment vertical="center"/>
    </xf>
    <xf numFmtId="3" fontId="37" fillId="0" borderId="115" xfId="0" applyNumberFormat="1" applyFont="1" applyFill="1" applyBorder="1" applyAlignment="1">
      <alignment vertical="center"/>
    </xf>
    <xf numFmtId="3" fontId="37" fillId="0" borderId="114" xfId="0" applyNumberFormat="1" applyFont="1" applyFill="1" applyBorder="1" applyAlignment="1">
      <alignment vertical="center"/>
    </xf>
    <xf numFmtId="3" fontId="37" fillId="0" borderId="25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8" fillId="0" borderId="31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 wrapText="1"/>
    </xf>
    <xf numFmtId="3" fontId="39" fillId="0" borderId="11" xfId="0" applyNumberFormat="1" applyFont="1" applyFill="1" applyBorder="1" applyAlignment="1">
      <alignment vertical="center"/>
    </xf>
    <xf numFmtId="3" fontId="37" fillId="0" borderId="21" xfId="0" applyNumberFormat="1" applyFont="1" applyFill="1" applyBorder="1" applyAlignment="1">
      <alignment vertical="center"/>
    </xf>
    <xf numFmtId="3" fontId="39" fillId="0" borderId="20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 horizontal="right" vertical="center"/>
    </xf>
    <xf numFmtId="49" fontId="38" fillId="0" borderId="119" xfId="0" applyNumberFormat="1" applyFont="1" applyFill="1" applyBorder="1" applyAlignment="1">
      <alignment horizontal="center" vertical="center"/>
    </xf>
    <xf numFmtId="3" fontId="37" fillId="0" borderId="120" xfId="0" applyNumberFormat="1" applyFont="1" applyFill="1" applyBorder="1" applyAlignment="1">
      <alignment vertical="center"/>
    </xf>
    <xf numFmtId="3" fontId="39" fillId="0" borderId="19" xfId="0" applyNumberFormat="1" applyFont="1" applyFill="1" applyBorder="1" applyAlignment="1">
      <alignment vertical="center"/>
    </xf>
    <xf numFmtId="3" fontId="37" fillId="0" borderId="27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7" fillId="0" borderId="12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3" fontId="50" fillId="0" borderId="34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34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38" fillId="0" borderId="0" xfId="58" applyFont="1" applyFill="1" applyAlignment="1">
      <alignment horizontal="center" vertical="center"/>
      <protection/>
    </xf>
    <xf numFmtId="0" fontId="15" fillId="0" borderId="0" xfId="58" applyFont="1" applyFill="1" applyAlignment="1">
      <alignment vertical="center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5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25" xfId="58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51" fillId="0" borderId="25" xfId="58" applyFont="1" applyBorder="1">
      <alignment/>
      <protection/>
    </xf>
    <xf numFmtId="3" fontId="51" fillId="0" borderId="25" xfId="58" applyNumberFormat="1" applyFont="1" applyBorder="1">
      <alignment/>
      <protection/>
    </xf>
    <xf numFmtId="0" fontId="52" fillId="0" borderId="0" xfId="0" applyFont="1" applyAlignment="1">
      <alignment/>
    </xf>
    <xf numFmtId="0" fontId="38" fillId="0" borderId="25" xfId="58" applyFont="1" applyBorder="1">
      <alignment/>
      <protection/>
    </xf>
    <xf numFmtId="3" fontId="38" fillId="0" borderId="25" xfId="58" applyNumberFormat="1" applyFont="1" applyBorder="1">
      <alignment/>
      <protection/>
    </xf>
    <xf numFmtId="3" fontId="16" fillId="0" borderId="25" xfId="58" applyNumberFormat="1" applyFont="1" applyBorder="1">
      <alignment/>
      <protection/>
    </xf>
    <xf numFmtId="0" fontId="45" fillId="0" borderId="25" xfId="58" applyFont="1" applyBorder="1">
      <alignment/>
      <protection/>
    </xf>
    <xf numFmtId="3" fontId="45" fillId="0" borderId="25" xfId="58" applyNumberFormat="1" applyFont="1" applyBorder="1">
      <alignment/>
      <protection/>
    </xf>
    <xf numFmtId="0" fontId="53" fillId="0" borderId="25" xfId="58" applyFont="1" applyBorder="1">
      <alignment/>
      <protection/>
    </xf>
    <xf numFmtId="0" fontId="53" fillId="0" borderId="0" xfId="58" applyFont="1">
      <alignment/>
      <protection/>
    </xf>
    <xf numFmtId="0" fontId="53" fillId="0" borderId="25" xfId="58" applyFont="1" applyBorder="1" applyAlignment="1">
      <alignment horizontal="left"/>
      <protection/>
    </xf>
    <xf numFmtId="3" fontId="53" fillId="0" borderId="25" xfId="58" applyNumberFormat="1" applyFont="1" applyBorder="1">
      <alignment/>
      <protection/>
    </xf>
    <xf numFmtId="0" fontId="37" fillId="0" borderId="25" xfId="58" applyFont="1" applyBorder="1">
      <alignment/>
      <protection/>
    </xf>
    <xf numFmtId="3" fontId="37" fillId="0" borderId="25" xfId="58" applyNumberFormat="1" applyFont="1" applyBorder="1">
      <alignment/>
      <protection/>
    </xf>
    <xf numFmtId="0" fontId="46" fillId="0" borderId="25" xfId="58" applyFont="1" applyBorder="1" applyAlignment="1">
      <alignment horizontal="left"/>
      <protection/>
    </xf>
    <xf numFmtId="3" fontId="48" fillId="0" borderId="25" xfId="58" applyNumberFormat="1" applyFont="1" applyBorder="1">
      <alignment/>
      <protection/>
    </xf>
    <xf numFmtId="3" fontId="37" fillId="0" borderId="25" xfId="58" applyNumberFormat="1" applyFont="1" applyFill="1" applyBorder="1">
      <alignment/>
      <protection/>
    </xf>
    <xf numFmtId="3" fontId="48" fillId="0" borderId="25" xfId="58" applyNumberFormat="1" applyFont="1" applyFill="1" applyBorder="1">
      <alignment/>
      <protection/>
    </xf>
    <xf numFmtId="3" fontId="17" fillId="0" borderId="25" xfId="58" applyNumberFormat="1" applyFont="1" applyBorder="1">
      <alignment/>
      <protection/>
    </xf>
    <xf numFmtId="0" fontId="37" fillId="0" borderId="18" xfId="58" applyFont="1" applyBorder="1" applyAlignment="1">
      <alignment horizontal="left"/>
      <protection/>
    </xf>
    <xf numFmtId="0" fontId="37" fillId="0" borderId="21" xfId="58" applyFont="1" applyBorder="1" applyAlignment="1">
      <alignment horizontal="left"/>
      <protection/>
    </xf>
    <xf numFmtId="0" fontId="46" fillId="0" borderId="25" xfId="58" applyFont="1" applyBorder="1">
      <alignment/>
      <protection/>
    </xf>
    <xf numFmtId="3" fontId="46" fillId="0" borderId="25" xfId="58" applyNumberFormat="1" applyFont="1" applyBorder="1">
      <alignment/>
      <protection/>
    </xf>
    <xf numFmtId="0" fontId="15" fillId="0" borderId="25" xfId="58" applyFont="1" applyBorder="1">
      <alignment/>
      <protection/>
    </xf>
    <xf numFmtId="0" fontId="46" fillId="0" borderId="25" xfId="58" applyFont="1" applyBorder="1" applyAlignment="1">
      <alignment horizontal="right"/>
      <protection/>
    </xf>
    <xf numFmtId="0" fontId="46" fillId="0" borderId="18" xfId="58" applyFont="1" applyBorder="1" applyAlignment="1">
      <alignment horizontal="left"/>
      <protection/>
    </xf>
    <xf numFmtId="0" fontId="46" fillId="0" borderId="21" xfId="58" applyFont="1" applyBorder="1" applyAlignment="1">
      <alignment horizontal="left"/>
      <protection/>
    </xf>
    <xf numFmtId="0" fontId="15" fillId="0" borderId="18" xfId="58" applyFont="1" applyBorder="1">
      <alignment/>
      <protection/>
    </xf>
    <xf numFmtId="0" fontId="15" fillId="0" borderId="0" xfId="58" applyFont="1">
      <alignment/>
      <protection/>
    </xf>
    <xf numFmtId="3" fontId="16" fillId="0" borderId="18" xfId="58" applyNumberFormat="1" applyFont="1" applyBorder="1">
      <alignment/>
      <protection/>
    </xf>
    <xf numFmtId="3" fontId="15" fillId="0" borderId="20" xfId="58" applyNumberFormat="1" applyFont="1" applyBorder="1">
      <alignment/>
      <protection/>
    </xf>
    <xf numFmtId="3" fontId="16" fillId="0" borderId="21" xfId="58" applyNumberFormat="1" applyFont="1" applyBorder="1">
      <alignment/>
      <protection/>
    </xf>
    <xf numFmtId="3" fontId="12" fillId="0" borderId="25" xfId="58" applyNumberFormat="1" applyFont="1" applyBorder="1">
      <alignment/>
      <protection/>
    </xf>
    <xf numFmtId="0" fontId="15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6" borderId="31" xfId="0" applyFont="1" applyFill="1" applyBorder="1" applyAlignment="1">
      <alignment vertical="center"/>
    </xf>
    <xf numFmtId="0" fontId="16" fillId="36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15" fillId="37" borderId="31" xfId="0" applyNumberFormat="1" applyFont="1" applyFill="1" applyBorder="1" applyAlignment="1">
      <alignment vertical="center" wrapText="1"/>
    </xf>
    <xf numFmtId="0" fontId="15" fillId="37" borderId="25" xfId="0" applyFont="1" applyFill="1" applyBorder="1" applyAlignment="1">
      <alignment/>
    </xf>
    <xf numFmtId="49" fontId="18" fillId="0" borderId="31" xfId="0" applyNumberFormat="1" applyFont="1" applyBorder="1" applyAlignment="1">
      <alignment wrapText="1"/>
    </xf>
    <xf numFmtId="0" fontId="18" fillId="0" borderId="25" xfId="0" applyFont="1" applyBorder="1" applyAlignment="1">
      <alignment/>
    </xf>
    <xf numFmtId="0" fontId="18" fillId="0" borderId="0" xfId="0" applyFont="1" applyFill="1" applyAlignment="1">
      <alignment/>
    </xf>
    <xf numFmtId="49" fontId="18" fillId="0" borderId="31" xfId="0" applyNumberFormat="1" applyFont="1" applyBorder="1" applyAlignment="1">
      <alignment/>
    </xf>
    <xf numFmtId="0" fontId="15" fillId="37" borderId="31" xfId="0" applyFont="1" applyFill="1" applyBorder="1" applyAlignment="1">
      <alignment wrapText="1"/>
    </xf>
    <xf numFmtId="0" fontId="16" fillId="36" borderId="31" xfId="0" applyFont="1" applyFill="1" applyBorder="1" applyAlignment="1">
      <alignment vertical="center" wrapText="1"/>
    </xf>
    <xf numFmtId="0" fontId="16" fillId="36" borderId="2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31" xfId="0" applyFont="1" applyBorder="1" applyAlignment="1">
      <alignment wrapText="1"/>
    </xf>
    <xf numFmtId="0" fontId="16" fillId="0" borderId="3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49" fontId="47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/>
    </xf>
    <xf numFmtId="0" fontId="18" fillId="0" borderId="25" xfId="0" applyFont="1" applyFill="1" applyBorder="1" applyAlignment="1">
      <alignment/>
    </xf>
    <xf numFmtId="0" fontId="16" fillId="7" borderId="31" xfId="0" applyFont="1" applyFill="1" applyBorder="1" applyAlignment="1">
      <alignment wrapText="1"/>
    </xf>
    <xf numFmtId="0" fontId="16" fillId="7" borderId="25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/>
    </xf>
    <xf numFmtId="3" fontId="54" fillId="0" borderId="25" xfId="0" applyNumberFormat="1" applyFont="1" applyBorder="1" applyAlignment="1">
      <alignment/>
    </xf>
    <xf numFmtId="0" fontId="55" fillId="0" borderId="0" xfId="0" applyFont="1" applyAlignment="1">
      <alignment/>
    </xf>
    <xf numFmtId="0" fontId="38" fillId="0" borderId="25" xfId="0" applyFont="1" applyBorder="1" applyAlignment="1">
      <alignment/>
    </xf>
    <xf numFmtId="3" fontId="38" fillId="0" borderId="2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37" fillId="0" borderId="25" xfId="0" applyFont="1" applyBorder="1" applyAlignment="1">
      <alignment/>
    </xf>
    <xf numFmtId="3" fontId="37" fillId="0" borderId="25" xfId="0" applyNumberFormat="1" applyFont="1" applyBorder="1" applyAlignment="1">
      <alignment/>
    </xf>
    <xf numFmtId="3" fontId="48" fillId="0" borderId="25" xfId="0" applyNumberFormat="1" applyFont="1" applyBorder="1" applyAlignment="1">
      <alignment/>
    </xf>
    <xf numFmtId="0" fontId="56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left"/>
    </xf>
    <xf numFmtId="3" fontId="46" fillId="0" borderId="25" xfId="0" applyNumberFormat="1" applyFont="1" applyBorder="1" applyAlignment="1">
      <alignment/>
    </xf>
    <xf numFmtId="3" fontId="57" fillId="0" borderId="25" xfId="0" applyNumberFormat="1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left"/>
    </xf>
    <xf numFmtId="0" fontId="46" fillId="0" borderId="25" xfId="0" applyFont="1" applyBorder="1" applyAlignment="1">
      <alignment horizontal="left" vertical="center" wrapText="1"/>
    </xf>
    <xf numFmtId="3" fontId="46" fillId="32" borderId="25" xfId="0" applyNumberFormat="1" applyFont="1" applyFill="1" applyBorder="1" applyAlignment="1">
      <alignment/>
    </xf>
    <xf numFmtId="0" fontId="46" fillId="0" borderId="25" xfId="0" applyFont="1" applyBorder="1" applyAlignment="1">
      <alignment horizontal="left" vertical="top"/>
    </xf>
    <xf numFmtId="0" fontId="46" fillId="0" borderId="25" xfId="0" applyFont="1" applyBorder="1" applyAlignment="1">
      <alignment horizontal="left" wrapText="1"/>
    </xf>
    <xf numFmtId="3" fontId="46" fillId="0" borderId="53" xfId="0" applyNumberFormat="1" applyFont="1" applyFill="1" applyBorder="1" applyAlignment="1">
      <alignment/>
    </xf>
    <xf numFmtId="0" fontId="45" fillId="0" borderId="25" xfId="0" applyFont="1" applyBorder="1" applyAlignment="1">
      <alignment/>
    </xf>
    <xf numFmtId="3" fontId="45" fillId="0" borderId="25" xfId="0" applyNumberFormat="1" applyFont="1" applyBorder="1" applyAlignment="1">
      <alignment/>
    </xf>
    <xf numFmtId="3" fontId="58" fillId="0" borderId="25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5" xfId="0" applyFont="1" applyBorder="1" applyAlignment="1">
      <alignment horizontal="right"/>
    </xf>
    <xf numFmtId="3" fontId="53" fillId="0" borderId="25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8" fillId="0" borderId="51" xfId="59" applyFont="1" applyBorder="1" applyAlignment="1">
      <alignment horizontal="left" wrapText="1"/>
      <protection/>
    </xf>
    <xf numFmtId="0" fontId="18" fillId="0" borderId="0" xfId="59" applyFont="1" applyBorder="1" applyAlignment="1">
      <alignment horizontal="left" wrapText="1"/>
      <protection/>
    </xf>
    <xf numFmtId="0" fontId="15" fillId="0" borderId="75" xfId="59" applyFont="1" applyBorder="1">
      <alignment/>
      <protection/>
    </xf>
    <xf numFmtId="3" fontId="37" fillId="0" borderId="122" xfId="60" applyNumberFormat="1" applyFont="1" applyFill="1" applyBorder="1" applyAlignment="1">
      <alignment vertical="center" wrapText="1"/>
      <protection/>
    </xf>
    <xf numFmtId="3" fontId="37" fillId="0" borderId="87" xfId="60" applyNumberFormat="1" applyFont="1" applyFill="1" applyBorder="1" applyAlignment="1">
      <alignment vertical="center" wrapText="1"/>
      <protection/>
    </xf>
    <xf numFmtId="0" fontId="2" fillId="0" borderId="1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3" fontId="15" fillId="0" borderId="18" xfId="61" applyNumberFormat="1" applyFont="1" applyBorder="1">
      <alignment/>
      <protection/>
    </xf>
    <xf numFmtId="0" fontId="18" fillId="0" borderId="45" xfId="59" applyFont="1" applyBorder="1" applyAlignment="1">
      <alignment horizontal="left" wrapText="1"/>
      <protection/>
    </xf>
    <xf numFmtId="3" fontId="18" fillId="0" borderId="33" xfId="59" applyNumberFormat="1" applyFont="1" applyBorder="1" applyAlignment="1">
      <alignment horizontal="right"/>
      <protection/>
    </xf>
    <xf numFmtId="0" fontId="17" fillId="0" borderId="121" xfId="60" applyFont="1" applyFill="1" applyBorder="1" applyAlignment="1">
      <alignment vertical="center" wrapText="1"/>
      <protection/>
    </xf>
    <xf numFmtId="3" fontId="18" fillId="0" borderId="69" xfId="59" applyNumberFormat="1" applyFont="1" applyBorder="1">
      <alignment/>
      <protection/>
    </xf>
    <xf numFmtId="0" fontId="2" fillId="0" borderId="18" xfId="0" applyFont="1" applyFill="1" applyBorder="1" applyAlignment="1">
      <alignment vertical="center"/>
    </xf>
    <xf numFmtId="0" fontId="38" fillId="0" borderId="25" xfId="0" applyFont="1" applyBorder="1" applyAlignment="1">
      <alignment horizontal="left"/>
    </xf>
    <xf numFmtId="0" fontId="33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8" fillId="0" borderId="25" xfId="0" applyFont="1" applyBorder="1" applyAlignment="1">
      <alignment horizontal="left" wrapText="1"/>
    </xf>
    <xf numFmtId="0" fontId="3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8" fillId="0" borderId="25" xfId="58" applyFont="1" applyBorder="1" applyAlignment="1">
      <alignment horizontal="left"/>
      <protection/>
    </xf>
    <xf numFmtId="0" fontId="12" fillId="0" borderId="18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21" xfId="58" applyFont="1" applyBorder="1" applyAlignment="1">
      <alignment horizontal="left"/>
      <protection/>
    </xf>
    <xf numFmtId="0" fontId="51" fillId="0" borderId="18" xfId="58" applyFont="1" applyBorder="1" applyAlignment="1">
      <alignment horizontal="left"/>
      <protection/>
    </xf>
    <xf numFmtId="0" fontId="51" fillId="0" borderId="20" xfId="58" applyFont="1" applyBorder="1" applyAlignment="1">
      <alignment horizontal="left"/>
      <protection/>
    </xf>
    <xf numFmtId="0" fontId="51" fillId="0" borderId="21" xfId="58" applyFont="1" applyBorder="1" applyAlignment="1">
      <alignment horizontal="left"/>
      <protection/>
    </xf>
    <xf numFmtId="0" fontId="37" fillId="0" borderId="18" xfId="58" applyFont="1" applyBorder="1" applyAlignment="1">
      <alignment horizontal="left" wrapText="1"/>
      <protection/>
    </xf>
    <xf numFmtId="0" fontId="37" fillId="0" borderId="21" xfId="58" applyFont="1" applyBorder="1" applyAlignment="1">
      <alignment horizontal="left" wrapText="1"/>
      <protection/>
    </xf>
    <xf numFmtId="0" fontId="51" fillId="0" borderId="25" xfId="58" applyFont="1" applyBorder="1" applyAlignment="1">
      <alignment horizontal="left"/>
      <protection/>
    </xf>
    <xf numFmtId="0" fontId="33" fillId="0" borderId="18" xfId="58" applyFont="1" applyFill="1" applyBorder="1" applyAlignment="1">
      <alignment horizontal="center" vertical="center" wrapText="1"/>
      <protection/>
    </xf>
    <xf numFmtId="0" fontId="16" fillId="0" borderId="20" xfId="58" applyFont="1" applyFill="1" applyBorder="1" applyAlignment="1">
      <alignment horizontal="center" vertical="center" wrapText="1"/>
      <protection/>
    </xf>
    <xf numFmtId="0" fontId="16" fillId="0" borderId="21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37" fillId="0" borderId="18" xfId="58" applyFont="1" applyBorder="1" applyAlignment="1">
      <alignment horizontal="left" vertical="center" wrapText="1"/>
      <protection/>
    </xf>
    <xf numFmtId="0" fontId="37" fillId="0" borderId="21" xfId="58" applyFont="1" applyBorder="1" applyAlignment="1">
      <alignment horizontal="left" vertical="center" wrapText="1"/>
      <protection/>
    </xf>
    <xf numFmtId="0" fontId="37" fillId="0" borderId="18" xfId="58" applyFont="1" applyBorder="1" applyAlignment="1">
      <alignment horizontal="left"/>
      <protection/>
    </xf>
    <xf numFmtId="0" fontId="37" fillId="0" borderId="21" xfId="58" applyFont="1" applyBorder="1" applyAlignment="1">
      <alignment horizontal="left"/>
      <protection/>
    </xf>
    <xf numFmtId="0" fontId="38" fillId="0" borderId="18" xfId="58" applyFont="1" applyBorder="1" applyAlignment="1">
      <alignment horizontal="left"/>
      <protection/>
    </xf>
    <xf numFmtId="0" fontId="38" fillId="0" borderId="20" xfId="58" applyFont="1" applyBorder="1" applyAlignment="1">
      <alignment horizontal="left"/>
      <protection/>
    </xf>
    <xf numFmtId="0" fontId="38" fillId="0" borderId="21" xfId="58" applyFont="1" applyBorder="1" applyAlignment="1">
      <alignment horizontal="left"/>
      <protection/>
    </xf>
    <xf numFmtId="0" fontId="15" fillId="0" borderId="0" xfId="58" applyFont="1" applyAlignment="1">
      <alignment horizontal="right" vertical="center"/>
      <protection/>
    </xf>
    <xf numFmtId="0" fontId="35" fillId="0" borderId="0" xfId="58" applyFont="1" applyFill="1" applyAlignment="1">
      <alignment horizontal="center" vertical="center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17" fillId="0" borderId="20" xfId="57" applyFont="1" applyBorder="1" applyAlignment="1">
      <alignment horizontal="center" vertical="center" wrapText="1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/>
    </xf>
    <xf numFmtId="0" fontId="12" fillId="0" borderId="0" xfId="57" applyFont="1" applyAlignment="1">
      <alignment horizontal="center"/>
      <protection/>
    </xf>
    <xf numFmtId="0" fontId="12" fillId="0" borderId="25" xfId="57" applyFont="1" applyBorder="1" applyAlignment="1">
      <alignment horizontal="center" vertical="center"/>
      <protection/>
    </xf>
    <xf numFmtId="0" fontId="17" fillId="0" borderId="25" xfId="57" applyFont="1" applyBorder="1" applyAlignment="1">
      <alignment horizontal="center" vertical="center"/>
      <protection/>
    </xf>
    <xf numFmtId="0" fontId="17" fillId="0" borderId="18" xfId="57" applyFont="1" applyBorder="1" applyAlignment="1">
      <alignment horizontal="center"/>
      <protection/>
    </xf>
    <xf numFmtId="0" fontId="17" fillId="0" borderId="20" xfId="57" applyFont="1" applyBorder="1" applyAlignment="1">
      <alignment horizontal="center"/>
      <protection/>
    </xf>
    <xf numFmtId="0" fontId="17" fillId="0" borderId="21" xfId="57" applyFont="1" applyBorder="1" applyAlignment="1">
      <alignment horizontal="center"/>
      <protection/>
    </xf>
    <xf numFmtId="0" fontId="14" fillId="0" borderId="18" xfId="57" applyFont="1" applyBorder="1" applyAlignment="1">
      <alignment horizontal="right" vertical="center"/>
      <protection/>
    </xf>
    <xf numFmtId="0" fontId="14" fillId="0" borderId="20" xfId="57" applyFont="1" applyBorder="1" applyAlignment="1">
      <alignment horizontal="right" vertical="center"/>
      <protection/>
    </xf>
    <xf numFmtId="0" fontId="16" fillId="0" borderId="0" xfId="0" applyFont="1" applyFill="1" applyAlignment="1">
      <alignment horizontal="center" vertical="center"/>
    </xf>
    <xf numFmtId="0" fontId="49" fillId="0" borderId="123" xfId="0" applyFont="1" applyFill="1" applyBorder="1" applyAlignment="1">
      <alignment horizontal="center" vertical="center" wrapText="1"/>
    </xf>
    <xf numFmtId="0" fontId="49" fillId="0" borderId="124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>
      <alignment horizontal="center" vertical="center" wrapText="1"/>
    </xf>
    <xf numFmtId="0" fontId="48" fillId="0" borderId="120" xfId="0" applyFont="1" applyFill="1" applyBorder="1" applyAlignment="1">
      <alignment horizontal="center" vertical="center" wrapText="1"/>
    </xf>
    <xf numFmtId="0" fontId="48" fillId="0" borderId="114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12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15" xfId="0" applyFont="1" applyFill="1" applyBorder="1" applyAlignment="1">
      <alignment horizontal="center" vertical="center" wrapText="1"/>
    </xf>
    <xf numFmtId="49" fontId="38" fillId="0" borderId="119" xfId="0" applyNumberFormat="1" applyFont="1" applyFill="1" applyBorder="1" applyAlignment="1">
      <alignment horizontal="center" vertical="center" textRotation="90"/>
    </xf>
    <xf numFmtId="49" fontId="38" fillId="0" borderId="110" xfId="0" applyNumberFormat="1" applyFont="1" applyFill="1" applyBorder="1" applyAlignment="1">
      <alignment horizontal="center" vertical="center" textRotation="90"/>
    </xf>
    <xf numFmtId="49" fontId="38" fillId="0" borderId="113" xfId="0" applyNumberFormat="1" applyFont="1" applyFill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wrapText="1"/>
    </xf>
    <xf numFmtId="0" fontId="17" fillId="0" borderId="126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49" fontId="37" fillId="0" borderId="31" xfId="0" applyNumberFormat="1" applyFont="1" applyFill="1" applyBorder="1" applyAlignment="1">
      <alignment horizontal="center" textRotation="90"/>
    </xf>
    <xf numFmtId="49" fontId="17" fillId="0" borderId="122" xfId="0" applyNumberFormat="1" applyFont="1" applyFill="1" applyBorder="1" applyAlignment="1">
      <alignment horizontal="center" vertical="center"/>
    </xf>
    <xf numFmtId="49" fontId="17" fillId="0" borderId="110" xfId="0" applyNumberFormat="1" applyFont="1" applyFill="1" applyBorder="1" applyAlignment="1">
      <alignment horizontal="center" vertical="center"/>
    </xf>
    <xf numFmtId="49" fontId="17" fillId="0" borderId="113" xfId="0" applyNumberFormat="1" applyFont="1" applyFill="1" applyBorder="1" applyAlignment="1">
      <alignment horizontal="center" vertical="center"/>
    </xf>
    <xf numFmtId="0" fontId="15" fillId="0" borderId="0" xfId="60" applyFont="1" applyFill="1" applyAlignment="1">
      <alignment horizontal="right" vertical="center"/>
      <protection/>
    </xf>
    <xf numFmtId="0" fontId="15" fillId="0" borderId="0" xfId="60" applyFont="1" applyAlignment="1">
      <alignment horizontal="right"/>
      <protection/>
    </xf>
    <xf numFmtId="0" fontId="14" fillId="0" borderId="49" xfId="60" applyFont="1" applyFill="1" applyBorder="1" applyAlignment="1">
      <alignment horizontal="center" vertical="center" wrapText="1"/>
      <protection/>
    </xf>
    <xf numFmtId="0" fontId="14" fillId="0" borderId="99" xfId="60" applyFont="1" applyFill="1" applyBorder="1" applyAlignment="1">
      <alignment horizontal="center" vertical="center" wrapText="1"/>
      <protection/>
    </xf>
    <xf numFmtId="0" fontId="14" fillId="0" borderId="129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7" fillId="0" borderId="56" xfId="60" applyFont="1" applyFill="1" applyBorder="1" applyAlignment="1">
      <alignment horizontal="center" vertical="center" wrapText="1"/>
      <protection/>
    </xf>
    <xf numFmtId="0" fontId="17" fillId="0" borderId="33" xfId="60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0" fontId="17" fillId="0" borderId="115" xfId="60" applyFont="1" applyFill="1" applyBorder="1" applyAlignment="1">
      <alignment horizontal="center" vertical="center" wrapText="1"/>
      <protection/>
    </xf>
    <xf numFmtId="0" fontId="17" fillId="0" borderId="114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17" fillId="0" borderId="21" xfId="60" applyFont="1" applyFill="1" applyBorder="1" applyAlignment="1">
      <alignment horizontal="center" vertical="center" wrapText="1"/>
      <protection/>
    </xf>
    <xf numFmtId="0" fontId="17" fillId="0" borderId="25" xfId="60" applyFont="1" applyFill="1" applyBorder="1" applyAlignment="1">
      <alignment horizontal="center" vertical="center" wrapText="1"/>
      <protection/>
    </xf>
    <xf numFmtId="0" fontId="17" fillId="0" borderId="13" xfId="60" applyFont="1" applyFill="1" applyBorder="1" applyAlignment="1">
      <alignment horizontal="center" vertical="center" wrapText="1"/>
      <protection/>
    </xf>
    <xf numFmtId="0" fontId="40" fillId="0" borderId="130" xfId="60" applyFont="1" applyFill="1" applyBorder="1" applyAlignment="1">
      <alignment horizontal="left" vertical="center"/>
      <protection/>
    </xf>
    <xf numFmtId="0" fontId="40" fillId="0" borderId="30" xfId="60" applyFont="1" applyFill="1" applyBorder="1" applyAlignment="1">
      <alignment horizontal="left" vertical="center"/>
      <protection/>
    </xf>
    <xf numFmtId="0" fontId="40" fillId="0" borderId="17" xfId="60" applyFont="1" applyFill="1" applyBorder="1" applyAlignment="1">
      <alignment horizontal="left" vertical="center"/>
      <protection/>
    </xf>
    <xf numFmtId="0" fontId="19" fillId="0" borderId="89" xfId="60" applyFont="1" applyFill="1" applyBorder="1" applyAlignment="1">
      <alignment horizontal="left" vertical="center"/>
      <protection/>
    </xf>
    <xf numFmtId="0" fontId="19" fillId="0" borderId="88" xfId="60" applyFont="1" applyFill="1" applyBorder="1" applyAlignment="1">
      <alignment horizontal="left" vertical="center"/>
      <protection/>
    </xf>
    <xf numFmtId="0" fontId="19" fillId="0" borderId="76" xfId="60" applyFont="1" applyFill="1" applyBorder="1" applyAlignment="1">
      <alignment horizontal="left" vertical="center"/>
      <protection/>
    </xf>
    <xf numFmtId="0" fontId="19" fillId="0" borderId="89" xfId="60" applyFont="1" applyFill="1" applyBorder="1" applyAlignment="1">
      <alignment horizontal="left" vertical="center" wrapText="1"/>
      <protection/>
    </xf>
    <xf numFmtId="0" fontId="19" fillId="0" borderId="88" xfId="60" applyFont="1" applyFill="1" applyBorder="1" applyAlignment="1">
      <alignment horizontal="left" vertical="center" wrapText="1"/>
      <protection/>
    </xf>
    <xf numFmtId="0" fontId="19" fillId="0" borderId="76" xfId="60" applyFont="1" applyFill="1" applyBorder="1" applyAlignment="1">
      <alignment horizontal="left" vertical="center" wrapText="1"/>
      <protection/>
    </xf>
    <xf numFmtId="0" fontId="17" fillId="0" borderId="87" xfId="60" applyFont="1" applyFill="1" applyBorder="1" applyAlignment="1">
      <alignment horizontal="center" vertical="center"/>
      <protection/>
    </xf>
    <xf numFmtId="0" fontId="17" fillId="0" borderId="53" xfId="60" applyFont="1" applyFill="1" applyBorder="1" applyAlignment="1">
      <alignment horizontal="center" vertical="center"/>
      <protection/>
    </xf>
    <xf numFmtId="0" fontId="17" fillId="0" borderId="38" xfId="60" applyFont="1" applyFill="1" applyBorder="1" applyAlignment="1">
      <alignment horizontal="center" vertical="center"/>
      <protection/>
    </xf>
    <xf numFmtId="49" fontId="17" fillId="0" borderId="122" xfId="60" applyNumberFormat="1" applyFont="1" applyFill="1" applyBorder="1" applyAlignment="1">
      <alignment horizontal="center" vertical="center"/>
      <protection/>
    </xf>
    <xf numFmtId="49" fontId="17" fillId="0" borderId="110" xfId="60" applyNumberFormat="1" applyFont="1" applyFill="1" applyBorder="1" applyAlignment="1">
      <alignment horizontal="center" vertical="center"/>
      <protection/>
    </xf>
    <xf numFmtId="49" fontId="17" fillId="0" borderId="131" xfId="60" applyNumberFormat="1" applyFont="1" applyFill="1" applyBorder="1" applyAlignment="1">
      <alignment horizontal="center" vertical="center"/>
      <protection/>
    </xf>
    <xf numFmtId="0" fontId="12" fillId="0" borderId="88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32" fillId="0" borderId="123" xfId="60" applyFont="1" applyFill="1" applyBorder="1" applyAlignment="1">
      <alignment horizontal="left" vertical="center"/>
      <protection/>
    </xf>
    <xf numFmtId="0" fontId="32" fillId="0" borderId="88" xfId="60" applyFont="1" applyFill="1" applyBorder="1" applyAlignment="1">
      <alignment horizontal="left" vertical="center"/>
      <protection/>
    </xf>
    <xf numFmtId="0" fontId="32" fillId="0" borderId="76" xfId="60" applyFont="1" applyFill="1" applyBorder="1" applyAlignment="1">
      <alignment horizontal="left" vertical="center"/>
      <protection/>
    </xf>
    <xf numFmtId="3" fontId="18" fillId="0" borderId="33" xfId="59" applyNumberFormat="1" applyFont="1" applyBorder="1" applyAlignment="1">
      <alignment horizontal="right"/>
      <protection/>
    </xf>
    <xf numFmtId="0" fontId="18" fillId="0" borderId="51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0" fontId="18" fillId="0" borderId="88" xfId="59" applyFont="1" applyBorder="1" applyAlignment="1">
      <alignment horizontal="left"/>
      <protection/>
    </xf>
    <xf numFmtId="0" fontId="18" fillId="0" borderId="51" xfId="59" applyFont="1" applyBorder="1" applyAlignment="1">
      <alignment horizontal="left" wrapText="1"/>
      <protection/>
    </xf>
    <xf numFmtId="0" fontId="18" fillId="0" borderId="0" xfId="59" applyFont="1" applyBorder="1" applyAlignment="1">
      <alignment horizontal="left" wrapText="1"/>
      <protection/>
    </xf>
    <xf numFmtId="3" fontId="18" fillId="0" borderId="33" xfId="59" applyNumberFormat="1" applyFont="1" applyBorder="1" applyAlignment="1">
      <alignment horizontal="right" vertical="center"/>
      <protection/>
    </xf>
    <xf numFmtId="3" fontId="18" fillId="0" borderId="16" xfId="59" applyNumberFormat="1" applyFont="1" applyBorder="1" applyAlignment="1">
      <alignment horizontal="right" vertical="center"/>
      <protection/>
    </xf>
    <xf numFmtId="0" fontId="41" fillId="0" borderId="71" xfId="59" applyFont="1" applyBorder="1" applyAlignment="1">
      <alignment horizontal="left"/>
      <protection/>
    </xf>
    <xf numFmtId="0" fontId="41" fillId="0" borderId="66" xfId="59" applyFont="1" applyBorder="1" applyAlignment="1">
      <alignment horizontal="left"/>
      <protection/>
    </xf>
    <xf numFmtId="0" fontId="41" fillId="0" borderId="45" xfId="59" applyFont="1" applyBorder="1" applyAlignment="1">
      <alignment horizontal="left"/>
      <protection/>
    </xf>
    <xf numFmtId="0" fontId="41" fillId="0" borderId="0" xfId="59" applyFont="1" applyBorder="1" applyAlignment="1">
      <alignment horizontal="left"/>
      <protection/>
    </xf>
    <xf numFmtId="3" fontId="12" fillId="0" borderId="49" xfId="59" applyNumberFormat="1" applyFont="1" applyBorder="1" applyAlignment="1">
      <alignment horizontal="right" vertical="center"/>
      <protection/>
    </xf>
    <xf numFmtId="3" fontId="12" fillId="0" borderId="99" xfId="59" applyNumberFormat="1" applyFont="1" applyBorder="1" applyAlignment="1">
      <alignment horizontal="right" vertical="center"/>
      <protection/>
    </xf>
    <xf numFmtId="3" fontId="12" fillId="0" borderId="129" xfId="59" applyNumberFormat="1" applyFont="1" applyBorder="1" applyAlignment="1">
      <alignment horizontal="right" vertical="center"/>
      <protection/>
    </xf>
    <xf numFmtId="3" fontId="12" fillId="0" borderId="132" xfId="59" applyNumberFormat="1" applyFont="1" applyBorder="1" applyAlignment="1">
      <alignment horizontal="right"/>
      <protection/>
    </xf>
    <xf numFmtId="3" fontId="12" fillId="0" borderId="70" xfId="59" applyNumberFormat="1" applyFont="1" applyBorder="1" applyAlignment="1">
      <alignment horizontal="right"/>
      <protection/>
    </xf>
    <xf numFmtId="0" fontId="16" fillId="0" borderId="0" xfId="59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40" fillId="34" borderId="66" xfId="59" applyFont="1" applyFill="1" applyBorder="1" applyAlignment="1">
      <alignment/>
      <protection/>
    </xf>
    <xf numFmtId="0" fontId="40" fillId="34" borderId="69" xfId="59" applyFont="1" applyFill="1" applyBorder="1" applyAlignment="1">
      <alignment/>
      <protection/>
    </xf>
    <xf numFmtId="0" fontId="40" fillId="0" borderId="133" xfId="60" applyFont="1" applyFill="1" applyBorder="1" applyAlignment="1">
      <alignment horizontal="center" vertical="center" wrapText="1"/>
      <protection/>
    </xf>
    <xf numFmtId="0" fontId="40" fillId="0" borderId="37" xfId="60" applyFont="1" applyFill="1" applyBorder="1" applyAlignment="1">
      <alignment horizontal="center" vertical="center" wrapText="1"/>
      <protection/>
    </xf>
    <xf numFmtId="0" fontId="40" fillId="0" borderId="63" xfId="60" applyFont="1" applyFill="1" applyBorder="1" applyAlignment="1">
      <alignment horizontal="center" vertical="center" wrapText="1"/>
      <protection/>
    </xf>
    <xf numFmtId="0" fontId="40" fillId="0" borderId="84" xfId="60" applyFont="1" applyFill="1" applyBorder="1" applyAlignment="1">
      <alignment horizontal="center" vertical="center" wrapText="1"/>
      <protection/>
    </xf>
    <xf numFmtId="0" fontId="40" fillId="0" borderId="39" xfId="60" applyFont="1" applyFill="1" applyBorder="1" applyAlignment="1">
      <alignment horizontal="center" vertical="center" wrapText="1"/>
      <protection/>
    </xf>
    <xf numFmtId="0" fontId="40" fillId="0" borderId="91" xfId="60" applyFont="1" applyFill="1" applyBorder="1" applyAlignment="1">
      <alignment horizontal="center" vertical="center" wrapText="1"/>
      <protection/>
    </xf>
    <xf numFmtId="3" fontId="12" fillId="0" borderId="60" xfId="59" applyNumberFormat="1" applyFont="1" applyBorder="1" applyAlignment="1">
      <alignment horizontal="right" vertical="center"/>
      <protection/>
    </xf>
    <xf numFmtId="3" fontId="12" fillId="0" borderId="68" xfId="59" applyNumberFormat="1" applyFont="1" applyBorder="1" applyAlignment="1">
      <alignment horizontal="right" vertical="center"/>
      <protection/>
    </xf>
    <xf numFmtId="0" fontId="18" fillId="0" borderId="93" xfId="59" applyFont="1" applyBorder="1" applyAlignment="1">
      <alignment horizontal="left"/>
      <protection/>
    </xf>
    <xf numFmtId="0" fontId="18" fillId="0" borderId="50" xfId="59" applyFont="1" applyBorder="1" applyAlignment="1">
      <alignment horizontal="left"/>
      <protection/>
    </xf>
    <xf numFmtId="0" fontId="18" fillId="0" borderId="45" xfId="59" applyFont="1" applyBorder="1" applyAlignment="1">
      <alignment horizontal="left" wrapText="1"/>
      <protection/>
    </xf>
    <xf numFmtId="0" fontId="18" fillId="0" borderId="133" xfId="59" applyFont="1" applyBorder="1" applyAlignment="1">
      <alignment horizontal="left" wrapText="1"/>
      <protection/>
    </xf>
    <xf numFmtId="0" fontId="18" fillId="0" borderId="37" xfId="59" applyFont="1" applyBorder="1" applyAlignment="1">
      <alignment horizontal="left" wrapText="1"/>
      <protection/>
    </xf>
    <xf numFmtId="0" fontId="12" fillId="0" borderId="108" xfId="59" applyFont="1" applyBorder="1" applyAlignment="1">
      <alignment horizontal="center"/>
      <protection/>
    </xf>
    <xf numFmtId="0" fontId="11" fillId="0" borderId="86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2" fillId="0" borderId="66" xfId="59" applyFont="1" applyBorder="1" applyAlignment="1">
      <alignment/>
      <protection/>
    </xf>
    <xf numFmtId="0" fontId="12" fillId="0" borderId="66" xfId="0" applyFont="1" applyBorder="1" applyAlignment="1">
      <alignment/>
    </xf>
    <xf numFmtId="0" fontId="12" fillId="0" borderId="69" xfId="0" applyFont="1" applyBorder="1" applyAlignment="1">
      <alignment/>
    </xf>
    <xf numFmtId="0" fontId="40" fillId="0" borderId="66" xfId="59" applyFont="1" applyBorder="1" applyAlignment="1">
      <alignment/>
      <protection/>
    </xf>
    <xf numFmtId="0" fontId="40" fillId="0" borderId="69" xfId="59" applyFont="1" applyBorder="1" applyAlignment="1">
      <alignment/>
      <protection/>
    </xf>
    <xf numFmtId="0" fontId="15" fillId="0" borderId="0" xfId="59" applyFont="1" applyFill="1" applyAlignment="1">
      <alignment horizontal="center"/>
      <protection/>
    </xf>
    <xf numFmtId="0" fontId="18" fillId="0" borderId="41" xfId="59" applyFont="1" applyBorder="1" applyAlignment="1">
      <alignment horizontal="left" wrapText="1"/>
      <protection/>
    </xf>
    <xf numFmtId="0" fontId="18" fillId="0" borderId="39" xfId="59" applyFont="1" applyBorder="1" applyAlignment="1">
      <alignment horizontal="left" wrapText="1"/>
      <protection/>
    </xf>
    <xf numFmtId="0" fontId="18" fillId="0" borderId="52" xfId="59" applyFont="1" applyBorder="1" applyAlignment="1">
      <alignment horizontal="left"/>
      <protection/>
    </xf>
    <xf numFmtId="3" fontId="12" fillId="0" borderId="49" xfId="59" applyNumberFormat="1" applyFont="1" applyBorder="1" applyAlignment="1">
      <alignment horizontal="center" vertical="center"/>
      <protection/>
    </xf>
    <xf numFmtId="3" fontId="12" fillId="0" borderId="99" xfId="59" applyNumberFormat="1" applyFont="1" applyBorder="1" applyAlignment="1">
      <alignment horizontal="center" vertical="center"/>
      <protection/>
    </xf>
    <xf numFmtId="3" fontId="12" fillId="0" borderId="129" xfId="59" applyNumberFormat="1" applyFont="1" applyBorder="1" applyAlignment="1">
      <alignment horizontal="center" vertical="center"/>
      <protection/>
    </xf>
    <xf numFmtId="0" fontId="41" fillId="0" borderId="51" xfId="59" applyFont="1" applyBorder="1" applyAlignment="1">
      <alignment horizontal="left"/>
      <protection/>
    </xf>
    <xf numFmtId="0" fontId="18" fillId="0" borderId="84" xfId="59" applyFont="1" applyBorder="1" applyAlignment="1">
      <alignment horizontal="left" wrapText="1"/>
      <protection/>
    </xf>
    <xf numFmtId="3" fontId="12" fillId="0" borderId="134" xfId="59" applyNumberFormat="1" applyFont="1" applyBorder="1" applyAlignment="1">
      <alignment horizontal="right" vertical="center"/>
      <protection/>
    </xf>
    <xf numFmtId="3" fontId="12" fillId="0" borderId="94" xfId="59" applyNumberFormat="1" applyFont="1" applyBorder="1" applyAlignment="1">
      <alignment horizontal="right" vertical="center"/>
      <protection/>
    </xf>
    <xf numFmtId="3" fontId="12" fillId="0" borderId="96" xfId="59" applyNumberFormat="1" applyFont="1" applyBorder="1" applyAlignment="1">
      <alignment horizontal="right" vertical="center"/>
      <protection/>
    </xf>
    <xf numFmtId="0" fontId="40" fillId="34" borderId="108" xfId="59" applyFont="1" applyFill="1" applyBorder="1" applyAlignment="1">
      <alignment wrapText="1"/>
      <protection/>
    </xf>
    <xf numFmtId="0" fontId="11" fillId="34" borderId="86" xfId="0" applyFont="1" applyFill="1" applyBorder="1" applyAlignment="1">
      <alignment wrapText="1"/>
    </xf>
    <xf numFmtId="0" fontId="11" fillId="34" borderId="103" xfId="0" applyFont="1" applyFill="1" applyBorder="1" applyAlignment="1">
      <alignment wrapText="1"/>
    </xf>
    <xf numFmtId="0" fontId="12" fillId="34" borderId="66" xfId="59" applyFont="1" applyFill="1" applyBorder="1" applyAlignment="1">
      <alignment/>
      <protection/>
    </xf>
    <xf numFmtId="0" fontId="12" fillId="34" borderId="66" xfId="0" applyFont="1" applyFill="1" applyBorder="1" applyAlignment="1">
      <alignment/>
    </xf>
    <xf numFmtId="0" fontId="12" fillId="34" borderId="69" xfId="0" applyFont="1" applyFill="1" applyBorder="1" applyAlignment="1">
      <alignment/>
    </xf>
    <xf numFmtId="0" fontId="40" fillId="34" borderId="100" xfId="59" applyFont="1" applyFill="1" applyBorder="1" applyAlignment="1">
      <alignment/>
      <protection/>
    </xf>
    <xf numFmtId="0" fontId="40" fillId="34" borderId="135" xfId="59" applyFont="1" applyFill="1" applyBorder="1" applyAlignment="1">
      <alignment/>
      <protection/>
    </xf>
    <xf numFmtId="0" fontId="19" fillId="0" borderId="45" xfId="59" applyFont="1" applyBorder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47" xfId="0" applyFont="1" applyBorder="1" applyAlignment="1">
      <alignment horizontal="right"/>
    </xf>
    <xf numFmtId="0" fontId="19" fillId="0" borderId="51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47" xfId="59" applyFont="1" applyBorder="1" applyAlignment="1">
      <alignment horizontal="right"/>
      <protection/>
    </xf>
    <xf numFmtId="0" fontId="12" fillId="0" borderId="136" xfId="60" applyFont="1" applyFill="1" applyBorder="1" applyAlignment="1">
      <alignment horizontal="center" vertical="center" wrapText="1"/>
      <protection/>
    </xf>
    <xf numFmtId="0" fontId="15" fillId="0" borderId="137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 wrapText="1"/>
    </xf>
    <xf numFmtId="0" fontId="41" fillId="0" borderId="51" xfId="59" applyFont="1" applyBorder="1" applyAlignment="1">
      <alignment horizontal="left" wrapText="1"/>
      <protection/>
    </xf>
    <xf numFmtId="0" fontId="41" fillId="0" borderId="0" xfId="59" applyFont="1" applyBorder="1" applyAlignment="1">
      <alignment horizontal="left" wrapText="1"/>
      <protection/>
    </xf>
    <xf numFmtId="0" fontId="18" fillId="0" borderId="45" xfId="59" applyFont="1" applyBorder="1" applyAlignment="1">
      <alignment horizontal="left"/>
      <protection/>
    </xf>
    <xf numFmtId="0" fontId="12" fillId="0" borderId="139" xfId="60" applyFont="1" applyFill="1" applyBorder="1" applyAlignment="1">
      <alignment horizontal="center" vertical="center" wrapText="1"/>
      <protection/>
    </xf>
    <xf numFmtId="0" fontId="15" fillId="0" borderId="140" xfId="0" applyFont="1" applyBorder="1" applyAlignment="1">
      <alignment horizontal="center" vertical="center" wrapText="1"/>
    </xf>
    <xf numFmtId="0" fontId="40" fillId="0" borderId="61" xfId="60" applyFont="1" applyFill="1" applyBorder="1" applyAlignment="1">
      <alignment horizontal="center" vertical="center" wrapText="1"/>
      <protection/>
    </xf>
    <xf numFmtId="0" fontId="40" fillId="0" borderId="16" xfId="60" applyFont="1" applyFill="1" applyBorder="1" applyAlignment="1">
      <alignment horizontal="center" vertical="center" wrapText="1"/>
      <protection/>
    </xf>
    <xf numFmtId="0" fontId="40" fillId="0" borderId="59" xfId="59" applyFont="1" applyBorder="1" applyAlignment="1">
      <alignment horizontal="center" wrapText="1"/>
      <protection/>
    </xf>
    <xf numFmtId="0" fontId="40" fillId="0" borderId="37" xfId="59" applyFont="1" applyBorder="1" applyAlignment="1">
      <alignment horizontal="center" wrapText="1"/>
      <protection/>
    </xf>
    <xf numFmtId="0" fontId="40" fillId="0" borderId="41" xfId="59" applyFont="1" applyBorder="1" applyAlignment="1">
      <alignment horizontal="center" wrapText="1"/>
      <protection/>
    </xf>
    <xf numFmtId="0" fontId="40" fillId="0" borderId="39" xfId="59" applyFont="1" applyBorder="1" applyAlignment="1">
      <alignment horizontal="center" wrapText="1"/>
      <protection/>
    </xf>
    <xf numFmtId="0" fontId="12" fillId="0" borderId="141" xfId="60" applyFont="1" applyFill="1" applyBorder="1" applyAlignment="1">
      <alignment horizontal="center" vertical="center" wrapText="1"/>
      <protection/>
    </xf>
    <xf numFmtId="0" fontId="15" fillId="0" borderId="140" xfId="0" applyFont="1" applyBorder="1" applyAlignment="1">
      <alignment/>
    </xf>
    <xf numFmtId="0" fontId="15" fillId="0" borderId="142" xfId="0" applyFont="1" applyBorder="1" applyAlignment="1">
      <alignment/>
    </xf>
    <xf numFmtId="0" fontId="40" fillId="0" borderId="59" xfId="59" applyFont="1" applyBorder="1" applyAlignment="1">
      <alignment horizontal="center" vertical="center"/>
      <protection/>
    </xf>
    <xf numFmtId="0" fontId="40" fillId="0" borderId="37" xfId="59" applyFont="1" applyBorder="1" applyAlignment="1">
      <alignment horizontal="center" vertical="center"/>
      <protection/>
    </xf>
    <xf numFmtId="0" fontId="40" fillId="0" borderId="61" xfId="59" applyFont="1" applyBorder="1" applyAlignment="1">
      <alignment horizontal="center" vertical="center"/>
      <protection/>
    </xf>
    <xf numFmtId="0" fontId="40" fillId="0" borderId="41" xfId="59" applyFont="1" applyBorder="1" applyAlignment="1">
      <alignment horizontal="center" vertical="center"/>
      <protection/>
    </xf>
    <xf numFmtId="0" fontId="40" fillId="0" borderId="39" xfId="59" applyFont="1" applyBorder="1" applyAlignment="1">
      <alignment horizontal="center" vertical="center"/>
      <protection/>
    </xf>
    <xf numFmtId="0" fontId="40" fillId="0" borderId="16" xfId="59" applyFont="1" applyBorder="1" applyAlignment="1">
      <alignment horizontal="center" vertical="center"/>
      <protection/>
    </xf>
    <xf numFmtId="3" fontId="18" fillId="0" borderId="56" xfId="59" applyNumberFormat="1" applyFont="1" applyBorder="1" applyAlignment="1">
      <alignment horizontal="right"/>
      <protection/>
    </xf>
    <xf numFmtId="0" fontId="12" fillId="34" borderId="71" xfId="59" applyFont="1" applyFill="1" applyBorder="1" applyAlignment="1">
      <alignment horizontal="right"/>
      <protection/>
    </xf>
    <xf numFmtId="0" fontId="15" fillId="34" borderId="66" xfId="0" applyFont="1" applyFill="1" applyBorder="1" applyAlignment="1">
      <alignment horizontal="right"/>
    </xf>
    <xf numFmtId="0" fontId="15" fillId="34" borderId="143" xfId="0" applyFont="1" applyFill="1" applyBorder="1" applyAlignment="1">
      <alignment horizontal="right"/>
    </xf>
    <xf numFmtId="0" fontId="19" fillId="0" borderId="88" xfId="59" applyFont="1" applyBorder="1" applyAlignment="1">
      <alignment horizontal="right"/>
      <protection/>
    </xf>
    <xf numFmtId="0" fontId="19" fillId="0" borderId="144" xfId="59" applyFont="1" applyBorder="1" applyAlignment="1">
      <alignment horizontal="right"/>
      <protection/>
    </xf>
    <xf numFmtId="0" fontId="15" fillId="0" borderId="37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93" xfId="59" applyFont="1" applyBorder="1" applyAlignment="1">
      <alignment horizontal="left" wrapText="1"/>
      <protection/>
    </xf>
    <xf numFmtId="0" fontId="18" fillId="0" borderId="50" xfId="59" applyFont="1" applyBorder="1" applyAlignment="1">
      <alignment horizontal="left" wrapText="1"/>
      <protection/>
    </xf>
    <xf numFmtId="0" fontId="15" fillId="0" borderId="84" xfId="0" applyFont="1" applyBorder="1" applyAlignment="1">
      <alignment/>
    </xf>
    <xf numFmtId="3" fontId="12" fillId="0" borderId="56" xfId="59" applyNumberFormat="1" applyFont="1" applyBorder="1" applyAlignment="1">
      <alignment horizontal="right" vertical="center"/>
      <protection/>
    </xf>
    <xf numFmtId="0" fontId="19" fillId="0" borderId="66" xfId="59" applyFont="1" applyBorder="1" applyAlignment="1">
      <alignment horizontal="right"/>
      <protection/>
    </xf>
    <xf numFmtId="0" fontId="19" fillId="0" borderId="143" xfId="59" applyFont="1" applyBorder="1" applyAlignment="1">
      <alignment horizontal="right"/>
      <protection/>
    </xf>
    <xf numFmtId="0" fontId="18" fillId="0" borderId="89" xfId="59" applyFont="1" applyBorder="1" applyAlignment="1">
      <alignment horizontal="left" wrapText="1"/>
      <protection/>
    </xf>
    <xf numFmtId="0" fontId="18" fillId="0" borderId="88" xfId="59" applyFont="1" applyBorder="1" applyAlignment="1">
      <alignment horizontal="left" wrapText="1"/>
      <protection/>
    </xf>
    <xf numFmtId="0" fontId="18" fillId="0" borderId="52" xfId="59" applyFont="1" applyBorder="1" applyAlignment="1">
      <alignment horizontal="left" wrapText="1"/>
      <protection/>
    </xf>
    <xf numFmtId="0" fontId="18" fillId="0" borderId="133" xfId="59" applyFont="1" applyBorder="1" applyAlignment="1">
      <alignment horizontal="left"/>
      <protection/>
    </xf>
    <xf numFmtId="0" fontId="18" fillId="0" borderId="37" xfId="59" applyFont="1" applyBorder="1" applyAlignment="1">
      <alignment horizontal="left"/>
      <protection/>
    </xf>
    <xf numFmtId="0" fontId="12" fillId="0" borderId="145" xfId="60" applyFont="1" applyFill="1" applyBorder="1" applyAlignment="1">
      <alignment horizontal="center" vertical="center" wrapText="1"/>
      <protection/>
    </xf>
    <xf numFmtId="0" fontId="15" fillId="0" borderId="63" xfId="0" applyFont="1" applyBorder="1" applyAlignment="1">
      <alignment/>
    </xf>
    <xf numFmtId="0" fontId="15" fillId="0" borderId="91" xfId="0" applyFont="1" applyBorder="1" applyAlignment="1">
      <alignment/>
    </xf>
    <xf numFmtId="0" fontId="15" fillId="0" borderId="146" xfId="0" applyFont="1" applyBorder="1" applyAlignment="1">
      <alignment horizontal="center" vertical="center" wrapText="1"/>
    </xf>
    <xf numFmtId="0" fontId="12" fillId="0" borderId="147" xfId="60" applyFont="1" applyFill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vertical="center" wrapText="1"/>
      <protection/>
    </xf>
    <xf numFmtId="0" fontId="35" fillId="0" borderId="66" xfId="60" applyFont="1" applyFill="1" applyBorder="1" applyAlignment="1">
      <alignment horizontal="center" vertical="center" wrapText="1"/>
      <protection/>
    </xf>
    <xf numFmtId="0" fontId="15" fillId="0" borderId="37" xfId="59" applyFont="1" applyBorder="1" applyAlignment="1">
      <alignment horizontal="center" vertical="center"/>
      <protection/>
    </xf>
    <xf numFmtId="0" fontId="15" fillId="0" borderId="61" xfId="59" applyFont="1" applyBorder="1" applyAlignment="1">
      <alignment horizontal="center" vertical="center"/>
      <protection/>
    </xf>
    <xf numFmtId="0" fontId="15" fillId="0" borderId="41" xfId="59" applyFont="1" applyBorder="1" applyAlignment="1">
      <alignment horizontal="center" vertical="center"/>
      <protection/>
    </xf>
    <xf numFmtId="0" fontId="15" fillId="0" borderId="39" xfId="59" applyFont="1" applyBorder="1" applyAlignment="1">
      <alignment horizontal="center" vertical="center"/>
      <protection/>
    </xf>
    <xf numFmtId="0" fontId="15" fillId="0" borderId="16" xfId="59" applyFont="1" applyBorder="1" applyAlignment="1">
      <alignment horizontal="center" vertical="center"/>
      <protection/>
    </xf>
    <xf numFmtId="0" fontId="18" fillId="0" borderId="45" xfId="59" applyFont="1" applyBorder="1" applyAlignment="1">
      <alignment horizontal="left" vertical="center" wrapText="1"/>
      <protection/>
    </xf>
    <xf numFmtId="0" fontId="18" fillId="0" borderId="0" xfId="59" applyFont="1" applyBorder="1" applyAlignment="1">
      <alignment horizontal="left" vertical="center" wrapText="1"/>
      <protection/>
    </xf>
    <xf numFmtId="3" fontId="12" fillId="0" borderId="49" xfId="59" applyNumberFormat="1" applyFont="1" applyBorder="1" applyAlignment="1">
      <alignment horizontal="right" vertical="center" wrapText="1"/>
      <protection/>
    </xf>
    <xf numFmtId="3" fontId="12" fillId="0" borderId="99" xfId="59" applyNumberFormat="1" applyFont="1" applyBorder="1" applyAlignment="1">
      <alignment horizontal="right" vertical="center" wrapText="1"/>
      <protection/>
    </xf>
    <xf numFmtId="3" fontId="12" fillId="0" borderId="129" xfId="59" applyNumberFormat="1" applyFont="1" applyBorder="1" applyAlignment="1">
      <alignment horizontal="right" vertical="center" wrapText="1"/>
      <protection/>
    </xf>
    <xf numFmtId="0" fontId="18" fillId="0" borderId="64" xfId="59" applyFont="1" applyBorder="1" applyAlignment="1">
      <alignment horizontal="left"/>
      <protection/>
    </xf>
    <xf numFmtId="0" fontId="18" fillId="0" borderId="66" xfId="59" applyFont="1" applyBorder="1" applyAlignment="1">
      <alignment horizontal="left"/>
      <protection/>
    </xf>
    <xf numFmtId="3" fontId="12" fillId="0" borderId="55" xfId="59" applyNumberFormat="1" applyFont="1" applyBorder="1" applyAlignment="1">
      <alignment horizontal="right" vertical="center"/>
      <protection/>
    </xf>
    <xf numFmtId="0" fontId="18" fillId="0" borderId="71" xfId="59" applyFont="1" applyBorder="1" applyAlignment="1">
      <alignment horizontal="left" wrapText="1"/>
      <protection/>
    </xf>
    <xf numFmtId="0" fontId="18" fillId="0" borderId="66" xfId="59" applyFont="1" applyBorder="1" applyAlignment="1">
      <alignment horizontal="left" wrapText="1"/>
      <protection/>
    </xf>
    <xf numFmtId="3" fontId="12" fillId="0" borderId="133" xfId="59" applyNumberFormat="1" applyFont="1" applyBorder="1" applyAlignment="1">
      <alignment horizontal="right" vertical="center"/>
      <protection/>
    </xf>
    <xf numFmtId="3" fontId="12" fillId="0" borderId="51" xfId="59" applyNumberFormat="1" applyFont="1" applyBorder="1" applyAlignment="1">
      <alignment horizontal="righ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0" fontId="18" fillId="0" borderId="51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7" fillId="0" borderId="120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7" fillId="0" borderId="111" xfId="62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0" fontId="12" fillId="0" borderId="112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4" fillId="33" borderId="25" xfId="61" applyFont="1" applyFill="1" applyBorder="1" applyAlignment="1">
      <alignment horizontal="right"/>
      <protection/>
    </xf>
    <xf numFmtId="0" fontId="14" fillId="33" borderId="18" xfId="61" applyFont="1" applyFill="1" applyBorder="1" applyAlignment="1">
      <alignment horizontal="right"/>
      <protection/>
    </xf>
    <xf numFmtId="0" fontId="35" fillId="33" borderId="25" xfId="61" applyFont="1" applyFill="1" applyBorder="1" applyAlignment="1">
      <alignment horizontal="left"/>
      <protection/>
    </xf>
    <xf numFmtId="0" fontId="35" fillId="33" borderId="18" xfId="61" applyFont="1" applyFill="1" applyBorder="1" applyAlignment="1">
      <alignment horizontal="left"/>
      <protection/>
    </xf>
    <xf numFmtId="0" fontId="16" fillId="0" borderId="49" xfId="61" applyFont="1" applyBorder="1" applyAlignment="1">
      <alignment horizontal="center" vertical="center" wrapText="1"/>
      <protection/>
    </xf>
    <xf numFmtId="0" fontId="15" fillId="0" borderId="35" xfId="61" applyFont="1" applyBorder="1" applyAlignment="1">
      <alignment horizontal="center" vertical="center" wrapText="1"/>
      <protection/>
    </xf>
    <xf numFmtId="0" fontId="16" fillId="0" borderId="19" xfId="61" applyFont="1" applyBorder="1" applyAlignment="1">
      <alignment horizontal="center" vertical="center"/>
      <protection/>
    </xf>
    <xf numFmtId="0" fontId="16" fillId="0" borderId="27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wrapText="1"/>
      <protection/>
    </xf>
    <xf numFmtId="0" fontId="16" fillId="0" borderId="0" xfId="61" applyFont="1" applyAlignment="1">
      <alignment horizontal="center"/>
      <protection/>
    </xf>
    <xf numFmtId="0" fontId="16" fillId="0" borderId="112" xfId="61" applyFont="1" applyBorder="1" applyAlignment="1">
      <alignment horizontal="center" vertical="center"/>
      <protection/>
    </xf>
    <xf numFmtId="0" fontId="16" fillId="0" borderId="126" xfId="61" applyFont="1" applyBorder="1" applyAlignment="1">
      <alignment horizontal="center" vertical="center"/>
      <protection/>
    </xf>
    <xf numFmtId="0" fontId="16" fillId="0" borderId="111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111" xfId="61" applyFont="1" applyBorder="1" applyAlignment="1">
      <alignment horizontal="center" vertical="center" wrapText="1"/>
      <protection/>
    </xf>
    <xf numFmtId="0" fontId="16" fillId="0" borderId="128" xfId="61" applyFont="1" applyBorder="1" applyAlignment="1">
      <alignment horizontal="center" vertical="center" wrapText="1"/>
      <protection/>
    </xf>
    <xf numFmtId="0" fontId="16" fillId="0" borderId="112" xfId="6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center" vertical="center" wrapText="1"/>
      <protection/>
    </xf>
    <xf numFmtId="0" fontId="34" fillId="0" borderId="0" xfId="60" applyFont="1" applyFill="1" applyAlignment="1">
      <alignment horizontal="right" vertical="center"/>
      <protection/>
    </xf>
    <xf numFmtId="0" fontId="34" fillId="0" borderId="0" xfId="60" applyFont="1" applyAlignment="1">
      <alignment horizontal="right"/>
      <protection/>
    </xf>
    <xf numFmtId="0" fontId="34" fillId="0" borderId="0" xfId="0" applyFont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125" style="168" customWidth="1"/>
    <col min="2" max="3" width="9.125" style="168" customWidth="1"/>
    <col min="4" max="4" width="5.875" style="168" customWidth="1"/>
    <col min="5" max="5" width="49.875" style="168" customWidth="1"/>
    <col min="6" max="6" width="16.00390625" style="168" bestFit="1" customWidth="1"/>
    <col min="7" max="7" width="13.625" style="168" customWidth="1"/>
    <col min="8" max="8" width="15.125" style="168" customWidth="1"/>
    <col min="9" max="9" width="16.00390625" style="168" bestFit="1" customWidth="1"/>
    <col min="10" max="16384" width="9.125" style="168" customWidth="1"/>
  </cols>
  <sheetData>
    <row r="1" spans="1:9" ht="12.75">
      <c r="A1" s="82"/>
      <c r="B1" s="756"/>
      <c r="C1" s="756"/>
      <c r="D1" s="756"/>
      <c r="E1" s="272"/>
      <c r="F1" s="814" t="s">
        <v>1180</v>
      </c>
      <c r="G1" s="815"/>
      <c r="H1" s="815"/>
      <c r="I1" s="815"/>
    </row>
    <row r="2" spans="1:9" ht="15.75">
      <c r="A2" s="819" t="s">
        <v>856</v>
      </c>
      <c r="B2" s="819"/>
      <c r="C2" s="819"/>
      <c r="D2" s="819"/>
      <c r="E2" s="819"/>
      <c r="F2" s="819"/>
      <c r="G2" s="819"/>
      <c r="H2" s="819"/>
      <c r="I2" s="819"/>
    </row>
    <row r="3" spans="1:9" ht="12.75">
      <c r="A3" s="82"/>
      <c r="B3" s="82"/>
      <c r="C3" s="82"/>
      <c r="D3" s="82"/>
      <c r="E3" s="82"/>
      <c r="F3" s="756"/>
      <c r="G3" s="756"/>
      <c r="H3" s="756"/>
      <c r="I3" s="756"/>
    </row>
    <row r="4" spans="1:9" ht="12.75">
      <c r="A4" s="82"/>
      <c r="B4" s="756"/>
      <c r="C4" s="756"/>
      <c r="D4" s="756"/>
      <c r="E4" s="756"/>
      <c r="F4" s="756"/>
      <c r="G4" s="756"/>
      <c r="H4" s="756"/>
      <c r="I4" s="272" t="s">
        <v>965</v>
      </c>
    </row>
    <row r="5" spans="1:9" ht="72">
      <c r="A5" s="805" t="s">
        <v>0</v>
      </c>
      <c r="B5" s="806"/>
      <c r="C5" s="806"/>
      <c r="D5" s="806"/>
      <c r="E5" s="807"/>
      <c r="F5" s="689" t="s">
        <v>194</v>
      </c>
      <c r="G5" s="689" t="s">
        <v>548</v>
      </c>
      <c r="H5" s="689" t="s">
        <v>855</v>
      </c>
      <c r="I5" s="689" t="s">
        <v>541</v>
      </c>
    </row>
    <row r="6" spans="1:9" s="693" customFormat="1" ht="15">
      <c r="A6" s="757" t="s">
        <v>617</v>
      </c>
      <c r="B6" s="816" t="s">
        <v>618</v>
      </c>
      <c r="C6" s="817"/>
      <c r="D6" s="817"/>
      <c r="E6" s="818"/>
      <c r="F6" s="758" t="s">
        <v>619</v>
      </c>
      <c r="G6" s="758" t="s">
        <v>620</v>
      </c>
      <c r="H6" s="758" t="s">
        <v>621</v>
      </c>
      <c r="I6" s="758" t="s">
        <v>622</v>
      </c>
    </row>
    <row r="7" spans="1:9" s="761" customFormat="1" ht="12.75">
      <c r="A7" s="759" t="s">
        <v>370</v>
      </c>
      <c r="B7" s="808" t="s">
        <v>371</v>
      </c>
      <c r="C7" s="808"/>
      <c r="D7" s="808"/>
      <c r="E7" s="808"/>
      <c r="F7" s="760">
        <f>SUM(F8+F15+F16+F17+F28+F29)</f>
        <v>602531384</v>
      </c>
      <c r="G7" s="760">
        <f>SUM(G8+G15+G16+G17+G28+G29)</f>
        <v>1263940</v>
      </c>
      <c r="H7" s="760">
        <f>SUM(H8+H15+H16+H17+H28+H29)</f>
        <v>0</v>
      </c>
      <c r="I7" s="760">
        <f>SUM(F7:H7)</f>
        <v>603795324</v>
      </c>
    </row>
    <row r="8" spans="1:9" ht="12.75">
      <c r="A8" s="762"/>
      <c r="B8" s="762" t="s">
        <v>372</v>
      </c>
      <c r="C8" s="804" t="s">
        <v>373</v>
      </c>
      <c r="D8" s="804"/>
      <c r="E8" s="804"/>
      <c r="F8" s="763">
        <f>SUM(F9:F14)</f>
        <v>501208970</v>
      </c>
      <c r="G8" s="763">
        <f>SUM(G9:G14)</f>
        <v>0</v>
      </c>
      <c r="H8" s="763">
        <f>SUM(H9:H14)</f>
        <v>0</v>
      </c>
      <c r="I8" s="764">
        <f aca="true" t="shared" si="0" ref="I8:I72">SUM(F8:H8)</f>
        <v>501208970</v>
      </c>
    </row>
    <row r="9" spans="1:9" ht="12.75">
      <c r="A9" s="765"/>
      <c r="B9" s="765"/>
      <c r="C9" s="765" t="s">
        <v>374</v>
      </c>
      <c r="D9" s="765"/>
      <c r="E9" s="765" t="s">
        <v>732</v>
      </c>
      <c r="F9" s="766">
        <f>191333000+449506</f>
        <v>191782506</v>
      </c>
      <c r="G9" s="766">
        <v>0</v>
      </c>
      <c r="H9" s="766">
        <v>0</v>
      </c>
      <c r="I9" s="767">
        <f t="shared" si="0"/>
        <v>191782506</v>
      </c>
    </row>
    <row r="10" spans="1:9" ht="12.75">
      <c r="A10" s="765"/>
      <c r="B10" s="768"/>
      <c r="C10" s="765" t="s">
        <v>375</v>
      </c>
      <c r="D10" s="765"/>
      <c r="E10" s="765" t="s">
        <v>376</v>
      </c>
      <c r="F10" s="766">
        <f>138613000-24</f>
        <v>138612976</v>
      </c>
      <c r="G10" s="766">
        <v>0</v>
      </c>
      <c r="H10" s="766">
        <v>0</v>
      </c>
      <c r="I10" s="767">
        <f t="shared" si="0"/>
        <v>138612976</v>
      </c>
    </row>
    <row r="11" spans="1:9" ht="12.75">
      <c r="A11" s="765"/>
      <c r="B11" s="765"/>
      <c r="C11" s="765" t="s">
        <v>377</v>
      </c>
      <c r="D11" s="765"/>
      <c r="E11" s="765" t="s">
        <v>806</v>
      </c>
      <c r="F11" s="766">
        <f>148486000+77+1275000+4214000</f>
        <v>153975077</v>
      </c>
      <c r="G11" s="766">
        <v>0</v>
      </c>
      <c r="H11" s="766">
        <v>0</v>
      </c>
      <c r="I11" s="767">
        <f t="shared" si="0"/>
        <v>153975077</v>
      </c>
    </row>
    <row r="12" spans="1:9" ht="12.75">
      <c r="A12" s="765"/>
      <c r="B12" s="765"/>
      <c r="C12" s="765" t="s">
        <v>378</v>
      </c>
      <c r="D12" s="765"/>
      <c r="E12" s="765" t="s">
        <v>379</v>
      </c>
      <c r="F12" s="766">
        <f>10319000+280</f>
        <v>10319280</v>
      </c>
      <c r="G12" s="766">
        <v>0</v>
      </c>
      <c r="H12" s="766">
        <v>0</v>
      </c>
      <c r="I12" s="767">
        <f t="shared" si="0"/>
        <v>10319280</v>
      </c>
    </row>
    <row r="13" spans="1:9" ht="12.75">
      <c r="A13" s="765"/>
      <c r="B13" s="765"/>
      <c r="C13" s="765" t="s">
        <v>380</v>
      </c>
      <c r="D13" s="765"/>
      <c r="E13" s="765" t="s">
        <v>807</v>
      </c>
      <c r="F13" s="766">
        <f>3799000+2720131</f>
        <v>6519131</v>
      </c>
      <c r="G13" s="766">
        <v>0</v>
      </c>
      <c r="H13" s="766">
        <v>0</v>
      </c>
      <c r="I13" s="767">
        <f t="shared" si="0"/>
        <v>6519131</v>
      </c>
    </row>
    <row r="14" spans="1:9" ht="12.75">
      <c r="A14" s="769"/>
      <c r="B14" s="769"/>
      <c r="C14" s="765" t="s">
        <v>381</v>
      </c>
      <c r="D14" s="769"/>
      <c r="E14" s="765" t="s">
        <v>808</v>
      </c>
      <c r="F14" s="766">
        <v>0</v>
      </c>
      <c r="G14" s="766">
        <v>0</v>
      </c>
      <c r="H14" s="766">
        <v>0</v>
      </c>
      <c r="I14" s="767">
        <f t="shared" si="0"/>
        <v>0</v>
      </c>
    </row>
    <row r="15" spans="1:9" ht="12.75">
      <c r="A15" s="762"/>
      <c r="B15" s="762" t="s">
        <v>382</v>
      </c>
      <c r="C15" s="804" t="s">
        <v>383</v>
      </c>
      <c r="D15" s="804"/>
      <c r="E15" s="804"/>
      <c r="F15" s="763">
        <f>39172+689756</f>
        <v>728928</v>
      </c>
      <c r="G15" s="763">
        <v>0</v>
      </c>
      <c r="H15" s="763">
        <v>0</v>
      </c>
      <c r="I15" s="764">
        <f t="shared" si="0"/>
        <v>728928</v>
      </c>
    </row>
    <row r="16" spans="1:9" ht="12.75">
      <c r="A16" s="762"/>
      <c r="B16" s="762" t="s">
        <v>384</v>
      </c>
      <c r="C16" s="804" t="s">
        <v>385</v>
      </c>
      <c r="D16" s="804"/>
      <c r="E16" s="804"/>
      <c r="F16" s="763">
        <v>0</v>
      </c>
      <c r="G16" s="763">
        <v>0</v>
      </c>
      <c r="H16" s="763">
        <v>0</v>
      </c>
      <c r="I16" s="764">
        <f>SUM(F16:H16)</f>
        <v>0</v>
      </c>
    </row>
    <row r="17" spans="1:9" ht="12.75">
      <c r="A17" s="762"/>
      <c r="B17" s="762" t="s">
        <v>386</v>
      </c>
      <c r="C17" s="804" t="s">
        <v>387</v>
      </c>
      <c r="D17" s="804"/>
      <c r="E17" s="804"/>
      <c r="F17" s="763">
        <f>SUM(F18:F27)</f>
        <v>1455000</v>
      </c>
      <c r="G17" s="763">
        <f>SUM(G18:G27)</f>
        <v>0</v>
      </c>
      <c r="H17" s="763">
        <f>SUM(H18:H27)</f>
        <v>0</v>
      </c>
      <c r="I17" s="764">
        <f t="shared" si="0"/>
        <v>1455000</v>
      </c>
    </row>
    <row r="18" spans="1:9" ht="12.75">
      <c r="A18" s="770"/>
      <c r="B18" s="770"/>
      <c r="C18" s="771" t="s">
        <v>18</v>
      </c>
      <c r="D18" s="771" t="s">
        <v>277</v>
      </c>
      <c r="E18" s="771" t="s">
        <v>278</v>
      </c>
      <c r="F18" s="772">
        <v>0</v>
      </c>
      <c r="G18" s="772">
        <v>0</v>
      </c>
      <c r="H18" s="772">
        <v>0</v>
      </c>
      <c r="I18" s="773">
        <f t="shared" si="0"/>
        <v>0</v>
      </c>
    </row>
    <row r="19" spans="1:9" ht="12.75">
      <c r="A19" s="770"/>
      <c r="B19" s="770"/>
      <c r="C19" s="771"/>
      <c r="D19" s="771" t="s">
        <v>279</v>
      </c>
      <c r="E19" s="771" t="s">
        <v>280</v>
      </c>
      <c r="F19" s="772">
        <v>0</v>
      </c>
      <c r="G19" s="772">
        <v>0</v>
      </c>
      <c r="H19" s="772">
        <v>0</v>
      </c>
      <c r="I19" s="773">
        <f t="shared" si="0"/>
        <v>0</v>
      </c>
    </row>
    <row r="20" spans="1:9" ht="12.75">
      <c r="A20" s="770"/>
      <c r="B20" s="770"/>
      <c r="C20" s="771"/>
      <c r="D20" s="771" t="s">
        <v>281</v>
      </c>
      <c r="E20" s="771" t="s">
        <v>388</v>
      </c>
      <c r="F20" s="772">
        <v>0</v>
      </c>
      <c r="G20" s="772">
        <v>0</v>
      </c>
      <c r="H20" s="772">
        <v>0</v>
      </c>
      <c r="I20" s="773">
        <f t="shared" si="0"/>
        <v>0</v>
      </c>
    </row>
    <row r="21" spans="1:9" ht="12.75">
      <c r="A21" s="770"/>
      <c r="B21" s="770"/>
      <c r="C21" s="771"/>
      <c r="D21" s="771" t="s">
        <v>283</v>
      </c>
      <c r="E21" s="771" t="s">
        <v>284</v>
      </c>
      <c r="F21" s="772">
        <v>0</v>
      </c>
      <c r="G21" s="772">
        <v>0</v>
      </c>
      <c r="H21" s="772">
        <v>0</v>
      </c>
      <c r="I21" s="773">
        <f t="shared" si="0"/>
        <v>0</v>
      </c>
    </row>
    <row r="22" spans="1:9" ht="12.75">
      <c r="A22" s="770"/>
      <c r="B22" s="770"/>
      <c r="C22" s="771"/>
      <c r="D22" s="771" t="s">
        <v>285</v>
      </c>
      <c r="E22" s="771" t="s">
        <v>286</v>
      </c>
      <c r="F22" s="772">
        <v>0</v>
      </c>
      <c r="G22" s="772">
        <v>0</v>
      </c>
      <c r="H22" s="772">
        <v>0</v>
      </c>
      <c r="I22" s="773">
        <f t="shared" si="0"/>
        <v>0</v>
      </c>
    </row>
    <row r="23" spans="1:9" ht="12.75">
      <c r="A23" s="770"/>
      <c r="B23" s="770"/>
      <c r="C23" s="771"/>
      <c r="D23" s="771" t="s">
        <v>287</v>
      </c>
      <c r="E23" s="771" t="s">
        <v>288</v>
      </c>
      <c r="F23" s="772">
        <v>0</v>
      </c>
      <c r="G23" s="772">
        <v>0</v>
      </c>
      <c r="H23" s="772">
        <v>0</v>
      </c>
      <c r="I23" s="773">
        <f t="shared" si="0"/>
        <v>0</v>
      </c>
    </row>
    <row r="24" spans="1:9" ht="12.75">
      <c r="A24" s="770"/>
      <c r="B24" s="770"/>
      <c r="C24" s="771"/>
      <c r="D24" s="771" t="s">
        <v>289</v>
      </c>
      <c r="E24" s="771" t="s">
        <v>290</v>
      </c>
      <c r="F24" s="772">
        <v>0</v>
      </c>
      <c r="G24" s="772">
        <v>0</v>
      </c>
      <c r="H24" s="772">
        <v>0</v>
      </c>
      <c r="I24" s="773">
        <f t="shared" si="0"/>
        <v>0</v>
      </c>
    </row>
    <row r="25" spans="1:9" ht="12.75">
      <c r="A25" s="770"/>
      <c r="B25" s="770"/>
      <c r="C25" s="771"/>
      <c r="D25" s="771" t="s">
        <v>291</v>
      </c>
      <c r="E25" s="771" t="s">
        <v>292</v>
      </c>
      <c r="F25" s="772">
        <v>1455000</v>
      </c>
      <c r="G25" s="772">
        <v>0</v>
      </c>
      <c r="H25" s="772">
        <v>0</v>
      </c>
      <c r="I25" s="773">
        <f t="shared" si="0"/>
        <v>1455000</v>
      </c>
    </row>
    <row r="26" spans="1:9" ht="12.75">
      <c r="A26" s="770"/>
      <c r="B26" s="770"/>
      <c r="C26" s="771"/>
      <c r="D26" s="771" t="s">
        <v>293</v>
      </c>
      <c r="E26" s="771" t="s">
        <v>294</v>
      </c>
      <c r="F26" s="772">
        <v>0</v>
      </c>
      <c r="G26" s="772">
        <v>0</v>
      </c>
      <c r="H26" s="772">
        <v>0</v>
      </c>
      <c r="I26" s="773">
        <f t="shared" si="0"/>
        <v>0</v>
      </c>
    </row>
    <row r="27" spans="1:9" ht="12.75">
      <c r="A27" s="770"/>
      <c r="B27" s="770"/>
      <c r="C27" s="771"/>
      <c r="D27" s="771" t="s">
        <v>295</v>
      </c>
      <c r="E27" s="771" t="s">
        <v>296</v>
      </c>
      <c r="F27" s="772">
        <v>0</v>
      </c>
      <c r="G27" s="772">
        <v>0</v>
      </c>
      <c r="H27" s="772">
        <v>0</v>
      </c>
      <c r="I27" s="773">
        <f t="shared" si="0"/>
        <v>0</v>
      </c>
    </row>
    <row r="28" spans="1:9" ht="12.75">
      <c r="A28" s="762"/>
      <c r="B28" s="762" t="s">
        <v>389</v>
      </c>
      <c r="C28" s="804" t="s">
        <v>390</v>
      </c>
      <c r="D28" s="804"/>
      <c r="E28" s="804"/>
      <c r="F28" s="763">
        <v>0</v>
      </c>
      <c r="G28" s="763">
        <v>0</v>
      </c>
      <c r="H28" s="763">
        <v>0</v>
      </c>
      <c r="I28" s="764">
        <f t="shared" si="0"/>
        <v>0</v>
      </c>
    </row>
    <row r="29" spans="1:9" ht="12.75">
      <c r="A29" s="762"/>
      <c r="B29" s="762" t="s">
        <v>391</v>
      </c>
      <c r="C29" s="804" t="s">
        <v>392</v>
      </c>
      <c r="D29" s="804"/>
      <c r="E29" s="804"/>
      <c r="F29" s="763">
        <f>SUM(F30:F39)</f>
        <v>99138486</v>
      </c>
      <c r="G29" s="763">
        <f>SUM(G30:G39)</f>
        <v>1263940</v>
      </c>
      <c r="H29" s="763">
        <f>SUM(H30:H39)</f>
        <v>0</v>
      </c>
      <c r="I29" s="764">
        <f t="shared" si="0"/>
        <v>100402426</v>
      </c>
    </row>
    <row r="30" spans="1:9" ht="12.75">
      <c r="A30" s="770"/>
      <c r="B30" s="770"/>
      <c r="C30" s="771" t="s">
        <v>18</v>
      </c>
      <c r="D30" s="771" t="s">
        <v>277</v>
      </c>
      <c r="E30" s="771" t="s">
        <v>278</v>
      </c>
      <c r="F30" s="772">
        <v>0</v>
      </c>
      <c r="G30" s="772">
        <v>0</v>
      </c>
      <c r="H30" s="772">
        <v>0</v>
      </c>
      <c r="I30" s="773">
        <f t="shared" si="0"/>
        <v>0</v>
      </c>
    </row>
    <row r="31" spans="1:9" ht="12.75">
      <c r="A31" s="770"/>
      <c r="B31" s="770"/>
      <c r="C31" s="771"/>
      <c r="D31" s="771" t="s">
        <v>279</v>
      </c>
      <c r="E31" s="771" t="s">
        <v>280</v>
      </c>
      <c r="F31" s="772">
        <v>0</v>
      </c>
      <c r="G31" s="772">
        <v>0</v>
      </c>
      <c r="H31" s="772">
        <v>0</v>
      </c>
      <c r="I31" s="773">
        <f t="shared" si="0"/>
        <v>0</v>
      </c>
    </row>
    <row r="32" spans="1:9" ht="12.75">
      <c r="A32" s="774"/>
      <c r="B32" s="774"/>
      <c r="C32" s="775"/>
      <c r="D32" s="775" t="s">
        <v>281</v>
      </c>
      <c r="E32" s="775" t="s">
        <v>388</v>
      </c>
      <c r="F32" s="772">
        <v>0</v>
      </c>
      <c r="G32" s="772">
        <v>0</v>
      </c>
      <c r="H32" s="772">
        <v>0</v>
      </c>
      <c r="I32" s="773">
        <f t="shared" si="0"/>
        <v>0</v>
      </c>
    </row>
    <row r="33" spans="1:9" ht="12.75">
      <c r="A33" s="770"/>
      <c r="B33" s="770"/>
      <c r="C33" s="771"/>
      <c r="D33" s="771" t="s">
        <v>283</v>
      </c>
      <c r="E33" s="771" t="s">
        <v>284</v>
      </c>
      <c r="F33" s="772">
        <f>49496000+7100000</f>
        <v>56596000</v>
      </c>
      <c r="G33" s="772">
        <v>1263940</v>
      </c>
      <c r="H33" s="772">
        <v>0</v>
      </c>
      <c r="I33" s="773">
        <f t="shared" si="0"/>
        <v>57859940</v>
      </c>
    </row>
    <row r="34" spans="1:9" ht="12.75">
      <c r="A34" s="770"/>
      <c r="B34" s="770"/>
      <c r="C34" s="771"/>
      <c r="D34" s="771" t="s">
        <v>285</v>
      </c>
      <c r="E34" s="771" t="s">
        <v>286</v>
      </c>
      <c r="F34" s="772">
        <f>30540000+1189800+445686</f>
        <v>32175486</v>
      </c>
      <c r="G34" s="772">
        <v>0</v>
      </c>
      <c r="H34" s="772">
        <v>0</v>
      </c>
      <c r="I34" s="773">
        <f t="shared" si="0"/>
        <v>32175486</v>
      </c>
    </row>
    <row r="35" spans="1:9" ht="12.75">
      <c r="A35" s="770"/>
      <c r="B35" s="770"/>
      <c r="C35" s="771"/>
      <c r="D35" s="771" t="s">
        <v>287</v>
      </c>
      <c r="E35" s="771" t="s">
        <v>288</v>
      </c>
      <c r="F35" s="772">
        <f>1163000</f>
        <v>1163000</v>
      </c>
      <c r="G35" s="772">
        <v>0</v>
      </c>
      <c r="H35" s="772">
        <v>0</v>
      </c>
      <c r="I35" s="773">
        <f t="shared" si="0"/>
        <v>1163000</v>
      </c>
    </row>
    <row r="36" spans="1:9" ht="12.75">
      <c r="A36" s="770"/>
      <c r="B36" s="770"/>
      <c r="C36" s="771"/>
      <c r="D36" s="771" t="s">
        <v>289</v>
      </c>
      <c r="E36" s="771" t="s">
        <v>290</v>
      </c>
      <c r="F36" s="772">
        <f>3450000+5754000</f>
        <v>9204000</v>
      </c>
      <c r="G36" s="772">
        <v>0</v>
      </c>
      <c r="H36" s="772">
        <v>0</v>
      </c>
      <c r="I36" s="773">
        <f t="shared" si="0"/>
        <v>9204000</v>
      </c>
    </row>
    <row r="37" spans="1:9" ht="12.75">
      <c r="A37" s="770"/>
      <c r="B37" s="770"/>
      <c r="C37" s="771"/>
      <c r="D37" s="771" t="s">
        <v>291</v>
      </c>
      <c r="E37" s="771" t="s">
        <v>292</v>
      </c>
      <c r="F37" s="772">
        <v>0</v>
      </c>
      <c r="G37" s="772">
        <v>0</v>
      </c>
      <c r="H37" s="772">
        <v>0</v>
      </c>
      <c r="I37" s="773">
        <f t="shared" si="0"/>
        <v>0</v>
      </c>
    </row>
    <row r="38" spans="1:9" ht="12.75">
      <c r="A38" s="770"/>
      <c r="B38" s="770"/>
      <c r="C38" s="771"/>
      <c r="D38" s="771" t="s">
        <v>293</v>
      </c>
      <c r="E38" s="771" t="s">
        <v>294</v>
      </c>
      <c r="F38" s="772">
        <v>0</v>
      </c>
      <c r="G38" s="772">
        <v>0</v>
      </c>
      <c r="H38" s="772">
        <v>0</v>
      </c>
      <c r="I38" s="773">
        <f t="shared" si="0"/>
        <v>0</v>
      </c>
    </row>
    <row r="39" spans="1:9" ht="12.75">
      <c r="A39" s="770"/>
      <c r="B39" s="770"/>
      <c r="C39" s="771"/>
      <c r="D39" s="771" t="s">
        <v>295</v>
      </c>
      <c r="E39" s="771" t="s">
        <v>296</v>
      </c>
      <c r="F39" s="772">
        <v>0</v>
      </c>
      <c r="G39" s="772">
        <v>0</v>
      </c>
      <c r="H39" s="772">
        <v>0</v>
      </c>
      <c r="I39" s="773">
        <f t="shared" si="0"/>
        <v>0</v>
      </c>
    </row>
    <row r="40" spans="1:9" s="761" customFormat="1" ht="12.75">
      <c r="A40" s="759" t="s">
        <v>393</v>
      </c>
      <c r="B40" s="808" t="s">
        <v>394</v>
      </c>
      <c r="C40" s="808"/>
      <c r="D40" s="808"/>
      <c r="E40" s="808"/>
      <c r="F40" s="760">
        <f>SUM(F41:F45)</f>
        <v>149375059</v>
      </c>
      <c r="G40" s="760">
        <f>SUM(G41:G45)</f>
        <v>0</v>
      </c>
      <c r="H40" s="760">
        <f>SUM(H41:H45)</f>
        <v>0</v>
      </c>
      <c r="I40" s="760">
        <f t="shared" si="0"/>
        <v>149375059</v>
      </c>
    </row>
    <row r="41" spans="1:9" ht="12.75">
      <c r="A41" s="762"/>
      <c r="B41" s="762" t="s">
        <v>395</v>
      </c>
      <c r="C41" s="804" t="s">
        <v>396</v>
      </c>
      <c r="D41" s="804"/>
      <c r="E41" s="804"/>
      <c r="F41" s="763">
        <f>11772070+114000</f>
        <v>11886070</v>
      </c>
      <c r="G41" s="763">
        <v>0</v>
      </c>
      <c r="H41" s="763">
        <v>0</v>
      </c>
      <c r="I41" s="764">
        <f t="shared" si="0"/>
        <v>11886070</v>
      </c>
    </row>
    <row r="42" spans="1:9" ht="12.75">
      <c r="A42" s="762"/>
      <c r="B42" s="762" t="s">
        <v>397</v>
      </c>
      <c r="C42" s="804" t="s">
        <v>398</v>
      </c>
      <c r="D42" s="804"/>
      <c r="E42" s="804"/>
      <c r="F42" s="763">
        <v>0</v>
      </c>
      <c r="G42" s="763">
        <v>0</v>
      </c>
      <c r="H42" s="763">
        <v>0</v>
      </c>
      <c r="I42" s="764">
        <f t="shared" si="0"/>
        <v>0</v>
      </c>
    </row>
    <row r="43" spans="1:9" ht="12.75">
      <c r="A43" s="762"/>
      <c r="B43" s="762" t="s">
        <v>399</v>
      </c>
      <c r="C43" s="804" t="s">
        <v>400</v>
      </c>
      <c r="D43" s="804"/>
      <c r="E43" s="804"/>
      <c r="F43" s="763">
        <v>0</v>
      </c>
      <c r="G43" s="763">
        <v>0</v>
      </c>
      <c r="H43" s="763">
        <v>0</v>
      </c>
      <c r="I43" s="764">
        <f t="shared" si="0"/>
        <v>0</v>
      </c>
    </row>
    <row r="44" spans="1:9" ht="12.75">
      <c r="A44" s="762"/>
      <c r="B44" s="762" t="s">
        <v>401</v>
      </c>
      <c r="C44" s="804" t="s">
        <v>402</v>
      </c>
      <c r="D44" s="804"/>
      <c r="E44" s="804"/>
      <c r="F44" s="763">
        <v>0</v>
      </c>
      <c r="G44" s="763">
        <v>0</v>
      </c>
      <c r="H44" s="763">
        <v>0</v>
      </c>
      <c r="I44" s="764">
        <f t="shared" si="0"/>
        <v>0</v>
      </c>
    </row>
    <row r="45" spans="1:9" ht="12.75">
      <c r="A45" s="762"/>
      <c r="B45" s="762" t="s">
        <v>403</v>
      </c>
      <c r="C45" s="804" t="s">
        <v>404</v>
      </c>
      <c r="D45" s="804"/>
      <c r="E45" s="804"/>
      <c r="F45" s="763">
        <f>SUM(F46:F55)</f>
        <v>137488989</v>
      </c>
      <c r="G45" s="763">
        <f>SUM(G46:G55)</f>
        <v>0</v>
      </c>
      <c r="H45" s="763">
        <f>SUM(H46:H55)</f>
        <v>0</v>
      </c>
      <c r="I45" s="764">
        <f t="shared" si="0"/>
        <v>137488989</v>
      </c>
    </row>
    <row r="46" spans="1:9" ht="12.75">
      <c r="A46" s="770"/>
      <c r="B46" s="770"/>
      <c r="C46" s="771" t="s">
        <v>18</v>
      </c>
      <c r="D46" s="771" t="s">
        <v>277</v>
      </c>
      <c r="E46" s="771" t="s">
        <v>278</v>
      </c>
      <c r="F46" s="772">
        <v>0</v>
      </c>
      <c r="G46" s="772">
        <v>0</v>
      </c>
      <c r="H46" s="772">
        <v>0</v>
      </c>
      <c r="I46" s="773">
        <f t="shared" si="0"/>
        <v>0</v>
      </c>
    </row>
    <row r="47" spans="1:9" ht="12.75">
      <c r="A47" s="770"/>
      <c r="B47" s="770"/>
      <c r="C47" s="771"/>
      <c r="D47" s="771" t="s">
        <v>279</v>
      </c>
      <c r="E47" s="771" t="s">
        <v>280</v>
      </c>
      <c r="F47" s="772">
        <v>0</v>
      </c>
      <c r="G47" s="772">
        <v>0</v>
      </c>
      <c r="H47" s="772">
        <v>0</v>
      </c>
      <c r="I47" s="773">
        <f t="shared" si="0"/>
        <v>0</v>
      </c>
    </row>
    <row r="48" spans="1:9" ht="12.75">
      <c r="A48" s="774"/>
      <c r="B48" s="774"/>
      <c r="C48" s="775"/>
      <c r="D48" s="775" t="s">
        <v>281</v>
      </c>
      <c r="E48" s="775" t="s">
        <v>388</v>
      </c>
      <c r="F48" s="772">
        <f>131327000+6161989</f>
        <v>137488989</v>
      </c>
      <c r="G48" s="772">
        <v>0</v>
      </c>
      <c r="H48" s="772">
        <v>0</v>
      </c>
      <c r="I48" s="773">
        <f t="shared" si="0"/>
        <v>137488989</v>
      </c>
    </row>
    <row r="49" spans="1:9" ht="12.75">
      <c r="A49" s="770"/>
      <c r="B49" s="770"/>
      <c r="C49" s="771"/>
      <c r="D49" s="771" t="s">
        <v>283</v>
      </c>
      <c r="E49" s="771" t="s">
        <v>284</v>
      </c>
      <c r="F49" s="772">
        <v>0</v>
      </c>
      <c r="G49" s="772">
        <v>0</v>
      </c>
      <c r="H49" s="772">
        <v>0</v>
      </c>
      <c r="I49" s="773">
        <f t="shared" si="0"/>
        <v>0</v>
      </c>
    </row>
    <row r="50" spans="1:9" ht="12.75">
      <c r="A50" s="770"/>
      <c r="B50" s="770"/>
      <c r="C50" s="771"/>
      <c r="D50" s="771" t="s">
        <v>285</v>
      </c>
      <c r="E50" s="771" t="s">
        <v>286</v>
      </c>
      <c r="F50" s="772">
        <v>0</v>
      </c>
      <c r="G50" s="772">
        <v>0</v>
      </c>
      <c r="H50" s="772">
        <v>0</v>
      </c>
      <c r="I50" s="773">
        <f t="shared" si="0"/>
        <v>0</v>
      </c>
    </row>
    <row r="51" spans="1:9" ht="12.75">
      <c r="A51" s="770"/>
      <c r="B51" s="770"/>
      <c r="C51" s="771"/>
      <c r="D51" s="771" t="s">
        <v>287</v>
      </c>
      <c r="E51" s="771" t="s">
        <v>288</v>
      </c>
      <c r="F51" s="772"/>
      <c r="G51" s="772">
        <v>0</v>
      </c>
      <c r="H51" s="772">
        <v>0</v>
      </c>
      <c r="I51" s="773">
        <f t="shared" si="0"/>
        <v>0</v>
      </c>
    </row>
    <row r="52" spans="1:9" ht="12.75">
      <c r="A52" s="770"/>
      <c r="B52" s="770"/>
      <c r="C52" s="771"/>
      <c r="D52" s="771" t="s">
        <v>289</v>
      </c>
      <c r="E52" s="771" t="s">
        <v>290</v>
      </c>
      <c r="F52" s="772">
        <v>0</v>
      </c>
      <c r="G52" s="772">
        <v>0</v>
      </c>
      <c r="H52" s="772">
        <v>0</v>
      </c>
      <c r="I52" s="773">
        <f t="shared" si="0"/>
        <v>0</v>
      </c>
    </row>
    <row r="53" spans="1:9" ht="12.75">
      <c r="A53" s="770"/>
      <c r="B53" s="770"/>
      <c r="C53" s="771"/>
      <c r="D53" s="771" t="s">
        <v>291</v>
      </c>
      <c r="E53" s="771" t="s">
        <v>292</v>
      </c>
      <c r="F53" s="772">
        <v>0</v>
      </c>
      <c r="G53" s="772">
        <v>0</v>
      </c>
      <c r="H53" s="772">
        <v>0</v>
      </c>
      <c r="I53" s="773">
        <f t="shared" si="0"/>
        <v>0</v>
      </c>
    </row>
    <row r="54" spans="1:9" ht="12.75">
      <c r="A54" s="770"/>
      <c r="B54" s="770"/>
      <c r="C54" s="771"/>
      <c r="D54" s="771" t="s">
        <v>293</v>
      </c>
      <c r="E54" s="771" t="s">
        <v>294</v>
      </c>
      <c r="F54" s="772">
        <v>0</v>
      </c>
      <c r="G54" s="772">
        <v>0</v>
      </c>
      <c r="H54" s="772">
        <v>0</v>
      </c>
      <c r="I54" s="773">
        <f t="shared" si="0"/>
        <v>0</v>
      </c>
    </row>
    <row r="55" spans="1:9" ht="12.75">
      <c r="A55" s="770"/>
      <c r="B55" s="770"/>
      <c r="C55" s="771"/>
      <c r="D55" s="771" t="s">
        <v>295</v>
      </c>
      <c r="E55" s="771" t="s">
        <v>296</v>
      </c>
      <c r="F55" s="772">
        <v>0</v>
      </c>
      <c r="G55" s="772">
        <v>0</v>
      </c>
      <c r="H55" s="772">
        <v>0</v>
      </c>
      <c r="I55" s="773">
        <f t="shared" si="0"/>
        <v>0</v>
      </c>
    </row>
    <row r="56" spans="1:9" s="761" customFormat="1" ht="12.75">
      <c r="A56" s="759" t="s">
        <v>405</v>
      </c>
      <c r="B56" s="808" t="s">
        <v>406</v>
      </c>
      <c r="C56" s="808"/>
      <c r="D56" s="808"/>
      <c r="E56" s="808"/>
      <c r="F56" s="760">
        <f>SUM(F57+F58+F59+F60+F63+F75)</f>
        <v>181672928</v>
      </c>
      <c r="G56" s="760">
        <f>SUM(G57+G58+G59+G60+G63+G75)</f>
        <v>10000</v>
      </c>
      <c r="H56" s="760">
        <f>SUM(H57+H58+H59+H60+H63+H75)</f>
        <v>0</v>
      </c>
      <c r="I56" s="760">
        <f t="shared" si="0"/>
        <v>181682928</v>
      </c>
    </row>
    <row r="57" spans="1:9" ht="12.75">
      <c r="A57" s="762"/>
      <c r="B57" s="762" t="s">
        <v>407</v>
      </c>
      <c r="C57" s="804" t="s">
        <v>408</v>
      </c>
      <c r="D57" s="804"/>
      <c r="E57" s="804"/>
      <c r="F57" s="763">
        <v>0</v>
      </c>
      <c r="G57" s="763">
        <v>0</v>
      </c>
      <c r="H57" s="763">
        <v>0</v>
      </c>
      <c r="I57" s="764">
        <f t="shared" si="0"/>
        <v>0</v>
      </c>
    </row>
    <row r="58" spans="1:9" ht="12.75">
      <c r="A58" s="762"/>
      <c r="B58" s="762" t="s">
        <v>409</v>
      </c>
      <c r="C58" s="804" t="s">
        <v>410</v>
      </c>
      <c r="D58" s="804"/>
      <c r="E58" s="804"/>
      <c r="F58" s="763">
        <v>0</v>
      </c>
      <c r="G58" s="763">
        <v>0</v>
      </c>
      <c r="H58" s="763">
        <v>0</v>
      </c>
      <c r="I58" s="764">
        <f t="shared" si="0"/>
        <v>0</v>
      </c>
    </row>
    <row r="59" spans="1:9" ht="12.75">
      <c r="A59" s="762"/>
      <c r="B59" s="762" t="s">
        <v>411</v>
      </c>
      <c r="C59" s="804" t="s">
        <v>412</v>
      </c>
      <c r="D59" s="804"/>
      <c r="E59" s="804"/>
      <c r="F59" s="763">
        <v>0</v>
      </c>
      <c r="G59" s="763">
        <v>0</v>
      </c>
      <c r="H59" s="763">
        <v>0</v>
      </c>
      <c r="I59" s="764">
        <f t="shared" si="0"/>
        <v>0</v>
      </c>
    </row>
    <row r="60" spans="1:9" ht="12.75">
      <c r="A60" s="762"/>
      <c r="B60" s="762" t="s">
        <v>413</v>
      </c>
      <c r="C60" s="804" t="s">
        <v>414</v>
      </c>
      <c r="D60" s="804"/>
      <c r="E60" s="804"/>
      <c r="F60" s="763">
        <f>SUM(F61:F62)</f>
        <v>26500000</v>
      </c>
      <c r="G60" s="763">
        <f>SUM(G61:G62)</f>
        <v>0</v>
      </c>
      <c r="H60" s="763">
        <v>0</v>
      </c>
      <c r="I60" s="764">
        <f t="shared" si="0"/>
        <v>26500000</v>
      </c>
    </row>
    <row r="61" spans="1:9" ht="12.75">
      <c r="A61" s="770"/>
      <c r="B61" s="770"/>
      <c r="C61" s="771"/>
      <c r="D61" s="771"/>
      <c r="E61" s="771" t="s">
        <v>415</v>
      </c>
      <c r="F61" s="772">
        <v>25500000</v>
      </c>
      <c r="G61" s="772">
        <v>0</v>
      </c>
      <c r="H61" s="772">
        <v>0</v>
      </c>
      <c r="I61" s="773">
        <f t="shared" si="0"/>
        <v>25500000</v>
      </c>
    </row>
    <row r="62" spans="1:9" ht="12.75">
      <c r="A62" s="770"/>
      <c r="B62" s="770"/>
      <c r="C62" s="771"/>
      <c r="D62" s="771"/>
      <c r="E62" s="771" t="s">
        <v>416</v>
      </c>
      <c r="F62" s="772">
        <v>1000000</v>
      </c>
      <c r="G62" s="772">
        <v>0</v>
      </c>
      <c r="H62" s="772">
        <v>0</v>
      </c>
      <c r="I62" s="773">
        <f t="shared" si="0"/>
        <v>1000000</v>
      </c>
    </row>
    <row r="63" spans="1:9" ht="12.75">
      <c r="A63" s="762"/>
      <c r="B63" s="762" t="s">
        <v>417</v>
      </c>
      <c r="C63" s="804" t="s">
        <v>418</v>
      </c>
      <c r="D63" s="804"/>
      <c r="E63" s="804"/>
      <c r="F63" s="763">
        <f>SUM(F64+F67+F69+F70+F72)</f>
        <v>154448314</v>
      </c>
      <c r="G63" s="763">
        <f>SUM(G64+G67+G69+G70+G72)</f>
        <v>0</v>
      </c>
      <c r="H63" s="763">
        <v>0</v>
      </c>
      <c r="I63" s="764">
        <f t="shared" si="0"/>
        <v>154448314</v>
      </c>
    </row>
    <row r="64" spans="1:9" ht="12.75">
      <c r="A64" s="765"/>
      <c r="B64" s="765"/>
      <c r="C64" s="765" t="s">
        <v>419</v>
      </c>
      <c r="D64" s="765" t="s">
        <v>420</v>
      </c>
      <c r="E64" s="765"/>
      <c r="F64" s="766">
        <f>SUM(F65:F66)</f>
        <v>134248314</v>
      </c>
      <c r="G64" s="766">
        <f>SUM(G65:G66)</f>
        <v>0</v>
      </c>
      <c r="H64" s="766">
        <v>0</v>
      </c>
      <c r="I64" s="767">
        <f t="shared" si="0"/>
        <v>134248314</v>
      </c>
    </row>
    <row r="65" spans="1:9" ht="12.75">
      <c r="A65" s="770"/>
      <c r="B65" s="770"/>
      <c r="C65" s="771"/>
      <c r="D65" s="771"/>
      <c r="E65" s="771" t="s">
        <v>421</v>
      </c>
      <c r="F65" s="772">
        <f>120000000+3430000+5644000+4674314</f>
        <v>133748314</v>
      </c>
      <c r="G65" s="772">
        <v>0</v>
      </c>
      <c r="H65" s="772">
        <v>0</v>
      </c>
      <c r="I65" s="773">
        <f t="shared" si="0"/>
        <v>133748314</v>
      </c>
    </row>
    <row r="66" spans="1:9" ht="12.75">
      <c r="A66" s="770"/>
      <c r="B66" s="770"/>
      <c r="C66" s="771"/>
      <c r="D66" s="771"/>
      <c r="E66" s="771" t="s">
        <v>422</v>
      </c>
      <c r="F66" s="772">
        <v>500000</v>
      </c>
      <c r="G66" s="772">
        <v>0</v>
      </c>
      <c r="H66" s="772">
        <v>0</v>
      </c>
      <c r="I66" s="773">
        <f t="shared" si="0"/>
        <v>500000</v>
      </c>
    </row>
    <row r="67" spans="1:9" ht="12.75">
      <c r="A67" s="765"/>
      <c r="B67" s="765"/>
      <c r="C67" s="765" t="s">
        <v>423</v>
      </c>
      <c r="D67" s="765" t="s">
        <v>883</v>
      </c>
      <c r="E67" s="765"/>
      <c r="F67" s="766">
        <f>SUM(F68)</f>
        <v>0</v>
      </c>
      <c r="G67" s="766">
        <f>SUM(G68)</f>
        <v>0</v>
      </c>
      <c r="H67" s="766">
        <f>SUM(H68)</f>
        <v>0</v>
      </c>
      <c r="I67" s="767">
        <f t="shared" si="0"/>
        <v>0</v>
      </c>
    </row>
    <row r="68" spans="1:9" ht="12.75">
      <c r="A68" s="765"/>
      <c r="B68" s="765"/>
      <c r="C68" s="765"/>
      <c r="D68" s="765"/>
      <c r="E68" s="771" t="s">
        <v>884</v>
      </c>
      <c r="F68" s="766">
        <f>25000-25000</f>
        <v>0</v>
      </c>
      <c r="G68" s="766">
        <v>0</v>
      </c>
      <c r="H68" s="766">
        <v>0</v>
      </c>
      <c r="I68" s="767">
        <f t="shared" si="0"/>
        <v>0</v>
      </c>
    </row>
    <row r="69" spans="1:9" ht="12.75">
      <c r="A69" s="765"/>
      <c r="B69" s="765"/>
      <c r="C69" s="765" t="s">
        <v>424</v>
      </c>
      <c r="D69" s="765" t="s">
        <v>425</v>
      </c>
      <c r="E69" s="765"/>
      <c r="F69" s="766">
        <v>0</v>
      </c>
      <c r="G69" s="766">
        <v>0</v>
      </c>
      <c r="H69" s="766">
        <v>0</v>
      </c>
      <c r="I69" s="767">
        <f t="shared" si="0"/>
        <v>0</v>
      </c>
    </row>
    <row r="70" spans="1:9" ht="12.75">
      <c r="A70" s="765"/>
      <c r="B70" s="765"/>
      <c r="C70" s="765" t="s">
        <v>426</v>
      </c>
      <c r="D70" s="765" t="s">
        <v>427</v>
      </c>
      <c r="E70" s="765"/>
      <c r="F70" s="766">
        <f>SUM(F71)</f>
        <v>20000000</v>
      </c>
      <c r="G70" s="766">
        <f>SUM(G71:G71)</f>
        <v>0</v>
      </c>
      <c r="H70" s="766">
        <v>0</v>
      </c>
      <c r="I70" s="767">
        <f t="shared" si="0"/>
        <v>20000000</v>
      </c>
    </row>
    <row r="71" spans="1:9" ht="12.75">
      <c r="A71" s="770"/>
      <c r="B71" s="770"/>
      <c r="C71" s="770"/>
      <c r="D71" s="771"/>
      <c r="E71" s="771" t="s">
        <v>428</v>
      </c>
      <c r="F71" s="772">
        <v>20000000</v>
      </c>
      <c r="G71" s="772">
        <v>0</v>
      </c>
      <c r="H71" s="772">
        <v>0</v>
      </c>
      <c r="I71" s="773">
        <f t="shared" si="0"/>
        <v>20000000</v>
      </c>
    </row>
    <row r="72" spans="1:9" ht="12.75">
      <c r="A72" s="765"/>
      <c r="B72" s="765"/>
      <c r="C72" s="765" t="s">
        <v>429</v>
      </c>
      <c r="D72" s="765" t="s">
        <v>430</v>
      </c>
      <c r="E72" s="765"/>
      <c r="F72" s="766">
        <f>SUM(F73:F74)</f>
        <v>200000</v>
      </c>
      <c r="G72" s="766">
        <v>0</v>
      </c>
      <c r="H72" s="766">
        <v>0</v>
      </c>
      <c r="I72" s="767">
        <f t="shared" si="0"/>
        <v>200000</v>
      </c>
    </row>
    <row r="73" spans="1:9" ht="12.75">
      <c r="A73" s="770"/>
      <c r="B73" s="770"/>
      <c r="C73" s="770"/>
      <c r="D73" s="771"/>
      <c r="E73" s="771" t="s">
        <v>431</v>
      </c>
      <c r="F73" s="772">
        <v>200000</v>
      </c>
      <c r="G73" s="772">
        <v>0</v>
      </c>
      <c r="H73" s="772">
        <v>0</v>
      </c>
      <c r="I73" s="773">
        <f aca="true" t="shared" si="1" ref="I73:I181">SUM(F73:H73)</f>
        <v>200000</v>
      </c>
    </row>
    <row r="74" spans="1:9" ht="12.75">
      <c r="A74" s="770"/>
      <c r="B74" s="770"/>
      <c r="C74" s="770"/>
      <c r="D74" s="771"/>
      <c r="E74" s="771" t="s">
        <v>432</v>
      </c>
      <c r="F74" s="772">
        <v>0</v>
      </c>
      <c r="G74" s="772">
        <v>0</v>
      </c>
      <c r="H74" s="772">
        <v>0</v>
      </c>
      <c r="I74" s="773">
        <f t="shared" si="1"/>
        <v>0</v>
      </c>
    </row>
    <row r="75" spans="1:9" ht="12.75">
      <c r="A75" s="762"/>
      <c r="B75" s="762" t="s">
        <v>433</v>
      </c>
      <c r="C75" s="804" t="s">
        <v>434</v>
      </c>
      <c r="D75" s="804"/>
      <c r="E75" s="804"/>
      <c r="F75" s="763">
        <f>SUM(F76:F84)</f>
        <v>724614</v>
      </c>
      <c r="G75" s="763">
        <f>SUM(G76:G84)</f>
        <v>10000</v>
      </c>
      <c r="H75" s="763">
        <f>SUM(H76:H84)</f>
        <v>0</v>
      </c>
      <c r="I75" s="764">
        <f t="shared" si="1"/>
        <v>734614</v>
      </c>
    </row>
    <row r="76" spans="1:9" ht="12.75">
      <c r="A76" s="741"/>
      <c r="B76" s="741"/>
      <c r="C76" s="741"/>
      <c r="D76" s="771"/>
      <c r="E76" s="771" t="s">
        <v>435</v>
      </c>
      <c r="F76" s="772">
        <v>0</v>
      </c>
      <c r="G76" s="772">
        <v>0</v>
      </c>
      <c r="H76" s="772">
        <v>0</v>
      </c>
      <c r="I76" s="773">
        <f t="shared" si="1"/>
        <v>0</v>
      </c>
    </row>
    <row r="77" spans="1:9" ht="12.75">
      <c r="A77" s="770"/>
      <c r="B77" s="770"/>
      <c r="C77" s="770"/>
      <c r="D77" s="771"/>
      <c r="E77" s="771" t="s">
        <v>436</v>
      </c>
      <c r="F77" s="772">
        <v>0</v>
      </c>
      <c r="G77" s="772">
        <v>10000</v>
      </c>
      <c r="H77" s="772">
        <v>0</v>
      </c>
      <c r="I77" s="773">
        <f t="shared" si="1"/>
        <v>10000</v>
      </c>
    </row>
    <row r="78" spans="1:9" ht="12.75">
      <c r="A78" s="741"/>
      <c r="B78" s="741"/>
      <c r="C78" s="741"/>
      <c r="D78" s="771"/>
      <c r="E78" s="771" t="s">
        <v>969</v>
      </c>
      <c r="F78" s="772">
        <v>24614</v>
      </c>
      <c r="G78" s="772">
        <v>0</v>
      </c>
      <c r="H78" s="772">
        <v>0</v>
      </c>
      <c r="I78" s="773">
        <f t="shared" si="1"/>
        <v>24614</v>
      </c>
    </row>
    <row r="79" spans="1:9" ht="12.75">
      <c r="A79" s="741"/>
      <c r="B79" s="741"/>
      <c r="C79" s="741"/>
      <c r="D79" s="771"/>
      <c r="E79" s="771" t="s">
        <v>437</v>
      </c>
      <c r="F79" s="772">
        <v>0</v>
      </c>
      <c r="G79" s="772">
        <v>0</v>
      </c>
      <c r="H79" s="772">
        <v>0</v>
      </c>
      <c r="I79" s="773">
        <f t="shared" si="1"/>
        <v>0</v>
      </c>
    </row>
    <row r="80" spans="1:9" ht="12.75">
      <c r="A80" s="741"/>
      <c r="B80" s="741"/>
      <c r="C80" s="741"/>
      <c r="D80" s="771"/>
      <c r="E80" s="771" t="s">
        <v>438</v>
      </c>
      <c r="F80" s="772">
        <v>0</v>
      </c>
      <c r="G80" s="772">
        <v>0</v>
      </c>
      <c r="H80" s="772">
        <v>0</v>
      </c>
      <c r="I80" s="773">
        <f t="shared" si="1"/>
        <v>0</v>
      </c>
    </row>
    <row r="81" spans="1:9" ht="12.75">
      <c r="A81" s="741"/>
      <c r="B81" s="741"/>
      <c r="C81" s="741"/>
      <c r="D81" s="771"/>
      <c r="E81" s="771" t="s">
        <v>439</v>
      </c>
      <c r="F81" s="772">
        <v>0</v>
      </c>
      <c r="G81" s="772">
        <v>0</v>
      </c>
      <c r="H81" s="772">
        <v>0</v>
      </c>
      <c r="I81" s="773">
        <f t="shared" si="1"/>
        <v>0</v>
      </c>
    </row>
    <row r="82" spans="1:9" ht="40.5" customHeight="1">
      <c r="A82" s="770"/>
      <c r="B82" s="770"/>
      <c r="C82" s="770"/>
      <c r="D82" s="770"/>
      <c r="E82" s="776" t="s">
        <v>440</v>
      </c>
      <c r="F82" s="772">
        <v>200000</v>
      </c>
      <c r="G82" s="772">
        <v>0</v>
      </c>
      <c r="H82" s="772">
        <v>0</v>
      </c>
      <c r="I82" s="773">
        <f t="shared" si="1"/>
        <v>200000</v>
      </c>
    </row>
    <row r="83" spans="1:9" ht="12.75">
      <c r="A83" s="741"/>
      <c r="B83" s="741"/>
      <c r="C83" s="741"/>
      <c r="D83" s="741"/>
      <c r="E83" s="771" t="s">
        <v>441</v>
      </c>
      <c r="F83" s="772">
        <v>0</v>
      </c>
      <c r="G83" s="772">
        <v>0</v>
      </c>
      <c r="H83" s="772">
        <v>0</v>
      </c>
      <c r="I83" s="773">
        <f t="shared" si="1"/>
        <v>0</v>
      </c>
    </row>
    <row r="84" spans="1:9" ht="12.75">
      <c r="A84" s="770"/>
      <c r="B84" s="770"/>
      <c r="C84" s="770"/>
      <c r="D84" s="770"/>
      <c r="E84" s="775" t="s">
        <v>442</v>
      </c>
      <c r="F84" s="772">
        <v>500000</v>
      </c>
      <c r="G84" s="772">
        <v>0</v>
      </c>
      <c r="H84" s="772">
        <v>0</v>
      </c>
      <c r="I84" s="773">
        <f t="shared" si="1"/>
        <v>500000</v>
      </c>
    </row>
    <row r="85" spans="1:9" s="761" customFormat="1" ht="12.75">
      <c r="A85" s="759" t="s">
        <v>443</v>
      </c>
      <c r="B85" s="808" t="s">
        <v>444</v>
      </c>
      <c r="C85" s="808"/>
      <c r="D85" s="808"/>
      <c r="E85" s="808"/>
      <c r="F85" s="760">
        <f>SUM(F86+F87+F90+F92+F99+F100+F101+F102+F109+F117+F118)</f>
        <v>130069043</v>
      </c>
      <c r="G85" s="760">
        <f>SUM(G86+G87+G90+G92+G99+G100+G101+G102+G109+G117+G118)</f>
        <v>8768000</v>
      </c>
      <c r="H85" s="760">
        <f>SUM(H86+H87+H90+H92+H99+H100+H101+H102+H109+H117+H118)</f>
        <v>1798000</v>
      </c>
      <c r="I85" s="760">
        <f t="shared" si="1"/>
        <v>140635043</v>
      </c>
    </row>
    <row r="86" spans="1:9" ht="12.75">
      <c r="A86" s="765"/>
      <c r="B86" s="765"/>
      <c r="C86" s="765" t="s">
        <v>445</v>
      </c>
      <c r="D86" s="765" t="s">
        <v>809</v>
      </c>
      <c r="E86" s="765"/>
      <c r="F86" s="766">
        <f>7400000-3878804+291141</f>
        <v>3812337</v>
      </c>
      <c r="G86" s="766">
        <v>0</v>
      </c>
      <c r="H86" s="766">
        <v>0</v>
      </c>
      <c r="I86" s="767">
        <f t="shared" si="1"/>
        <v>3812337</v>
      </c>
    </row>
    <row r="87" spans="1:9" ht="12.75">
      <c r="A87" s="765"/>
      <c r="B87" s="765"/>
      <c r="C87" s="765" t="s">
        <v>446</v>
      </c>
      <c r="D87" s="765" t="s">
        <v>529</v>
      </c>
      <c r="E87" s="765"/>
      <c r="F87" s="766">
        <f>84983000+4724000+1181000+220000</f>
        <v>91108000</v>
      </c>
      <c r="G87" s="766">
        <f>1834000-282000+114000</f>
        <v>1666000</v>
      </c>
      <c r="H87" s="766">
        <v>0</v>
      </c>
      <c r="I87" s="767">
        <f t="shared" si="1"/>
        <v>92774000</v>
      </c>
    </row>
    <row r="88" spans="1:9" ht="12.75">
      <c r="A88" s="770"/>
      <c r="B88" s="770"/>
      <c r="C88" s="771" t="s">
        <v>18</v>
      </c>
      <c r="D88" s="771"/>
      <c r="E88" s="771" t="s">
        <v>447</v>
      </c>
      <c r="F88" s="777">
        <v>9968000</v>
      </c>
      <c r="G88" s="777">
        <v>0</v>
      </c>
      <c r="H88" s="772">
        <v>0</v>
      </c>
      <c r="I88" s="773">
        <f t="shared" si="1"/>
        <v>9968000</v>
      </c>
    </row>
    <row r="89" spans="1:9" ht="12.75">
      <c r="A89" s="770"/>
      <c r="B89" s="770"/>
      <c r="C89" s="771"/>
      <c r="D89" s="771"/>
      <c r="E89" s="771" t="s">
        <v>845</v>
      </c>
      <c r="F89" s="772">
        <v>0</v>
      </c>
      <c r="G89" s="772">
        <v>0</v>
      </c>
      <c r="H89" s="772">
        <v>0</v>
      </c>
      <c r="I89" s="773">
        <f>SUM(F89:H89)</f>
        <v>0</v>
      </c>
    </row>
    <row r="90" spans="1:9" ht="12.75">
      <c r="A90" s="765"/>
      <c r="B90" s="765"/>
      <c r="C90" s="765" t="s">
        <v>448</v>
      </c>
      <c r="D90" s="765" t="s">
        <v>449</v>
      </c>
      <c r="E90" s="765"/>
      <c r="F90" s="766">
        <f>3440000+49000+37000+215000+99040</f>
        <v>3840040</v>
      </c>
      <c r="G90" s="766">
        <v>6059000</v>
      </c>
      <c r="H90" s="766">
        <v>0</v>
      </c>
      <c r="I90" s="767">
        <f t="shared" si="1"/>
        <v>9899040</v>
      </c>
    </row>
    <row r="91" spans="1:9" ht="12.75">
      <c r="A91" s="770"/>
      <c r="B91" s="770"/>
      <c r="C91" s="771" t="s">
        <v>18</v>
      </c>
      <c r="D91" s="771"/>
      <c r="E91" s="771" t="s">
        <v>64</v>
      </c>
      <c r="F91" s="772">
        <f>350000+215000</f>
        <v>565000</v>
      </c>
      <c r="G91" s="772">
        <v>3759000</v>
      </c>
      <c r="H91" s="772">
        <v>0</v>
      </c>
      <c r="I91" s="773">
        <f t="shared" si="1"/>
        <v>4324000</v>
      </c>
    </row>
    <row r="92" spans="1:9" ht="12.75">
      <c r="A92" s="765"/>
      <c r="B92" s="765"/>
      <c r="C92" s="765" t="s">
        <v>450</v>
      </c>
      <c r="D92" s="765" t="s">
        <v>451</v>
      </c>
      <c r="E92" s="765"/>
      <c r="F92" s="766">
        <v>579000</v>
      </c>
      <c r="G92" s="766">
        <v>0</v>
      </c>
      <c r="H92" s="766">
        <v>0</v>
      </c>
      <c r="I92" s="767">
        <f t="shared" si="1"/>
        <v>579000</v>
      </c>
    </row>
    <row r="93" spans="1:9" ht="12.75">
      <c r="A93" s="770"/>
      <c r="B93" s="770"/>
      <c r="C93" s="771" t="s">
        <v>18</v>
      </c>
      <c r="D93" s="771"/>
      <c r="E93" s="771" t="s">
        <v>452</v>
      </c>
      <c r="F93" s="772">
        <v>0</v>
      </c>
      <c r="G93" s="772">
        <v>0</v>
      </c>
      <c r="H93" s="772">
        <v>0</v>
      </c>
      <c r="I93" s="773">
        <f t="shared" si="1"/>
        <v>0</v>
      </c>
    </row>
    <row r="94" spans="1:9" ht="12.75">
      <c r="A94" s="770"/>
      <c r="B94" s="770"/>
      <c r="C94" s="771"/>
      <c r="D94" s="771"/>
      <c r="E94" s="771" t="s">
        <v>810</v>
      </c>
      <c r="F94" s="772">
        <v>0</v>
      </c>
      <c r="G94" s="772">
        <v>0</v>
      </c>
      <c r="H94" s="772">
        <v>0</v>
      </c>
      <c r="I94" s="773">
        <f>SUM(F94:H94)</f>
        <v>0</v>
      </c>
    </row>
    <row r="95" spans="1:9" ht="12.75">
      <c r="A95" s="770"/>
      <c r="B95" s="770"/>
      <c r="C95" s="771"/>
      <c r="D95" s="771"/>
      <c r="E95" s="771" t="s">
        <v>453</v>
      </c>
      <c r="F95" s="772">
        <v>579000</v>
      </c>
      <c r="G95" s="772">
        <v>0</v>
      </c>
      <c r="H95" s="772">
        <v>0</v>
      </c>
      <c r="I95" s="773">
        <f>SUM(F95:H95)</f>
        <v>579000</v>
      </c>
    </row>
    <row r="96" spans="1:9" ht="12.75">
      <c r="A96" s="770"/>
      <c r="B96" s="770"/>
      <c r="C96" s="771"/>
      <c r="D96" s="771"/>
      <c r="E96" s="771" t="s">
        <v>812</v>
      </c>
      <c r="F96" s="772">
        <v>0</v>
      </c>
      <c r="G96" s="772">
        <v>0</v>
      </c>
      <c r="H96" s="772">
        <v>0</v>
      </c>
      <c r="I96" s="773">
        <f>SUM(F96:H96)</f>
        <v>0</v>
      </c>
    </row>
    <row r="97" spans="1:9" ht="12.75">
      <c r="A97" s="770"/>
      <c r="B97" s="770"/>
      <c r="C97" s="771"/>
      <c r="D97" s="771"/>
      <c r="E97" s="771" t="s">
        <v>811</v>
      </c>
      <c r="F97" s="772">
        <v>0</v>
      </c>
      <c r="G97" s="772">
        <v>0</v>
      </c>
      <c r="H97" s="772">
        <v>0</v>
      </c>
      <c r="I97" s="773">
        <f>SUM(F97:H97)</f>
        <v>0</v>
      </c>
    </row>
    <row r="98" spans="1:9" ht="12.75">
      <c r="A98" s="770"/>
      <c r="B98" s="770"/>
      <c r="C98" s="771"/>
      <c r="D98" s="771"/>
      <c r="E98" s="771" t="s">
        <v>813</v>
      </c>
      <c r="F98" s="772">
        <v>0</v>
      </c>
      <c r="G98" s="772">
        <v>0</v>
      </c>
      <c r="H98" s="772">
        <v>0</v>
      </c>
      <c r="I98" s="773">
        <f t="shared" si="1"/>
        <v>0</v>
      </c>
    </row>
    <row r="99" spans="1:9" ht="12.75">
      <c r="A99" s="765"/>
      <c r="B99" s="765"/>
      <c r="C99" s="765" t="s">
        <v>454</v>
      </c>
      <c r="D99" s="765" t="s">
        <v>455</v>
      </c>
      <c r="E99" s="765"/>
      <c r="F99" s="766">
        <v>4395000</v>
      </c>
      <c r="G99" s="766">
        <v>0</v>
      </c>
      <c r="H99" s="766">
        <v>1392000</v>
      </c>
      <c r="I99" s="767">
        <f t="shared" si="1"/>
        <v>5787000</v>
      </c>
    </row>
    <row r="100" spans="1:9" ht="12.75">
      <c r="A100" s="765"/>
      <c r="B100" s="765"/>
      <c r="C100" s="765" t="s">
        <v>456</v>
      </c>
      <c r="D100" s="765" t="s">
        <v>457</v>
      </c>
      <c r="E100" s="765"/>
      <c r="F100" s="766">
        <f>21767000+1276000+319000+78608+59000+26741</f>
        <v>23526349</v>
      </c>
      <c r="G100" s="766">
        <v>638000</v>
      </c>
      <c r="H100" s="766">
        <v>376000</v>
      </c>
      <c r="I100" s="767">
        <f t="shared" si="1"/>
        <v>24540349</v>
      </c>
    </row>
    <row r="101" spans="1:9" ht="12.75">
      <c r="A101" s="765"/>
      <c r="B101" s="765"/>
      <c r="C101" s="765" t="s">
        <v>458</v>
      </c>
      <c r="D101" s="765" t="s">
        <v>459</v>
      </c>
      <c r="E101" s="765"/>
      <c r="F101" s="766">
        <v>0</v>
      </c>
      <c r="G101" s="766">
        <v>0</v>
      </c>
      <c r="H101" s="766">
        <v>0</v>
      </c>
      <c r="I101" s="767">
        <f t="shared" si="1"/>
        <v>0</v>
      </c>
    </row>
    <row r="102" spans="1:9" ht="12.75">
      <c r="A102" s="765"/>
      <c r="B102" s="765"/>
      <c r="C102" s="765" t="s">
        <v>460</v>
      </c>
      <c r="D102" s="765" t="s">
        <v>885</v>
      </c>
      <c r="E102" s="765"/>
      <c r="F102" s="766">
        <f>SUM(F103+F106)</f>
        <v>99000</v>
      </c>
      <c r="G102" s="766">
        <f>SUM(G103+G106)</f>
        <v>3000</v>
      </c>
      <c r="H102" s="766">
        <f>SUM(H103+H106)</f>
        <v>30000</v>
      </c>
      <c r="I102" s="767">
        <f t="shared" si="1"/>
        <v>132000</v>
      </c>
    </row>
    <row r="103" spans="1:9" ht="12.75">
      <c r="A103" s="765"/>
      <c r="B103" s="765"/>
      <c r="C103" s="771"/>
      <c r="D103" s="809" t="s">
        <v>888</v>
      </c>
      <c r="E103" s="810"/>
      <c r="F103" s="772">
        <v>0</v>
      </c>
      <c r="G103" s="772">
        <v>0</v>
      </c>
      <c r="H103" s="772">
        <v>0</v>
      </c>
      <c r="I103" s="773">
        <f t="shared" si="1"/>
        <v>0</v>
      </c>
    </row>
    <row r="104" spans="1:9" ht="12.75">
      <c r="A104" s="765"/>
      <c r="B104" s="765"/>
      <c r="C104" s="765" t="s">
        <v>18</v>
      </c>
      <c r="D104" s="765"/>
      <c r="E104" s="771" t="s">
        <v>64</v>
      </c>
      <c r="F104" s="772">
        <v>0</v>
      </c>
      <c r="G104" s="772">
        <v>0</v>
      </c>
      <c r="H104" s="772">
        <v>0</v>
      </c>
      <c r="I104" s="773">
        <f>SUM(F104:H104)</f>
        <v>0</v>
      </c>
    </row>
    <row r="105" spans="1:9" ht="12.75">
      <c r="A105" s="765"/>
      <c r="B105" s="765"/>
      <c r="C105" s="765"/>
      <c r="D105" s="765"/>
      <c r="E105" s="771" t="s">
        <v>886</v>
      </c>
      <c r="F105" s="772">
        <v>0</v>
      </c>
      <c r="G105" s="772">
        <v>0</v>
      </c>
      <c r="H105" s="772">
        <v>0</v>
      </c>
      <c r="I105" s="773">
        <f>SUM(F105:H105)</f>
        <v>0</v>
      </c>
    </row>
    <row r="106" spans="1:9" ht="12.75">
      <c r="A106" s="765"/>
      <c r="B106" s="765"/>
      <c r="C106" s="765"/>
      <c r="D106" s="809" t="s">
        <v>887</v>
      </c>
      <c r="E106" s="810"/>
      <c r="F106" s="772">
        <f>97000+2000</f>
        <v>99000</v>
      </c>
      <c r="G106" s="772">
        <v>3000</v>
      </c>
      <c r="H106" s="772">
        <v>30000</v>
      </c>
      <c r="I106" s="773">
        <f>SUM(F106:H106)</f>
        <v>132000</v>
      </c>
    </row>
    <row r="107" spans="1:9" ht="12.75">
      <c r="A107" s="765"/>
      <c r="B107" s="765"/>
      <c r="C107" s="765" t="s">
        <v>18</v>
      </c>
      <c r="D107" s="765"/>
      <c r="E107" s="771" t="s">
        <v>64</v>
      </c>
      <c r="F107" s="772">
        <v>17000</v>
      </c>
      <c r="G107" s="772">
        <v>0</v>
      </c>
      <c r="H107" s="772">
        <v>0</v>
      </c>
      <c r="I107" s="773">
        <f>SUM(F107:H107)</f>
        <v>17000</v>
      </c>
    </row>
    <row r="108" spans="1:9" ht="12.75">
      <c r="A108" s="765"/>
      <c r="B108" s="765"/>
      <c r="C108" s="765"/>
      <c r="D108" s="765"/>
      <c r="E108" s="771" t="s">
        <v>814</v>
      </c>
      <c r="F108" s="772">
        <v>0</v>
      </c>
      <c r="G108" s="772">
        <v>0</v>
      </c>
      <c r="H108" s="772">
        <v>0</v>
      </c>
      <c r="I108" s="773">
        <f>SUM(F108:H108)</f>
        <v>0</v>
      </c>
    </row>
    <row r="109" spans="1:9" ht="12.75">
      <c r="A109" s="765"/>
      <c r="B109" s="765"/>
      <c r="C109" s="765" t="s">
        <v>461</v>
      </c>
      <c r="D109" s="765" t="s">
        <v>891</v>
      </c>
      <c r="E109" s="765"/>
      <c r="F109" s="766">
        <f>SUM(F110:F111)</f>
        <v>0</v>
      </c>
      <c r="G109" s="766">
        <f>SUM(G110:G111)</f>
        <v>0</v>
      </c>
      <c r="H109" s="766">
        <f>SUM(H110:H111)</f>
        <v>0</v>
      </c>
      <c r="I109" s="767">
        <f t="shared" si="1"/>
        <v>0</v>
      </c>
    </row>
    <row r="110" spans="1:9" ht="12.75">
      <c r="A110" s="765"/>
      <c r="B110" s="765"/>
      <c r="C110" s="765"/>
      <c r="D110" s="809" t="s">
        <v>889</v>
      </c>
      <c r="E110" s="810"/>
      <c r="F110" s="766">
        <v>0</v>
      </c>
      <c r="G110" s="766">
        <v>0</v>
      </c>
      <c r="H110" s="766">
        <v>0</v>
      </c>
      <c r="I110" s="767">
        <f t="shared" si="1"/>
        <v>0</v>
      </c>
    </row>
    <row r="111" spans="1:9" ht="12.75">
      <c r="A111" s="765"/>
      <c r="B111" s="765"/>
      <c r="C111" s="765"/>
      <c r="D111" s="809" t="s">
        <v>890</v>
      </c>
      <c r="E111" s="810"/>
      <c r="F111" s="766">
        <v>0</v>
      </c>
      <c r="G111" s="766">
        <v>0</v>
      </c>
      <c r="H111" s="766">
        <v>0</v>
      </c>
      <c r="I111" s="767">
        <f t="shared" si="1"/>
        <v>0</v>
      </c>
    </row>
    <row r="112" spans="1:9" ht="12.75">
      <c r="A112" s="765"/>
      <c r="B112" s="765"/>
      <c r="C112" s="765" t="s">
        <v>18</v>
      </c>
      <c r="D112" s="765"/>
      <c r="E112" s="771" t="s">
        <v>892</v>
      </c>
      <c r="F112" s="766">
        <v>0</v>
      </c>
      <c r="G112" s="766">
        <v>0</v>
      </c>
      <c r="H112" s="766">
        <v>0</v>
      </c>
      <c r="I112" s="767">
        <f t="shared" si="1"/>
        <v>0</v>
      </c>
    </row>
    <row r="113" spans="1:9" ht="12.75">
      <c r="A113" s="765"/>
      <c r="B113" s="765"/>
      <c r="C113" s="765"/>
      <c r="D113" s="765"/>
      <c r="E113" s="771" t="s">
        <v>886</v>
      </c>
      <c r="F113" s="766">
        <v>0</v>
      </c>
      <c r="G113" s="766">
        <v>0</v>
      </c>
      <c r="H113" s="766">
        <v>0</v>
      </c>
      <c r="I113" s="767">
        <f t="shared" si="1"/>
        <v>0</v>
      </c>
    </row>
    <row r="114" spans="1:9" ht="12.75">
      <c r="A114" s="765"/>
      <c r="B114" s="765"/>
      <c r="C114" s="765"/>
      <c r="D114" s="765"/>
      <c r="E114" s="771" t="s">
        <v>893</v>
      </c>
      <c r="F114" s="766">
        <v>0</v>
      </c>
      <c r="G114" s="766">
        <v>0</v>
      </c>
      <c r="H114" s="766">
        <v>0</v>
      </c>
      <c r="I114" s="767">
        <f t="shared" si="1"/>
        <v>0</v>
      </c>
    </row>
    <row r="115" spans="1:9" ht="12.75">
      <c r="A115" s="765"/>
      <c r="B115" s="765"/>
      <c r="C115" s="765"/>
      <c r="D115" s="765"/>
      <c r="E115" s="771" t="s">
        <v>894</v>
      </c>
      <c r="F115" s="766">
        <v>0</v>
      </c>
      <c r="G115" s="766">
        <v>0</v>
      </c>
      <c r="H115" s="766">
        <v>0</v>
      </c>
      <c r="I115" s="767">
        <f t="shared" si="1"/>
        <v>0</v>
      </c>
    </row>
    <row r="116" spans="1:9" ht="12.75">
      <c r="A116" s="765"/>
      <c r="B116" s="765"/>
      <c r="C116" s="765"/>
      <c r="D116" s="765"/>
      <c r="E116" s="771" t="s">
        <v>895</v>
      </c>
      <c r="F116" s="766">
        <v>0</v>
      </c>
      <c r="G116" s="766">
        <v>0</v>
      </c>
      <c r="H116" s="766">
        <v>0</v>
      </c>
      <c r="I116" s="767">
        <f t="shared" si="1"/>
        <v>0</v>
      </c>
    </row>
    <row r="117" spans="1:9" ht="12.75">
      <c r="A117" s="765"/>
      <c r="B117" s="765"/>
      <c r="C117" s="765" t="s">
        <v>462</v>
      </c>
      <c r="D117" s="765" t="s">
        <v>815</v>
      </c>
      <c r="E117" s="765"/>
      <c r="F117" s="766">
        <v>349000</v>
      </c>
      <c r="G117" s="766">
        <v>0</v>
      </c>
      <c r="H117" s="766">
        <v>0</v>
      </c>
      <c r="I117" s="767">
        <f t="shared" si="1"/>
        <v>349000</v>
      </c>
    </row>
    <row r="118" spans="1:9" ht="22.5" customHeight="1">
      <c r="A118" s="765"/>
      <c r="B118" s="765"/>
      <c r="C118" s="765" t="s">
        <v>816</v>
      </c>
      <c r="D118" s="812" t="s">
        <v>817</v>
      </c>
      <c r="E118" s="812"/>
      <c r="F118" s="766">
        <f>63000+1057377+1239940</f>
        <v>2360317</v>
      </c>
      <c r="G118" s="766">
        <v>402000</v>
      </c>
      <c r="H118" s="766">
        <v>0</v>
      </c>
      <c r="I118" s="767">
        <f t="shared" si="1"/>
        <v>2762317</v>
      </c>
    </row>
    <row r="119" spans="1:9" ht="45.75" customHeight="1">
      <c r="A119" s="769"/>
      <c r="B119" s="769"/>
      <c r="C119" s="778" t="s">
        <v>18</v>
      </c>
      <c r="D119" s="776" t="s">
        <v>632</v>
      </c>
      <c r="E119" s="776" t="s">
        <v>846</v>
      </c>
      <c r="F119" s="772">
        <f>0+1057377</f>
        <v>1057377</v>
      </c>
      <c r="G119" s="772">
        <v>0</v>
      </c>
      <c r="H119" s="772">
        <v>0</v>
      </c>
      <c r="I119" s="773">
        <f t="shared" si="1"/>
        <v>1057377</v>
      </c>
    </row>
    <row r="120" spans="1:9" ht="13.5" customHeight="1">
      <c r="A120" s="770"/>
      <c r="B120" s="770"/>
      <c r="C120" s="770"/>
      <c r="D120" s="771" t="s">
        <v>632</v>
      </c>
      <c r="E120" s="779" t="s">
        <v>896</v>
      </c>
      <c r="F120" s="772">
        <v>63000</v>
      </c>
      <c r="G120" s="772">
        <v>0</v>
      </c>
      <c r="H120" s="772">
        <v>0</v>
      </c>
      <c r="I120" s="773">
        <f t="shared" si="1"/>
        <v>63000</v>
      </c>
    </row>
    <row r="121" spans="1:9" s="761" customFormat="1" ht="12.75">
      <c r="A121" s="759" t="s">
        <v>463</v>
      </c>
      <c r="B121" s="808" t="s">
        <v>464</v>
      </c>
      <c r="C121" s="808"/>
      <c r="D121" s="808"/>
      <c r="E121" s="808"/>
      <c r="F121" s="760">
        <f>SUM(F122+F124+F126+F127+F128)</f>
        <v>71690000</v>
      </c>
      <c r="G121" s="760">
        <f>SUM(G122+G124+G126+G127+G128)</f>
        <v>0</v>
      </c>
      <c r="H121" s="760">
        <f>SUM(H122+H124+H126+H127+H128)</f>
        <v>0</v>
      </c>
      <c r="I121" s="760">
        <f t="shared" si="1"/>
        <v>71690000</v>
      </c>
    </row>
    <row r="122" spans="1:9" ht="12.75">
      <c r="A122" s="762"/>
      <c r="B122" s="762" t="s">
        <v>465</v>
      </c>
      <c r="C122" s="804" t="s">
        <v>530</v>
      </c>
      <c r="D122" s="804"/>
      <c r="E122" s="804"/>
      <c r="F122" s="763">
        <v>0</v>
      </c>
      <c r="G122" s="763">
        <v>0</v>
      </c>
      <c r="H122" s="763">
        <v>0</v>
      </c>
      <c r="I122" s="764">
        <f t="shared" si="1"/>
        <v>0</v>
      </c>
    </row>
    <row r="123" spans="1:9" ht="12.75">
      <c r="A123" s="770"/>
      <c r="B123" s="770"/>
      <c r="C123" s="771" t="s">
        <v>18</v>
      </c>
      <c r="D123" s="771" t="s">
        <v>632</v>
      </c>
      <c r="E123" s="771" t="s">
        <v>897</v>
      </c>
      <c r="F123" s="772">
        <v>0</v>
      </c>
      <c r="G123" s="772">
        <v>0</v>
      </c>
      <c r="H123" s="772">
        <v>0</v>
      </c>
      <c r="I123" s="773">
        <f>SUM(F123:H123)</f>
        <v>0</v>
      </c>
    </row>
    <row r="124" spans="1:9" ht="12.75">
      <c r="A124" s="762"/>
      <c r="B124" s="762" t="s">
        <v>466</v>
      </c>
      <c r="C124" s="804" t="s">
        <v>467</v>
      </c>
      <c r="D124" s="804"/>
      <c r="E124" s="804"/>
      <c r="F124" s="763">
        <v>71690000</v>
      </c>
      <c r="G124" s="763">
        <v>0</v>
      </c>
      <c r="H124" s="763">
        <v>0</v>
      </c>
      <c r="I124" s="764">
        <f t="shared" si="1"/>
        <v>71690000</v>
      </c>
    </row>
    <row r="125" spans="1:9" ht="12.75">
      <c r="A125" s="770"/>
      <c r="B125" s="770"/>
      <c r="C125" s="771" t="s">
        <v>18</v>
      </c>
      <c r="D125" s="771" t="s">
        <v>632</v>
      </c>
      <c r="E125" s="771" t="s">
        <v>468</v>
      </c>
      <c r="F125" s="772">
        <v>0</v>
      </c>
      <c r="G125" s="772">
        <v>0</v>
      </c>
      <c r="H125" s="772">
        <v>0</v>
      </c>
      <c r="I125" s="773">
        <f t="shared" si="1"/>
        <v>0</v>
      </c>
    </row>
    <row r="126" spans="1:9" ht="12.75">
      <c r="A126" s="762"/>
      <c r="B126" s="762" t="s">
        <v>469</v>
      </c>
      <c r="C126" s="804" t="s">
        <v>470</v>
      </c>
      <c r="D126" s="804"/>
      <c r="E126" s="804"/>
      <c r="F126" s="763">
        <v>0</v>
      </c>
      <c r="G126" s="763">
        <v>0</v>
      </c>
      <c r="H126" s="763">
        <v>0</v>
      </c>
      <c r="I126" s="764">
        <f t="shared" si="1"/>
        <v>0</v>
      </c>
    </row>
    <row r="127" spans="1:9" ht="12.75">
      <c r="A127" s="762"/>
      <c r="B127" s="762" t="s">
        <v>471</v>
      </c>
      <c r="C127" s="804" t="s">
        <v>472</v>
      </c>
      <c r="D127" s="804"/>
      <c r="E127" s="804"/>
      <c r="F127" s="763">
        <v>0</v>
      </c>
      <c r="G127" s="763">
        <v>0</v>
      </c>
      <c r="H127" s="763">
        <v>0</v>
      </c>
      <c r="I127" s="764">
        <f t="shared" si="1"/>
        <v>0</v>
      </c>
    </row>
    <row r="128" spans="1:9" ht="12.75">
      <c r="A128" s="762"/>
      <c r="B128" s="762" t="s">
        <v>473</v>
      </c>
      <c r="C128" s="804" t="s">
        <v>474</v>
      </c>
      <c r="D128" s="804"/>
      <c r="E128" s="804"/>
      <c r="F128" s="763">
        <v>0</v>
      </c>
      <c r="G128" s="763">
        <v>0</v>
      </c>
      <c r="H128" s="763">
        <v>0</v>
      </c>
      <c r="I128" s="764">
        <f t="shared" si="1"/>
        <v>0</v>
      </c>
    </row>
    <row r="129" spans="1:9" s="761" customFormat="1" ht="12.75">
      <c r="A129" s="759" t="s">
        <v>475</v>
      </c>
      <c r="B129" s="808" t="s">
        <v>476</v>
      </c>
      <c r="C129" s="808"/>
      <c r="D129" s="808"/>
      <c r="E129" s="808"/>
      <c r="F129" s="760">
        <f>SUM(F130+F131+F132+F133+F143)</f>
        <v>17315985</v>
      </c>
      <c r="G129" s="760">
        <f>SUM(G130+G131+G132+G133+G143)</f>
        <v>0</v>
      </c>
      <c r="H129" s="760">
        <f>SUM(H130+H131+H132+H133+H143)</f>
        <v>0</v>
      </c>
      <c r="I129" s="760">
        <f t="shared" si="1"/>
        <v>17315985</v>
      </c>
    </row>
    <row r="130" spans="1:9" ht="12.75">
      <c r="A130" s="762"/>
      <c r="B130" s="762" t="s">
        <v>477</v>
      </c>
      <c r="C130" s="804" t="s">
        <v>478</v>
      </c>
      <c r="D130" s="804"/>
      <c r="E130" s="804"/>
      <c r="F130" s="763">
        <v>0</v>
      </c>
      <c r="G130" s="763">
        <v>0</v>
      </c>
      <c r="H130" s="763">
        <v>0</v>
      </c>
      <c r="I130" s="764">
        <f t="shared" si="1"/>
        <v>0</v>
      </c>
    </row>
    <row r="131" spans="1:9" ht="12.75">
      <c r="A131" s="762"/>
      <c r="B131" s="762" t="s">
        <v>479</v>
      </c>
      <c r="C131" s="804" t="s">
        <v>819</v>
      </c>
      <c r="D131" s="804"/>
      <c r="E131" s="804"/>
      <c r="F131" s="763">
        <v>0</v>
      </c>
      <c r="G131" s="763">
        <v>0</v>
      </c>
      <c r="H131" s="763">
        <v>0</v>
      </c>
      <c r="I131" s="764">
        <f t="shared" si="1"/>
        <v>0</v>
      </c>
    </row>
    <row r="132" spans="1:9" ht="26.25" customHeight="1">
      <c r="A132" s="762"/>
      <c r="B132" s="762" t="s">
        <v>484</v>
      </c>
      <c r="C132" s="811" t="s">
        <v>820</v>
      </c>
      <c r="D132" s="811"/>
      <c r="E132" s="811"/>
      <c r="F132" s="763">
        <v>0</v>
      </c>
      <c r="G132" s="763">
        <v>0</v>
      </c>
      <c r="H132" s="763">
        <v>0</v>
      </c>
      <c r="I132" s="764">
        <f t="shared" si="1"/>
        <v>0</v>
      </c>
    </row>
    <row r="133" spans="1:9" ht="12.75">
      <c r="A133" s="762"/>
      <c r="B133" s="762" t="s">
        <v>818</v>
      </c>
      <c r="C133" s="804" t="s">
        <v>483</v>
      </c>
      <c r="D133" s="804"/>
      <c r="E133" s="804"/>
      <c r="F133" s="763">
        <f>SUM(F134:F142)</f>
        <v>14668000</v>
      </c>
      <c r="G133" s="763">
        <v>0</v>
      </c>
      <c r="H133" s="763">
        <v>0</v>
      </c>
      <c r="I133" s="764">
        <f t="shared" si="1"/>
        <v>14668000</v>
      </c>
    </row>
    <row r="134" spans="1:9" ht="12.75">
      <c r="A134" s="769"/>
      <c r="B134" s="769"/>
      <c r="C134" s="771" t="s">
        <v>18</v>
      </c>
      <c r="D134" s="771" t="s">
        <v>277</v>
      </c>
      <c r="E134" s="771" t="s">
        <v>304</v>
      </c>
      <c r="F134" s="772">
        <v>0</v>
      </c>
      <c r="G134" s="772">
        <v>0</v>
      </c>
      <c r="H134" s="772">
        <v>0</v>
      </c>
      <c r="I134" s="773">
        <f t="shared" si="1"/>
        <v>0</v>
      </c>
    </row>
    <row r="135" spans="1:9" ht="12.75">
      <c r="A135" s="769"/>
      <c r="B135" s="769"/>
      <c r="C135" s="771"/>
      <c r="D135" s="771" t="s">
        <v>279</v>
      </c>
      <c r="E135" s="771" t="s">
        <v>847</v>
      </c>
      <c r="F135" s="772">
        <v>0</v>
      </c>
      <c r="G135" s="772">
        <v>0</v>
      </c>
      <c r="H135" s="772">
        <v>0</v>
      </c>
      <c r="I135" s="773">
        <f t="shared" si="1"/>
        <v>0</v>
      </c>
    </row>
    <row r="136" spans="1:9" ht="12.75">
      <c r="A136" s="769"/>
      <c r="B136" s="769"/>
      <c r="C136" s="771"/>
      <c r="D136" s="771" t="s">
        <v>281</v>
      </c>
      <c r="E136" s="771" t="s">
        <v>305</v>
      </c>
      <c r="F136" s="772">
        <v>0</v>
      </c>
      <c r="G136" s="772">
        <v>0</v>
      </c>
      <c r="H136" s="772">
        <v>0</v>
      </c>
      <c r="I136" s="773">
        <f t="shared" si="1"/>
        <v>0</v>
      </c>
    </row>
    <row r="137" spans="1:9" ht="12.75">
      <c r="A137" s="769"/>
      <c r="B137" s="769"/>
      <c r="C137" s="771"/>
      <c r="D137" s="771" t="s">
        <v>283</v>
      </c>
      <c r="E137" s="771" t="s">
        <v>306</v>
      </c>
      <c r="F137" s="772">
        <v>0</v>
      </c>
      <c r="G137" s="772">
        <v>0</v>
      </c>
      <c r="H137" s="772">
        <v>0</v>
      </c>
      <c r="I137" s="773">
        <f t="shared" si="1"/>
        <v>0</v>
      </c>
    </row>
    <row r="138" spans="1:9" ht="12.75">
      <c r="A138" s="769"/>
      <c r="B138" s="769"/>
      <c r="C138" s="771"/>
      <c r="D138" s="771" t="s">
        <v>285</v>
      </c>
      <c r="E138" s="771" t="s">
        <v>307</v>
      </c>
      <c r="F138" s="772">
        <v>0</v>
      </c>
      <c r="G138" s="772">
        <v>0</v>
      </c>
      <c r="H138" s="772">
        <v>0</v>
      </c>
      <c r="I138" s="773">
        <f t="shared" si="1"/>
        <v>0</v>
      </c>
    </row>
    <row r="139" spans="1:9" ht="12.75">
      <c r="A139" s="769"/>
      <c r="B139" s="769"/>
      <c r="C139" s="771"/>
      <c r="D139" s="771" t="s">
        <v>287</v>
      </c>
      <c r="E139" s="771" t="s">
        <v>776</v>
      </c>
      <c r="F139" s="772">
        <v>0</v>
      </c>
      <c r="G139" s="772">
        <v>0</v>
      </c>
      <c r="H139" s="772">
        <v>0</v>
      </c>
      <c r="I139" s="773">
        <f t="shared" si="1"/>
        <v>0</v>
      </c>
    </row>
    <row r="140" spans="1:9" ht="12.75">
      <c r="A140" s="769"/>
      <c r="B140" s="769"/>
      <c r="C140" s="771"/>
      <c r="D140" s="771" t="s">
        <v>289</v>
      </c>
      <c r="E140" s="771" t="s">
        <v>775</v>
      </c>
      <c r="F140" s="780">
        <v>0</v>
      </c>
      <c r="G140" s="772">
        <v>0</v>
      </c>
      <c r="H140" s="772">
        <v>0</v>
      </c>
      <c r="I140" s="773">
        <f t="shared" si="1"/>
        <v>0</v>
      </c>
    </row>
    <row r="141" spans="1:9" ht="12.75">
      <c r="A141" s="769"/>
      <c r="B141" s="769"/>
      <c r="C141" s="771"/>
      <c r="D141" s="771" t="s">
        <v>291</v>
      </c>
      <c r="E141" s="771" t="s">
        <v>310</v>
      </c>
      <c r="F141" s="772">
        <v>14668000</v>
      </c>
      <c r="G141" s="772">
        <v>0</v>
      </c>
      <c r="H141" s="772">
        <v>0</v>
      </c>
      <c r="I141" s="773">
        <f>SUM(F141:H141)</f>
        <v>14668000</v>
      </c>
    </row>
    <row r="142" spans="1:9" ht="12.75">
      <c r="A142" s="769"/>
      <c r="B142" s="769"/>
      <c r="C142" s="771"/>
      <c r="D142" s="771" t="s">
        <v>293</v>
      </c>
      <c r="E142" s="771" t="s">
        <v>848</v>
      </c>
      <c r="F142" s="772">
        <v>0</v>
      </c>
      <c r="G142" s="772">
        <v>0</v>
      </c>
      <c r="H142" s="772">
        <v>0</v>
      </c>
      <c r="I142" s="773">
        <f t="shared" si="1"/>
        <v>0</v>
      </c>
    </row>
    <row r="143" spans="1:9" ht="12.75">
      <c r="A143" s="762"/>
      <c r="B143" s="762" t="s">
        <v>821</v>
      </c>
      <c r="C143" s="804" t="s">
        <v>485</v>
      </c>
      <c r="D143" s="804"/>
      <c r="E143" s="804"/>
      <c r="F143" s="763">
        <f>1500000+1000000+147985</f>
        <v>2647985</v>
      </c>
      <c r="G143" s="763">
        <v>0</v>
      </c>
      <c r="H143" s="763">
        <v>0</v>
      </c>
      <c r="I143" s="764">
        <f t="shared" si="1"/>
        <v>2647985</v>
      </c>
    </row>
    <row r="144" spans="1:9" s="761" customFormat="1" ht="12.75">
      <c r="A144" s="759" t="s">
        <v>486</v>
      </c>
      <c r="B144" s="808" t="s">
        <v>487</v>
      </c>
      <c r="C144" s="808"/>
      <c r="D144" s="808"/>
      <c r="E144" s="808"/>
      <c r="F144" s="760">
        <f>SUM(F145+F146+F147+F148+F158)</f>
        <v>7603500</v>
      </c>
      <c r="G144" s="760">
        <f>SUM(G145+G146+G147+G148+G158)</f>
        <v>0</v>
      </c>
      <c r="H144" s="760">
        <f>SUM(H145+H146+H147+H148+H158)</f>
        <v>0</v>
      </c>
      <c r="I144" s="760">
        <f t="shared" si="1"/>
        <v>7603500</v>
      </c>
    </row>
    <row r="145" spans="1:9" ht="12.75">
      <c r="A145" s="762"/>
      <c r="B145" s="762" t="s">
        <v>488</v>
      </c>
      <c r="C145" s="804" t="s">
        <v>489</v>
      </c>
      <c r="D145" s="804"/>
      <c r="E145" s="804"/>
      <c r="F145" s="763">
        <v>0</v>
      </c>
      <c r="G145" s="763">
        <v>0</v>
      </c>
      <c r="H145" s="763">
        <v>0</v>
      </c>
      <c r="I145" s="764">
        <f t="shared" si="1"/>
        <v>0</v>
      </c>
    </row>
    <row r="146" spans="1:9" ht="12.75">
      <c r="A146" s="762"/>
      <c r="B146" s="762" t="s">
        <v>490</v>
      </c>
      <c r="C146" s="804" t="s">
        <v>822</v>
      </c>
      <c r="D146" s="804"/>
      <c r="E146" s="804"/>
      <c r="F146" s="763">
        <v>0</v>
      </c>
      <c r="G146" s="763">
        <v>0</v>
      </c>
      <c r="H146" s="763">
        <v>0</v>
      </c>
      <c r="I146" s="764">
        <f t="shared" si="1"/>
        <v>0</v>
      </c>
    </row>
    <row r="147" spans="1:9" ht="25.5" customHeight="1">
      <c r="A147" s="762"/>
      <c r="B147" s="762" t="s">
        <v>492</v>
      </c>
      <c r="C147" s="811" t="s">
        <v>823</v>
      </c>
      <c r="D147" s="811"/>
      <c r="E147" s="811"/>
      <c r="F147" s="763">
        <v>0</v>
      </c>
      <c r="G147" s="763">
        <v>0</v>
      </c>
      <c r="H147" s="763">
        <v>0</v>
      </c>
      <c r="I147" s="764">
        <f t="shared" si="1"/>
        <v>0</v>
      </c>
    </row>
    <row r="148" spans="1:9" ht="12.75">
      <c r="A148" s="769"/>
      <c r="B148" s="762" t="s">
        <v>824</v>
      </c>
      <c r="C148" s="804" t="s">
        <v>491</v>
      </c>
      <c r="D148" s="804"/>
      <c r="E148" s="804"/>
      <c r="F148" s="763">
        <f>SUM(F149:F157)</f>
        <v>0</v>
      </c>
      <c r="G148" s="763">
        <f>SUM(G149:G157)</f>
        <v>0</v>
      </c>
      <c r="H148" s="763">
        <f>SUM(H149:H157)</f>
        <v>0</v>
      </c>
      <c r="I148" s="764">
        <f t="shared" si="1"/>
        <v>0</v>
      </c>
    </row>
    <row r="149" spans="1:9" ht="12.75">
      <c r="A149" s="769"/>
      <c r="B149" s="769"/>
      <c r="C149" s="771" t="s">
        <v>18</v>
      </c>
      <c r="D149" s="771" t="s">
        <v>277</v>
      </c>
      <c r="E149" s="771" t="s">
        <v>304</v>
      </c>
      <c r="F149" s="772">
        <v>0</v>
      </c>
      <c r="G149" s="772">
        <v>0</v>
      </c>
      <c r="H149" s="772">
        <v>0</v>
      </c>
      <c r="I149" s="773">
        <f aca="true" t="shared" si="2" ref="I149:I155">SUM(F149:H149)</f>
        <v>0</v>
      </c>
    </row>
    <row r="150" spans="1:9" ht="12.75">
      <c r="A150" s="769"/>
      <c r="B150" s="769"/>
      <c r="C150" s="771"/>
      <c r="D150" s="771" t="s">
        <v>279</v>
      </c>
      <c r="E150" s="771" t="s">
        <v>847</v>
      </c>
      <c r="F150" s="772">
        <v>0</v>
      </c>
      <c r="G150" s="772">
        <v>0</v>
      </c>
      <c r="H150" s="772">
        <v>0</v>
      </c>
      <c r="I150" s="773">
        <f t="shared" si="2"/>
        <v>0</v>
      </c>
    </row>
    <row r="151" spans="1:9" ht="12.75">
      <c r="A151" s="769"/>
      <c r="B151" s="769"/>
      <c r="C151" s="771"/>
      <c r="D151" s="771" t="s">
        <v>281</v>
      </c>
      <c r="E151" s="771" t="s">
        <v>305</v>
      </c>
      <c r="F151" s="772">
        <v>0</v>
      </c>
      <c r="G151" s="772">
        <v>0</v>
      </c>
      <c r="H151" s="772">
        <v>0</v>
      </c>
      <c r="I151" s="773">
        <f t="shared" si="2"/>
        <v>0</v>
      </c>
    </row>
    <row r="152" spans="1:9" ht="12.75">
      <c r="A152" s="769"/>
      <c r="B152" s="769"/>
      <c r="C152" s="771"/>
      <c r="D152" s="771" t="s">
        <v>283</v>
      </c>
      <c r="E152" s="771" t="s">
        <v>306</v>
      </c>
      <c r="F152" s="772">
        <v>0</v>
      </c>
      <c r="G152" s="772">
        <v>0</v>
      </c>
      <c r="H152" s="772">
        <v>0</v>
      </c>
      <c r="I152" s="773">
        <f t="shared" si="2"/>
        <v>0</v>
      </c>
    </row>
    <row r="153" spans="1:9" ht="12.75">
      <c r="A153" s="769"/>
      <c r="B153" s="769"/>
      <c r="C153" s="771"/>
      <c r="D153" s="771" t="s">
        <v>285</v>
      </c>
      <c r="E153" s="771" t="s">
        <v>307</v>
      </c>
      <c r="F153" s="772">
        <v>0</v>
      </c>
      <c r="G153" s="772">
        <v>0</v>
      </c>
      <c r="H153" s="772">
        <v>0</v>
      </c>
      <c r="I153" s="773">
        <f t="shared" si="2"/>
        <v>0</v>
      </c>
    </row>
    <row r="154" spans="1:9" ht="12.75">
      <c r="A154" s="769"/>
      <c r="B154" s="769"/>
      <c r="C154" s="771"/>
      <c r="D154" s="771" t="s">
        <v>287</v>
      </c>
      <c r="E154" s="771" t="s">
        <v>776</v>
      </c>
      <c r="F154" s="772">
        <v>0</v>
      </c>
      <c r="G154" s="772">
        <v>0</v>
      </c>
      <c r="H154" s="772">
        <v>0</v>
      </c>
      <c r="I154" s="773">
        <f t="shared" si="2"/>
        <v>0</v>
      </c>
    </row>
    <row r="155" spans="1:9" ht="12.75">
      <c r="A155" s="769"/>
      <c r="B155" s="769"/>
      <c r="C155" s="771"/>
      <c r="D155" s="771" t="s">
        <v>289</v>
      </c>
      <c r="E155" s="771" t="s">
        <v>775</v>
      </c>
      <c r="F155" s="780">
        <f>40540000-40540000</f>
        <v>0</v>
      </c>
      <c r="G155" s="772">
        <v>0</v>
      </c>
      <c r="H155" s="772">
        <v>0</v>
      </c>
      <c r="I155" s="773">
        <f t="shared" si="2"/>
        <v>0</v>
      </c>
    </row>
    <row r="156" spans="1:9" ht="12.75">
      <c r="A156" s="769"/>
      <c r="B156" s="769"/>
      <c r="C156" s="771"/>
      <c r="D156" s="771" t="s">
        <v>291</v>
      </c>
      <c r="E156" s="771" t="s">
        <v>310</v>
      </c>
      <c r="F156" s="772">
        <v>0</v>
      </c>
      <c r="G156" s="772">
        <v>0</v>
      </c>
      <c r="H156" s="772">
        <v>0</v>
      </c>
      <c r="I156" s="773">
        <f>SUM(F156:H156)</f>
        <v>0</v>
      </c>
    </row>
    <row r="157" spans="1:9" ht="12.75">
      <c r="A157" s="769"/>
      <c r="B157" s="769"/>
      <c r="C157" s="771"/>
      <c r="D157" s="771" t="s">
        <v>293</v>
      </c>
      <c r="E157" s="771" t="s">
        <v>848</v>
      </c>
      <c r="F157" s="772">
        <v>0</v>
      </c>
      <c r="G157" s="772">
        <v>0</v>
      </c>
      <c r="H157" s="772">
        <v>0</v>
      </c>
      <c r="I157" s="773">
        <f>SUM(F157:H157)</f>
        <v>0</v>
      </c>
    </row>
    <row r="158" spans="1:9" ht="12.75">
      <c r="A158" s="769"/>
      <c r="B158" s="762" t="s">
        <v>825</v>
      </c>
      <c r="C158" s="804" t="s">
        <v>493</v>
      </c>
      <c r="D158" s="804"/>
      <c r="E158" s="804"/>
      <c r="F158" s="763">
        <f>SUM(F159:F169)</f>
        <v>7603500</v>
      </c>
      <c r="G158" s="763">
        <f>SUM(G159:G169)</f>
        <v>0</v>
      </c>
      <c r="H158" s="763">
        <f>SUM(H159:H169)</f>
        <v>0</v>
      </c>
      <c r="I158" s="764">
        <f t="shared" si="1"/>
        <v>7603500</v>
      </c>
    </row>
    <row r="159" spans="1:9" ht="12.75">
      <c r="A159" s="769"/>
      <c r="B159" s="769"/>
      <c r="C159" s="771" t="s">
        <v>18</v>
      </c>
      <c r="D159" s="771" t="s">
        <v>277</v>
      </c>
      <c r="E159" s="771" t="s">
        <v>304</v>
      </c>
      <c r="F159" s="772">
        <v>3000000</v>
      </c>
      <c r="G159" s="772">
        <v>0</v>
      </c>
      <c r="H159" s="772">
        <v>0</v>
      </c>
      <c r="I159" s="773">
        <f t="shared" si="1"/>
        <v>3000000</v>
      </c>
    </row>
    <row r="160" spans="1:9" ht="12.75">
      <c r="A160" s="769"/>
      <c r="B160" s="769"/>
      <c r="C160" s="771"/>
      <c r="D160" s="771" t="s">
        <v>279</v>
      </c>
      <c r="E160" s="771" t="s">
        <v>847</v>
      </c>
      <c r="F160" s="772">
        <v>0</v>
      </c>
      <c r="G160" s="772">
        <v>0</v>
      </c>
      <c r="H160" s="772">
        <v>0</v>
      </c>
      <c r="I160" s="773">
        <f t="shared" si="1"/>
        <v>0</v>
      </c>
    </row>
    <row r="161" spans="1:9" ht="12.75">
      <c r="A161" s="769"/>
      <c r="B161" s="769"/>
      <c r="C161" s="771"/>
      <c r="D161" s="771" t="s">
        <v>281</v>
      </c>
      <c r="E161" s="771" t="s">
        <v>305</v>
      </c>
      <c r="F161" s="772">
        <f>2000000+2603500</f>
        <v>4603500</v>
      </c>
      <c r="G161" s="772">
        <v>0</v>
      </c>
      <c r="H161" s="772">
        <v>0</v>
      </c>
      <c r="I161" s="773">
        <f t="shared" si="1"/>
        <v>4603500</v>
      </c>
    </row>
    <row r="162" spans="1:9" ht="12.75">
      <c r="A162" s="769"/>
      <c r="B162" s="769"/>
      <c r="C162" s="771"/>
      <c r="D162" s="771" t="s">
        <v>283</v>
      </c>
      <c r="E162" s="771" t="s">
        <v>306</v>
      </c>
      <c r="F162" s="772">
        <v>0</v>
      </c>
      <c r="G162" s="772">
        <v>0</v>
      </c>
      <c r="H162" s="772">
        <v>0</v>
      </c>
      <c r="I162" s="773">
        <f t="shared" si="1"/>
        <v>0</v>
      </c>
    </row>
    <row r="163" spans="1:9" ht="12.75">
      <c r="A163" s="769"/>
      <c r="B163" s="769"/>
      <c r="C163" s="771"/>
      <c r="D163" s="771" t="s">
        <v>285</v>
      </c>
      <c r="E163" s="771" t="s">
        <v>307</v>
      </c>
      <c r="F163" s="772">
        <v>0</v>
      </c>
      <c r="G163" s="772">
        <v>0</v>
      </c>
      <c r="H163" s="772">
        <v>0</v>
      </c>
      <c r="I163" s="773">
        <f t="shared" si="1"/>
        <v>0</v>
      </c>
    </row>
    <row r="164" spans="1:9" ht="12.75">
      <c r="A164" s="769"/>
      <c r="B164" s="769"/>
      <c r="C164" s="771"/>
      <c r="D164" s="771" t="s">
        <v>287</v>
      </c>
      <c r="E164" s="771" t="s">
        <v>776</v>
      </c>
      <c r="F164" s="772">
        <v>0</v>
      </c>
      <c r="G164" s="772">
        <v>0</v>
      </c>
      <c r="H164" s="772">
        <v>0</v>
      </c>
      <c r="I164" s="773">
        <f t="shared" si="1"/>
        <v>0</v>
      </c>
    </row>
    <row r="165" spans="1:9" ht="12.75">
      <c r="A165" s="769"/>
      <c r="B165" s="769"/>
      <c r="C165" s="771"/>
      <c r="D165" s="771" t="s">
        <v>289</v>
      </c>
      <c r="E165" s="771" t="s">
        <v>775</v>
      </c>
      <c r="F165" s="780">
        <v>0</v>
      </c>
      <c r="G165" s="772">
        <v>0</v>
      </c>
      <c r="H165" s="772">
        <v>0</v>
      </c>
      <c r="I165" s="773">
        <f t="shared" si="1"/>
        <v>0</v>
      </c>
    </row>
    <row r="166" spans="1:9" ht="12.75">
      <c r="A166" s="769"/>
      <c r="B166" s="769"/>
      <c r="C166" s="771"/>
      <c r="D166" s="771" t="s">
        <v>291</v>
      </c>
      <c r="E166" s="771" t="s">
        <v>310</v>
      </c>
      <c r="F166" s="772">
        <v>0</v>
      </c>
      <c r="G166" s="772">
        <v>0</v>
      </c>
      <c r="H166" s="772">
        <v>0</v>
      </c>
      <c r="I166" s="773">
        <f>SUM(F166:H166)</f>
        <v>0</v>
      </c>
    </row>
    <row r="167" spans="1:9" ht="12.75">
      <c r="A167" s="769"/>
      <c r="B167" s="769"/>
      <c r="C167" s="771"/>
      <c r="D167" s="771" t="s">
        <v>293</v>
      </c>
      <c r="E167" s="771" t="s">
        <v>311</v>
      </c>
      <c r="F167" s="772">
        <v>0</v>
      </c>
      <c r="G167" s="772">
        <v>0</v>
      </c>
      <c r="H167" s="772">
        <v>0</v>
      </c>
      <c r="I167" s="773">
        <f>SUM(F167:H167)</f>
        <v>0</v>
      </c>
    </row>
    <row r="168" spans="1:9" ht="12.75">
      <c r="A168" s="769"/>
      <c r="B168" s="769"/>
      <c r="C168" s="771"/>
      <c r="D168" s="771" t="s">
        <v>295</v>
      </c>
      <c r="E168" s="771" t="s">
        <v>312</v>
      </c>
      <c r="F168" s="772">
        <v>0</v>
      </c>
      <c r="G168" s="772">
        <v>0</v>
      </c>
      <c r="H168" s="772">
        <v>0</v>
      </c>
      <c r="I168" s="773">
        <f>SUM(F168:H168)</f>
        <v>0</v>
      </c>
    </row>
    <row r="169" spans="1:9" ht="12.75">
      <c r="A169" s="769"/>
      <c r="B169" s="769"/>
      <c r="C169" s="771"/>
      <c r="D169" s="771" t="s">
        <v>849</v>
      </c>
      <c r="E169" s="771" t="s">
        <v>313</v>
      </c>
      <c r="F169" s="772">
        <v>0</v>
      </c>
      <c r="G169" s="772">
        <v>0</v>
      </c>
      <c r="H169" s="772">
        <v>0</v>
      </c>
      <c r="I169" s="773">
        <f>SUM(F169:H169)</f>
        <v>0</v>
      </c>
    </row>
    <row r="170" spans="1:9" s="761" customFormat="1" ht="12.75">
      <c r="A170" s="759" t="s">
        <v>494</v>
      </c>
      <c r="B170" s="808" t="s">
        <v>495</v>
      </c>
      <c r="C170" s="808"/>
      <c r="D170" s="808"/>
      <c r="E170" s="808"/>
      <c r="F170" s="760">
        <f>SUM(F171+F194+F195+F196)</f>
        <v>109095852</v>
      </c>
      <c r="G170" s="760">
        <f>SUM(G171+G194+G195+G196)</f>
        <v>982756</v>
      </c>
      <c r="H170" s="760">
        <f>SUM(H171+H194+H195+H196)</f>
        <v>39172</v>
      </c>
      <c r="I170" s="760">
        <f>SUM(I171+I194+I195+I196)</f>
        <v>110117780</v>
      </c>
    </row>
    <row r="171" spans="1:9" ht="12.75">
      <c r="A171" s="769"/>
      <c r="B171" s="762" t="s">
        <v>496</v>
      </c>
      <c r="C171" s="804" t="s">
        <v>497</v>
      </c>
      <c r="D171" s="804"/>
      <c r="E171" s="804"/>
      <c r="F171" s="763">
        <f>SUM(F172+F176+F181+F186+F187+F188+F189+F190+F191)</f>
        <v>109095852</v>
      </c>
      <c r="G171" s="763">
        <f>SUM(G172+G176+G181+G186+G187+G188+G189+G190+G191)</f>
        <v>982756</v>
      </c>
      <c r="H171" s="763">
        <f>SUM(H172+H176+H181+H186+H187+H188+H189+H190+H191)</f>
        <v>39172</v>
      </c>
      <c r="I171" s="764">
        <f t="shared" si="1"/>
        <v>110117780</v>
      </c>
    </row>
    <row r="172" spans="1:9" ht="12.75">
      <c r="A172" s="765"/>
      <c r="B172" s="765"/>
      <c r="C172" s="765" t="s">
        <v>498</v>
      </c>
      <c r="D172" s="765" t="s">
        <v>898</v>
      </c>
      <c r="E172" s="765"/>
      <c r="F172" s="766">
        <f>SUM(F173:F175)</f>
        <v>0</v>
      </c>
      <c r="G172" s="766">
        <f>SUM(G173:G175)</f>
        <v>0</v>
      </c>
      <c r="H172" s="766">
        <f>SUM(H173:H175)</f>
        <v>0</v>
      </c>
      <c r="I172" s="767">
        <f t="shared" si="1"/>
        <v>0</v>
      </c>
    </row>
    <row r="173" spans="1:9" ht="12.75">
      <c r="A173" s="781"/>
      <c r="B173" s="781"/>
      <c r="C173" s="781"/>
      <c r="D173" s="781" t="s">
        <v>499</v>
      </c>
      <c r="E173" s="781" t="s">
        <v>826</v>
      </c>
      <c r="F173" s="782"/>
      <c r="G173" s="782">
        <v>0</v>
      </c>
      <c r="H173" s="782">
        <v>0</v>
      </c>
      <c r="I173" s="783">
        <f t="shared" si="1"/>
        <v>0</v>
      </c>
    </row>
    <row r="174" spans="1:9" ht="12.75">
      <c r="A174" s="781"/>
      <c r="B174" s="781"/>
      <c r="C174" s="781"/>
      <c r="D174" s="781" t="s">
        <v>500</v>
      </c>
      <c r="E174" s="781" t="s">
        <v>501</v>
      </c>
      <c r="F174" s="782">
        <v>0</v>
      </c>
      <c r="G174" s="782">
        <v>0</v>
      </c>
      <c r="H174" s="782">
        <v>0</v>
      </c>
      <c r="I174" s="783">
        <f t="shared" si="1"/>
        <v>0</v>
      </c>
    </row>
    <row r="175" spans="1:9" ht="12.75">
      <c r="A175" s="781"/>
      <c r="B175" s="781"/>
      <c r="C175" s="781"/>
      <c r="D175" s="781" t="s">
        <v>502</v>
      </c>
      <c r="E175" s="781" t="s">
        <v>827</v>
      </c>
      <c r="F175" s="782">
        <v>0</v>
      </c>
      <c r="G175" s="782">
        <v>0</v>
      </c>
      <c r="H175" s="782">
        <v>0</v>
      </c>
      <c r="I175" s="783">
        <f t="shared" si="1"/>
        <v>0</v>
      </c>
    </row>
    <row r="176" spans="1:9" ht="12.75">
      <c r="A176" s="765"/>
      <c r="B176" s="765"/>
      <c r="C176" s="765" t="s">
        <v>503</v>
      </c>
      <c r="D176" s="765" t="s">
        <v>504</v>
      </c>
      <c r="E176" s="765"/>
      <c r="F176" s="766">
        <f>SUM(F177:F180)</f>
        <v>0</v>
      </c>
      <c r="G176" s="766">
        <f>SUM(G177:G180)</f>
        <v>0</v>
      </c>
      <c r="H176" s="766">
        <f>SUM(H177:H180)</f>
        <v>0</v>
      </c>
      <c r="I176" s="767">
        <f t="shared" si="1"/>
        <v>0</v>
      </c>
    </row>
    <row r="177" spans="1:9" ht="12.75">
      <c r="A177" s="765"/>
      <c r="B177" s="765"/>
      <c r="C177" s="765"/>
      <c r="D177" s="781" t="s">
        <v>828</v>
      </c>
      <c r="E177" s="781" t="s">
        <v>829</v>
      </c>
      <c r="F177" s="766">
        <v>0</v>
      </c>
      <c r="G177" s="766">
        <v>0</v>
      </c>
      <c r="H177" s="766">
        <v>0</v>
      </c>
      <c r="I177" s="767">
        <f t="shared" si="1"/>
        <v>0</v>
      </c>
    </row>
    <row r="178" spans="1:9" ht="12.75">
      <c r="A178" s="765"/>
      <c r="B178" s="765"/>
      <c r="C178" s="765"/>
      <c r="D178" s="781" t="s">
        <v>830</v>
      </c>
      <c r="E178" s="781" t="s">
        <v>831</v>
      </c>
      <c r="F178" s="766">
        <v>0</v>
      </c>
      <c r="G178" s="766">
        <v>0</v>
      </c>
      <c r="H178" s="766">
        <v>0</v>
      </c>
      <c r="I178" s="767">
        <f t="shared" si="1"/>
        <v>0</v>
      </c>
    </row>
    <row r="179" spans="1:9" ht="12.75">
      <c r="A179" s="765"/>
      <c r="B179" s="765"/>
      <c r="C179" s="765"/>
      <c r="D179" s="781" t="s">
        <v>832</v>
      </c>
      <c r="E179" s="781" t="s">
        <v>833</v>
      </c>
      <c r="F179" s="766">
        <v>0</v>
      </c>
      <c r="G179" s="766">
        <v>0</v>
      </c>
      <c r="H179" s="766">
        <v>0</v>
      </c>
      <c r="I179" s="767">
        <f t="shared" si="1"/>
        <v>0</v>
      </c>
    </row>
    <row r="180" spans="1:9" ht="12.75">
      <c r="A180" s="765"/>
      <c r="B180" s="765"/>
      <c r="C180" s="765"/>
      <c r="D180" s="781" t="s">
        <v>834</v>
      </c>
      <c r="E180" s="781" t="s">
        <v>835</v>
      </c>
      <c r="F180" s="766">
        <v>0</v>
      </c>
      <c r="G180" s="766">
        <v>0</v>
      </c>
      <c r="H180" s="766">
        <v>0</v>
      </c>
      <c r="I180" s="767">
        <f t="shared" si="1"/>
        <v>0</v>
      </c>
    </row>
    <row r="181" spans="1:9" ht="12.75">
      <c r="A181" s="765"/>
      <c r="B181" s="765"/>
      <c r="C181" s="765" t="s">
        <v>505</v>
      </c>
      <c r="D181" s="765" t="s">
        <v>506</v>
      </c>
      <c r="E181" s="765"/>
      <c r="F181" s="766">
        <f>SUM(F182,F185)</f>
        <v>109095852</v>
      </c>
      <c r="G181" s="766">
        <f>SUM(G182,G185)</f>
        <v>982756</v>
      </c>
      <c r="H181" s="766">
        <f>SUM(H182,H185)</f>
        <v>39172</v>
      </c>
      <c r="I181" s="767">
        <f t="shared" si="1"/>
        <v>110117780</v>
      </c>
    </row>
    <row r="182" spans="1:9" ht="12.75">
      <c r="A182" s="781"/>
      <c r="B182" s="781"/>
      <c r="C182" s="781"/>
      <c r="D182" s="781" t="s">
        <v>507</v>
      </c>
      <c r="E182" s="781" t="s">
        <v>508</v>
      </c>
      <c r="F182" s="782">
        <f>SUM(F183:F184)</f>
        <v>105193048</v>
      </c>
      <c r="G182" s="782">
        <f>SUM(G183:G184)</f>
        <v>982756</v>
      </c>
      <c r="H182" s="782">
        <f>SUM(H183:H184)</f>
        <v>39172</v>
      </c>
      <c r="I182" s="783">
        <f aca="true" t="shared" si="3" ref="I182:I196">SUM(F182:H182)</f>
        <v>106214976</v>
      </c>
    </row>
    <row r="183" spans="1:9" s="406" customFormat="1" ht="12.75">
      <c r="A183" s="784"/>
      <c r="B183" s="784"/>
      <c r="C183" s="784"/>
      <c r="D183" s="784"/>
      <c r="E183" s="785" t="s">
        <v>115</v>
      </c>
      <c r="F183" s="786">
        <f>470000+92780048</f>
        <v>93250048</v>
      </c>
      <c r="G183" s="786">
        <v>982756</v>
      </c>
      <c r="H183" s="786">
        <v>39172</v>
      </c>
      <c r="I183" s="787">
        <f t="shared" si="3"/>
        <v>94271976</v>
      </c>
    </row>
    <row r="184" spans="1:9" s="406" customFormat="1" ht="12.75">
      <c r="A184" s="784"/>
      <c r="B184" s="784"/>
      <c r="C184" s="784"/>
      <c r="D184" s="784"/>
      <c r="E184" s="785" t="s">
        <v>116</v>
      </c>
      <c r="F184" s="786">
        <f>7683000+4260000</f>
        <v>11943000</v>
      </c>
      <c r="G184" s="786">
        <v>0</v>
      </c>
      <c r="H184" s="786">
        <v>0</v>
      </c>
      <c r="I184" s="787">
        <f t="shared" si="3"/>
        <v>11943000</v>
      </c>
    </row>
    <row r="185" spans="1:9" ht="12.75">
      <c r="A185" s="781"/>
      <c r="B185" s="781"/>
      <c r="C185" s="781"/>
      <c r="D185" s="781" t="s">
        <v>509</v>
      </c>
      <c r="E185" s="781" t="s">
        <v>510</v>
      </c>
      <c r="F185" s="782">
        <v>3902804</v>
      </c>
      <c r="G185" s="782">
        <v>0</v>
      </c>
      <c r="H185" s="782">
        <v>0</v>
      </c>
      <c r="I185" s="783">
        <f t="shared" si="3"/>
        <v>3902804</v>
      </c>
    </row>
    <row r="186" spans="1:9" ht="12.75">
      <c r="A186" s="765"/>
      <c r="B186" s="765"/>
      <c r="C186" s="765" t="s">
        <v>511</v>
      </c>
      <c r="D186" s="765" t="s">
        <v>899</v>
      </c>
      <c r="E186" s="765"/>
      <c r="F186" s="766">
        <v>0</v>
      </c>
      <c r="G186" s="766">
        <v>0</v>
      </c>
      <c r="H186" s="766">
        <v>0</v>
      </c>
      <c r="I186" s="767">
        <f t="shared" si="3"/>
        <v>0</v>
      </c>
    </row>
    <row r="187" spans="1:9" ht="12.75">
      <c r="A187" s="765"/>
      <c r="B187" s="765"/>
      <c r="C187" s="765" t="s">
        <v>512</v>
      </c>
      <c r="D187" s="765" t="s">
        <v>900</v>
      </c>
      <c r="E187" s="765"/>
      <c r="F187" s="766">
        <v>0</v>
      </c>
      <c r="G187" s="766">
        <v>0</v>
      </c>
      <c r="H187" s="766">
        <v>0</v>
      </c>
      <c r="I187" s="767">
        <f t="shared" si="3"/>
        <v>0</v>
      </c>
    </row>
    <row r="188" spans="1:9" ht="12.75">
      <c r="A188" s="765"/>
      <c r="B188" s="765"/>
      <c r="C188" s="765" t="s">
        <v>513</v>
      </c>
      <c r="D188" s="765" t="s">
        <v>514</v>
      </c>
      <c r="E188" s="765"/>
      <c r="F188" s="766">
        <v>0</v>
      </c>
      <c r="G188" s="766">
        <v>0</v>
      </c>
      <c r="H188" s="766">
        <v>0</v>
      </c>
      <c r="I188" s="767">
        <f t="shared" si="3"/>
        <v>0</v>
      </c>
    </row>
    <row r="189" spans="1:9" ht="12.75">
      <c r="A189" s="765"/>
      <c r="B189" s="765"/>
      <c r="C189" s="765" t="s">
        <v>515</v>
      </c>
      <c r="D189" s="765" t="s">
        <v>836</v>
      </c>
      <c r="E189" s="765"/>
      <c r="F189" s="766">
        <v>0</v>
      </c>
      <c r="G189" s="766">
        <v>0</v>
      </c>
      <c r="H189" s="766">
        <v>0</v>
      </c>
      <c r="I189" s="767">
        <f t="shared" si="3"/>
        <v>0</v>
      </c>
    </row>
    <row r="190" spans="1:9" ht="12.75">
      <c r="A190" s="765"/>
      <c r="B190" s="765"/>
      <c r="C190" s="765" t="s">
        <v>516</v>
      </c>
      <c r="D190" s="765" t="s">
        <v>517</v>
      </c>
      <c r="E190" s="765"/>
      <c r="F190" s="766">
        <v>0</v>
      </c>
      <c r="G190" s="766">
        <v>0</v>
      </c>
      <c r="H190" s="766">
        <v>0</v>
      </c>
      <c r="I190" s="767">
        <f t="shared" si="3"/>
        <v>0</v>
      </c>
    </row>
    <row r="191" spans="1:9" ht="12.75">
      <c r="A191" s="765"/>
      <c r="B191" s="765"/>
      <c r="C191" s="765" t="s">
        <v>837</v>
      </c>
      <c r="D191" s="765" t="s">
        <v>838</v>
      </c>
      <c r="E191" s="765"/>
      <c r="F191" s="766">
        <v>0</v>
      </c>
      <c r="G191" s="766">
        <v>0</v>
      </c>
      <c r="H191" s="766">
        <v>0</v>
      </c>
      <c r="I191" s="767">
        <f t="shared" si="3"/>
        <v>0</v>
      </c>
    </row>
    <row r="192" spans="1:9" ht="12.75">
      <c r="A192" s="765"/>
      <c r="B192" s="765"/>
      <c r="C192" s="765"/>
      <c r="D192" s="781" t="s">
        <v>839</v>
      </c>
      <c r="E192" s="781" t="s">
        <v>840</v>
      </c>
      <c r="F192" s="786">
        <v>0</v>
      </c>
      <c r="G192" s="786">
        <v>0</v>
      </c>
      <c r="H192" s="786">
        <v>0</v>
      </c>
      <c r="I192" s="767">
        <f t="shared" si="3"/>
        <v>0</v>
      </c>
    </row>
    <row r="193" spans="1:9" ht="12.75">
      <c r="A193" s="765"/>
      <c r="B193" s="765"/>
      <c r="C193" s="765"/>
      <c r="D193" s="781" t="s">
        <v>841</v>
      </c>
      <c r="E193" s="781" t="s">
        <v>842</v>
      </c>
      <c r="F193" s="786">
        <v>0</v>
      </c>
      <c r="G193" s="786">
        <v>0</v>
      </c>
      <c r="H193" s="786">
        <v>0</v>
      </c>
      <c r="I193" s="767">
        <f t="shared" si="3"/>
        <v>0</v>
      </c>
    </row>
    <row r="194" spans="1:9" ht="12.75">
      <c r="A194" s="769"/>
      <c r="B194" s="762" t="s">
        <v>518</v>
      </c>
      <c r="C194" s="804" t="s">
        <v>519</v>
      </c>
      <c r="D194" s="804"/>
      <c r="E194" s="804"/>
      <c r="F194" s="763">
        <v>0</v>
      </c>
      <c r="G194" s="763">
        <v>0</v>
      </c>
      <c r="H194" s="763">
        <v>0</v>
      </c>
      <c r="I194" s="764">
        <f t="shared" si="3"/>
        <v>0</v>
      </c>
    </row>
    <row r="195" spans="1:9" ht="12.75">
      <c r="A195" s="769"/>
      <c r="B195" s="762" t="s">
        <v>520</v>
      </c>
      <c r="C195" s="804" t="s">
        <v>521</v>
      </c>
      <c r="D195" s="804"/>
      <c r="E195" s="804"/>
      <c r="F195" s="763">
        <v>0</v>
      </c>
      <c r="G195" s="763">
        <v>0</v>
      </c>
      <c r="H195" s="763">
        <v>0</v>
      </c>
      <c r="I195" s="764">
        <f>SUM(F195:H195)</f>
        <v>0</v>
      </c>
    </row>
    <row r="196" spans="1:9" ht="12.75">
      <c r="A196" s="769"/>
      <c r="B196" s="762" t="s">
        <v>843</v>
      </c>
      <c r="C196" s="804" t="s">
        <v>844</v>
      </c>
      <c r="D196" s="804"/>
      <c r="E196" s="804"/>
      <c r="F196" s="763">
        <v>0</v>
      </c>
      <c r="G196" s="763">
        <v>0</v>
      </c>
      <c r="H196" s="763">
        <v>0</v>
      </c>
      <c r="I196" s="764">
        <f t="shared" si="3"/>
        <v>0</v>
      </c>
    </row>
    <row r="197" spans="1:9" ht="12.75">
      <c r="A197" s="769"/>
      <c r="B197" s="769"/>
      <c r="C197" s="769"/>
      <c r="D197" s="769"/>
      <c r="E197" s="769"/>
      <c r="F197" s="788"/>
      <c r="G197" s="789"/>
      <c r="H197" s="789"/>
      <c r="I197" s="788"/>
    </row>
    <row r="198" spans="1:9" s="531" customFormat="1" ht="15.75">
      <c r="A198" s="813" t="s">
        <v>631</v>
      </c>
      <c r="B198" s="813"/>
      <c r="C198" s="813"/>
      <c r="D198" s="813"/>
      <c r="E198" s="813"/>
      <c r="F198" s="790">
        <f>SUM(F170+F144+F129+F121+F85+F56+F40+F7)</f>
        <v>1269353751</v>
      </c>
      <c r="G198" s="790">
        <f>SUM(G170+G144+G129+G121+G85+G56+G40+G7)</f>
        <v>11024696</v>
      </c>
      <c r="H198" s="790">
        <f>SUM(H170+H144+H129+H121+H85+H56+H40+H7)</f>
        <v>1837172</v>
      </c>
      <c r="I198" s="790">
        <f>SUM(F198:H198)</f>
        <v>1282215619</v>
      </c>
    </row>
  </sheetData>
  <sheetProtection/>
  <mergeCells count="54"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45:E145"/>
    <mergeCell ref="C194:E194"/>
    <mergeCell ref="C131:E131"/>
    <mergeCell ref="C132:E132"/>
    <mergeCell ref="C43:E43"/>
    <mergeCell ref="C41:E41"/>
    <mergeCell ref="D118:E118"/>
    <mergeCell ref="B121:E121"/>
    <mergeCell ref="C44:E44"/>
    <mergeCell ref="D111:E111"/>
    <mergeCell ref="B56:E56"/>
    <mergeCell ref="D106:E106"/>
    <mergeCell ref="C59:E59"/>
    <mergeCell ref="D103:E103"/>
    <mergeCell ref="C57:E57"/>
    <mergeCell ref="C75:E75"/>
    <mergeCell ref="B85:E85"/>
    <mergeCell ref="C58:E58"/>
    <mergeCell ref="B129:E129"/>
    <mergeCell ref="C124:E124"/>
    <mergeCell ref="C126:E126"/>
    <mergeCell ref="D110:E110"/>
    <mergeCell ref="C128:E128"/>
    <mergeCell ref="C122:E122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3" r:id="rId1"/>
  <rowBreaks count="2" manualBreakCount="2">
    <brk id="84" max="255" man="1"/>
    <brk id="16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4.125" style="114" bestFit="1" customWidth="1"/>
    <col min="2" max="2" width="14.625" style="108" customWidth="1"/>
    <col min="3" max="9" width="16.75390625" style="108" customWidth="1"/>
    <col min="10" max="10" width="13.875" style="108" bestFit="1" customWidth="1"/>
    <col min="11" max="11" width="14.25390625" style="108" bestFit="1" customWidth="1"/>
    <col min="12" max="16384" width="8.875" style="108" customWidth="1"/>
  </cols>
  <sheetData>
    <row r="1" ht="15.75">
      <c r="I1" s="128" t="s">
        <v>1189</v>
      </c>
    </row>
    <row r="3" spans="1:9" ht="40.5" customHeight="1">
      <c r="A3" s="1087" t="s">
        <v>251</v>
      </c>
      <c r="B3" s="1088"/>
      <c r="C3" s="1088"/>
      <c r="D3" s="1088"/>
      <c r="E3" s="1088"/>
      <c r="F3" s="1088"/>
      <c r="G3" s="1088"/>
      <c r="H3" s="1088"/>
      <c r="I3" s="1088"/>
    </row>
    <row r="4" spans="2:9" ht="16.5" thickBot="1">
      <c r="B4" s="109"/>
      <c r="C4" s="109"/>
      <c r="D4" s="109"/>
      <c r="E4" s="109"/>
      <c r="F4" s="109"/>
      <c r="G4" s="109"/>
      <c r="H4" s="109"/>
      <c r="I4" s="153" t="s">
        <v>968</v>
      </c>
    </row>
    <row r="5" spans="1:9" ht="15.75">
      <c r="A5" s="1089" t="s">
        <v>623</v>
      </c>
      <c r="B5" s="1091" t="s">
        <v>603</v>
      </c>
      <c r="C5" s="1091" t="s">
        <v>610</v>
      </c>
      <c r="D5" s="1091"/>
      <c r="E5" s="1091"/>
      <c r="F5" s="1091"/>
      <c r="G5" s="1091"/>
      <c r="H5" s="1091"/>
      <c r="I5" s="1093" t="s">
        <v>611</v>
      </c>
    </row>
    <row r="6" spans="1:9" s="110" customFormat="1" ht="102.75" customHeight="1">
      <c r="A6" s="1090"/>
      <c r="B6" s="1092"/>
      <c r="C6" s="111" t="s">
        <v>605</v>
      </c>
      <c r="D6" s="111" t="s">
        <v>607</v>
      </c>
      <c r="E6" s="111" t="s">
        <v>612</v>
      </c>
      <c r="F6" s="111" t="s">
        <v>608</v>
      </c>
      <c r="G6" s="111" t="s">
        <v>604</v>
      </c>
      <c r="H6" s="111" t="s">
        <v>609</v>
      </c>
      <c r="I6" s="1094"/>
    </row>
    <row r="7" spans="1:9" s="114" customFormat="1" ht="12">
      <c r="A7" s="1090"/>
      <c r="B7" s="116" t="s">
        <v>617</v>
      </c>
      <c r="C7" s="115" t="s">
        <v>618</v>
      </c>
      <c r="D7" s="115" t="s">
        <v>619</v>
      </c>
      <c r="E7" s="115" t="s">
        <v>620</v>
      </c>
      <c r="F7" s="115" t="s">
        <v>621</v>
      </c>
      <c r="G7" s="115" t="s">
        <v>622</v>
      </c>
      <c r="H7" s="115" t="s">
        <v>625</v>
      </c>
      <c r="I7" s="118" t="s">
        <v>626</v>
      </c>
    </row>
    <row r="8" spans="1:9" s="138" customFormat="1" ht="15.75">
      <c r="A8" s="133">
        <v>1</v>
      </c>
      <c r="B8" s="134" t="s">
        <v>634</v>
      </c>
      <c r="C8" s="135">
        <f>147000000+3430000+5644000+4674314</f>
        <v>160748314</v>
      </c>
      <c r="D8" s="136">
        <v>72269000</v>
      </c>
      <c r="E8" s="136">
        <v>132000</v>
      </c>
      <c r="F8" s="136">
        <v>0</v>
      </c>
      <c r="G8" s="135">
        <v>6521614</v>
      </c>
      <c r="H8" s="136">
        <v>0</v>
      </c>
      <c r="I8" s="137">
        <f aca="true" t="shared" si="0" ref="I8:I13">SUM(C8:H8)</f>
        <v>239670928</v>
      </c>
    </row>
    <row r="9" spans="1:9" ht="15.75">
      <c r="A9" s="113">
        <v>2</v>
      </c>
      <c r="B9" s="117" t="s">
        <v>635</v>
      </c>
      <c r="C9" s="146">
        <v>145000000</v>
      </c>
      <c r="D9" s="147">
        <v>18000000</v>
      </c>
      <c r="E9" s="147">
        <v>2800000</v>
      </c>
      <c r="F9" s="147">
        <v>1000000</v>
      </c>
      <c r="G9" s="146">
        <v>5000000</v>
      </c>
      <c r="H9" s="147">
        <v>0</v>
      </c>
      <c r="I9" s="112">
        <f t="shared" si="0"/>
        <v>171800000</v>
      </c>
    </row>
    <row r="10" spans="1:9" ht="15.75">
      <c r="A10" s="113">
        <v>3</v>
      </c>
      <c r="B10" s="117" t="s">
        <v>636</v>
      </c>
      <c r="C10" s="146">
        <v>150000000</v>
      </c>
      <c r="D10" s="147">
        <v>16000000</v>
      </c>
      <c r="E10" s="147">
        <v>2600000</v>
      </c>
      <c r="F10" s="147">
        <v>800000</v>
      </c>
      <c r="G10" s="146">
        <v>5000000</v>
      </c>
      <c r="H10" s="147">
        <v>0</v>
      </c>
      <c r="I10" s="112">
        <f t="shared" si="0"/>
        <v>174400000</v>
      </c>
    </row>
    <row r="11" spans="1:9" ht="15.75">
      <c r="A11" s="113">
        <v>4</v>
      </c>
      <c r="B11" s="117" t="s">
        <v>637</v>
      </c>
      <c r="C11" s="146">
        <v>152000000</v>
      </c>
      <c r="D11" s="147">
        <v>10000000</v>
      </c>
      <c r="E11" s="147">
        <v>2400000</v>
      </c>
      <c r="F11" s="147">
        <v>800000</v>
      </c>
      <c r="G11" s="146">
        <v>5000000</v>
      </c>
      <c r="H11" s="147">
        <v>0</v>
      </c>
      <c r="I11" s="112">
        <f t="shared" si="0"/>
        <v>170200000</v>
      </c>
    </row>
    <row r="12" spans="1:9" ht="15.75">
      <c r="A12" s="113">
        <v>5</v>
      </c>
      <c r="B12" s="117" t="s">
        <v>638</v>
      </c>
      <c r="C12" s="146">
        <v>127035000</v>
      </c>
      <c r="D12" s="147">
        <v>6000000</v>
      </c>
      <c r="E12" s="147">
        <v>2640000</v>
      </c>
      <c r="F12" s="147">
        <v>100000</v>
      </c>
      <c r="G12" s="146">
        <v>3800000</v>
      </c>
      <c r="H12" s="147">
        <v>0</v>
      </c>
      <c r="I12" s="112">
        <f t="shared" si="0"/>
        <v>139575000</v>
      </c>
    </row>
    <row r="13" spans="1:9" ht="15.75">
      <c r="A13" s="113">
        <v>6</v>
      </c>
      <c r="B13" s="117" t="s">
        <v>639</v>
      </c>
      <c r="C13" s="146">
        <v>128585000</v>
      </c>
      <c r="D13" s="147">
        <v>6000000</v>
      </c>
      <c r="E13" s="147">
        <v>2660000</v>
      </c>
      <c r="F13" s="147">
        <v>100000</v>
      </c>
      <c r="G13" s="146">
        <v>3500000</v>
      </c>
      <c r="H13" s="147">
        <v>0</v>
      </c>
      <c r="I13" s="112">
        <f t="shared" si="0"/>
        <v>140845000</v>
      </c>
    </row>
    <row r="14" spans="1:9" ht="16.5" thickBot="1">
      <c r="A14" s="148">
        <v>7</v>
      </c>
      <c r="B14" s="149" t="s">
        <v>640</v>
      </c>
      <c r="C14" s="150">
        <v>130615000</v>
      </c>
      <c r="D14" s="151">
        <v>6000000</v>
      </c>
      <c r="E14" s="151">
        <v>2710000</v>
      </c>
      <c r="F14" s="151">
        <v>100000</v>
      </c>
      <c r="G14" s="150">
        <v>3400000</v>
      </c>
      <c r="H14" s="151">
        <v>0</v>
      </c>
      <c r="I14" s="152">
        <f>SUM(C14:H14)</f>
        <v>142825000</v>
      </c>
    </row>
    <row r="16" ht="15.75">
      <c r="E16" s="138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3"/>
  <sheetViews>
    <sheetView zoomScalePageLayoutView="0" workbookViewId="0" topLeftCell="D1">
      <selection activeCell="L2" sqref="L2"/>
    </sheetView>
  </sheetViews>
  <sheetFormatPr defaultColWidth="9.00390625" defaultRowHeight="12.75"/>
  <cols>
    <col min="1" max="1" width="5.125" style="169" bestFit="1" customWidth="1"/>
    <col min="2" max="2" width="8.875" style="170" customWidth="1"/>
    <col min="3" max="3" width="68.00390625" style="170" customWidth="1"/>
    <col min="4" max="4" width="9.75390625" style="170" bestFit="1" customWidth="1"/>
    <col min="5" max="5" width="10.375" style="170" bestFit="1" customWidth="1"/>
    <col min="6" max="6" width="18.75390625" style="170" customWidth="1"/>
    <col min="7" max="7" width="9.75390625" style="170" bestFit="1" customWidth="1"/>
    <col min="8" max="8" width="11.25390625" style="170" customWidth="1"/>
    <col min="9" max="9" width="9.625" style="170" customWidth="1"/>
    <col min="10" max="10" width="11.25390625" style="170" customWidth="1"/>
    <col min="11" max="12" width="18.25390625" style="170" customWidth="1"/>
    <col min="13" max="13" width="9.125" style="170" customWidth="1"/>
    <col min="14" max="14" width="12.375" style="170" bestFit="1" customWidth="1"/>
    <col min="15" max="16384" width="9.125" style="170" customWidth="1"/>
  </cols>
  <sheetData>
    <row r="1" spans="9:12" ht="15">
      <c r="I1" s="171"/>
      <c r="L1" s="43" t="s">
        <v>1190</v>
      </c>
    </row>
    <row r="2" spans="1:12" s="173" customFormat="1" ht="15.75">
      <c r="A2" s="1104" t="s">
        <v>869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72"/>
    </row>
    <row r="3" spans="1:12" s="173" customFormat="1" ht="15.75">
      <c r="A3" s="1105" t="s">
        <v>870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74"/>
    </row>
    <row r="4" ht="13.5" thickBot="1"/>
    <row r="5" spans="1:14" s="175" customFormat="1" ht="40.5" customHeight="1">
      <c r="A5" s="1106" t="s">
        <v>641</v>
      </c>
      <c r="B5" s="1106"/>
      <c r="C5" s="1107"/>
      <c r="D5" s="1108" t="s">
        <v>633</v>
      </c>
      <c r="E5" s="1106"/>
      <c r="F5" s="1109"/>
      <c r="G5" s="1110" t="s">
        <v>855</v>
      </c>
      <c r="H5" s="1111"/>
      <c r="I5" s="1111"/>
      <c r="J5" s="1112"/>
      <c r="K5" s="1113"/>
      <c r="L5" s="1099" t="s">
        <v>542</v>
      </c>
      <c r="N5" s="175" t="s">
        <v>683</v>
      </c>
    </row>
    <row r="6" spans="1:12" s="175" customFormat="1" ht="25.5">
      <c r="A6" s="1101" t="s">
        <v>642</v>
      </c>
      <c r="B6" s="1102"/>
      <c r="C6" s="176" t="s">
        <v>643</v>
      </c>
      <c r="D6" s="177" t="s">
        <v>644</v>
      </c>
      <c r="E6" s="178" t="s">
        <v>645</v>
      </c>
      <c r="F6" s="179" t="s">
        <v>682</v>
      </c>
      <c r="G6" s="177" t="s">
        <v>647</v>
      </c>
      <c r="H6" s="180" t="s">
        <v>661</v>
      </c>
      <c r="I6" s="180" t="s">
        <v>648</v>
      </c>
      <c r="J6" s="180" t="s">
        <v>661</v>
      </c>
      <c r="K6" s="179" t="s">
        <v>646</v>
      </c>
      <c r="L6" s="1100"/>
    </row>
    <row r="7" spans="1:12" s="187" customFormat="1" ht="12" customHeight="1">
      <c r="A7" s="1103" t="s">
        <v>617</v>
      </c>
      <c r="B7" s="1103"/>
      <c r="C7" s="181" t="s">
        <v>618</v>
      </c>
      <c r="D7" s="182" t="s">
        <v>619</v>
      </c>
      <c r="E7" s="183" t="s">
        <v>620</v>
      </c>
      <c r="F7" s="184" t="s">
        <v>621</v>
      </c>
      <c r="G7" s="182" t="s">
        <v>622</v>
      </c>
      <c r="H7" s="185" t="s">
        <v>625</v>
      </c>
      <c r="I7" s="185" t="s">
        <v>626</v>
      </c>
      <c r="J7" s="185" t="s">
        <v>569</v>
      </c>
      <c r="K7" s="184" t="s">
        <v>570</v>
      </c>
      <c r="L7" s="186" t="s">
        <v>571</v>
      </c>
    </row>
    <row r="8" spans="1:14" s="198" customFormat="1" ht="28.5" customHeight="1">
      <c r="A8" s="188" t="s">
        <v>668</v>
      </c>
      <c r="B8" s="189"/>
      <c r="C8" s="190" t="s">
        <v>680</v>
      </c>
      <c r="D8" s="191"/>
      <c r="E8" s="192"/>
      <c r="F8" s="193">
        <f>F9+F10+F15+F16+F17</f>
        <v>191782506</v>
      </c>
      <c r="G8" s="191"/>
      <c r="H8" s="194"/>
      <c r="I8" s="194"/>
      <c r="J8" s="192"/>
      <c r="K8" s="193"/>
      <c r="L8" s="195">
        <f aca="true" t="shared" si="0" ref="L8:L14">F8+K8</f>
        <v>191782506</v>
      </c>
      <c r="M8" s="196"/>
      <c r="N8" s="197">
        <f>SUM(N9:N17)</f>
        <v>191782506</v>
      </c>
    </row>
    <row r="9" spans="1:14" s="210" customFormat="1" ht="21.75" customHeight="1">
      <c r="A9" s="199"/>
      <c r="B9" s="200" t="s">
        <v>754</v>
      </c>
      <c r="C9" s="201" t="s">
        <v>662</v>
      </c>
      <c r="D9" s="202">
        <v>26.67</v>
      </c>
      <c r="E9" s="203">
        <v>4580000</v>
      </c>
      <c r="F9" s="204">
        <f>D9*E9</f>
        <v>122148600.00000001</v>
      </c>
      <c r="G9" s="205"/>
      <c r="H9" s="206"/>
      <c r="I9" s="206"/>
      <c r="J9" s="203"/>
      <c r="K9" s="204"/>
      <c r="L9" s="207">
        <f t="shared" si="0"/>
        <v>122148600.00000001</v>
      </c>
      <c r="M9" s="208"/>
      <c r="N9" s="209">
        <f>SUM(L9)</f>
        <v>122148600.00000001</v>
      </c>
    </row>
    <row r="10" spans="1:14" s="210" customFormat="1" ht="19.5" customHeight="1">
      <c r="A10" s="199"/>
      <c r="B10" s="200" t="s">
        <v>755</v>
      </c>
      <c r="C10" s="201" t="s">
        <v>229</v>
      </c>
      <c r="D10" s="205"/>
      <c r="E10" s="203"/>
      <c r="F10" s="204">
        <f>SUM(F11:F14)</f>
        <v>63440780</v>
      </c>
      <c r="G10" s="205"/>
      <c r="H10" s="206"/>
      <c r="I10" s="206"/>
      <c r="J10" s="203"/>
      <c r="K10" s="204"/>
      <c r="L10" s="207">
        <f t="shared" si="0"/>
        <v>63440780</v>
      </c>
      <c r="M10" s="208"/>
      <c r="N10" s="209">
        <f>SUM(L11:L14)</f>
        <v>63440780</v>
      </c>
    </row>
    <row r="11" spans="1:14" ht="12.75">
      <c r="A11" s="211"/>
      <c r="B11" s="212" t="s">
        <v>756</v>
      </c>
      <c r="C11" s="213" t="s">
        <v>663</v>
      </c>
      <c r="D11" s="214"/>
      <c r="E11" s="215"/>
      <c r="F11" s="216">
        <v>18212410</v>
      </c>
      <c r="G11" s="214"/>
      <c r="H11" s="217"/>
      <c r="I11" s="217"/>
      <c r="J11" s="215"/>
      <c r="K11" s="216"/>
      <c r="L11" s="218">
        <f t="shared" si="0"/>
        <v>18212410</v>
      </c>
      <c r="M11" s="209"/>
      <c r="N11" s="209"/>
    </row>
    <row r="12" spans="1:14" ht="12.75">
      <c r="A12" s="211"/>
      <c r="B12" s="212" t="s">
        <v>757</v>
      </c>
      <c r="C12" s="213" t="s">
        <v>664</v>
      </c>
      <c r="D12" s="214"/>
      <c r="E12" s="215"/>
      <c r="F12" s="216">
        <v>30176000</v>
      </c>
      <c r="G12" s="214"/>
      <c r="H12" s="217"/>
      <c r="I12" s="217"/>
      <c r="J12" s="215"/>
      <c r="K12" s="216"/>
      <c r="L12" s="218">
        <f t="shared" si="0"/>
        <v>30176000</v>
      </c>
      <c r="M12" s="209"/>
      <c r="N12" s="209"/>
    </row>
    <row r="13" spans="1:14" ht="12.75">
      <c r="A13" s="211"/>
      <c r="B13" s="212" t="s">
        <v>758</v>
      </c>
      <c r="C13" s="213" t="s">
        <v>665</v>
      </c>
      <c r="D13" s="214"/>
      <c r="E13" s="215"/>
      <c r="F13" s="216">
        <v>0</v>
      </c>
      <c r="G13" s="214"/>
      <c r="H13" s="217"/>
      <c r="I13" s="217"/>
      <c r="J13" s="215"/>
      <c r="K13" s="216"/>
      <c r="L13" s="218">
        <f t="shared" si="0"/>
        <v>0</v>
      </c>
      <c r="M13" s="209"/>
      <c r="N13" s="209"/>
    </row>
    <row r="14" spans="1:14" ht="12.75">
      <c r="A14" s="211"/>
      <c r="B14" s="212" t="s">
        <v>759</v>
      </c>
      <c r="C14" s="213" t="s">
        <v>666</v>
      </c>
      <c r="D14" s="214"/>
      <c r="E14" s="215"/>
      <c r="F14" s="216">
        <v>15052370</v>
      </c>
      <c r="G14" s="214"/>
      <c r="H14" s="217"/>
      <c r="I14" s="217"/>
      <c r="J14" s="215"/>
      <c r="K14" s="216"/>
      <c r="L14" s="218">
        <f t="shared" si="0"/>
        <v>15052370</v>
      </c>
      <c r="M14" s="209"/>
      <c r="N14" s="209"/>
    </row>
    <row r="15" spans="1:14" s="210" customFormat="1" ht="12.75">
      <c r="A15" s="199"/>
      <c r="B15" s="200" t="s">
        <v>760</v>
      </c>
      <c r="C15" s="219" t="s">
        <v>230</v>
      </c>
      <c r="D15" s="205"/>
      <c r="E15" s="203"/>
      <c r="F15" s="204">
        <v>4999073</v>
      </c>
      <c r="G15" s="205"/>
      <c r="H15" s="206"/>
      <c r="I15" s="206"/>
      <c r="J15" s="203"/>
      <c r="K15" s="204"/>
      <c r="L15" s="207">
        <f>F15+K15</f>
        <v>4999073</v>
      </c>
      <c r="M15" s="208"/>
      <c r="N15" s="209">
        <f>SUM(L15)</f>
        <v>4999073</v>
      </c>
    </row>
    <row r="16" spans="1:14" s="210" customFormat="1" ht="12.75">
      <c r="A16" s="199"/>
      <c r="B16" s="200" t="s">
        <v>761</v>
      </c>
      <c r="C16" s="219" t="s">
        <v>198</v>
      </c>
      <c r="D16" s="205">
        <v>292</v>
      </c>
      <c r="E16" s="203">
        <v>2550</v>
      </c>
      <c r="F16" s="204">
        <f>D16*E16</f>
        <v>744600</v>
      </c>
      <c r="G16" s="205"/>
      <c r="H16" s="206"/>
      <c r="I16" s="206"/>
      <c r="J16" s="203"/>
      <c r="K16" s="204"/>
      <c r="L16" s="207">
        <f>F16+K16</f>
        <v>744600</v>
      </c>
      <c r="M16" s="208"/>
      <c r="N16" s="209">
        <f>SUM(L16)</f>
        <v>744600</v>
      </c>
    </row>
    <row r="17" spans="1:14" s="210" customFormat="1" ht="12.75">
      <c r="A17" s="199"/>
      <c r="B17" s="200" t="s">
        <v>762</v>
      </c>
      <c r="C17" s="219" t="s">
        <v>871</v>
      </c>
      <c r="D17" s="205"/>
      <c r="E17" s="203"/>
      <c r="F17" s="204">
        <v>449453</v>
      </c>
      <c r="G17" s="205"/>
      <c r="H17" s="206"/>
      <c r="I17" s="206"/>
      <c r="J17" s="203"/>
      <c r="K17" s="204"/>
      <c r="L17" s="207">
        <f>F17+K17</f>
        <v>449453</v>
      </c>
      <c r="M17" s="208"/>
      <c r="N17" s="209">
        <f>SUM(L17)</f>
        <v>449453</v>
      </c>
    </row>
    <row r="18" spans="1:14" ht="12.75">
      <c r="A18" s="188" t="s">
        <v>667</v>
      </c>
      <c r="B18" s="220"/>
      <c r="C18" s="190" t="s">
        <v>231</v>
      </c>
      <c r="D18" s="221"/>
      <c r="E18" s="222"/>
      <c r="F18" s="223"/>
      <c r="G18" s="221"/>
      <c r="H18" s="224"/>
      <c r="I18" s="224"/>
      <c r="J18" s="222"/>
      <c r="K18" s="223">
        <f>K19+K25+K26+K27</f>
        <v>138612976</v>
      </c>
      <c r="L18" s="225">
        <f>F18+K18</f>
        <v>138612976</v>
      </c>
      <c r="M18" s="209"/>
      <c r="N18" s="226">
        <f>SUM(N25:N27,N24+N23+N19)</f>
        <v>138612976</v>
      </c>
    </row>
    <row r="19" spans="1:14" s="210" customFormat="1" ht="25.5">
      <c r="A19" s="227"/>
      <c r="B19" s="200" t="s">
        <v>669</v>
      </c>
      <c r="C19" s="201" t="s">
        <v>232</v>
      </c>
      <c r="D19" s="205"/>
      <c r="E19" s="203"/>
      <c r="F19" s="204"/>
      <c r="G19" s="205"/>
      <c r="H19" s="206"/>
      <c r="I19" s="206"/>
      <c r="J19" s="203"/>
      <c r="K19" s="204">
        <f>SUM(K20:K24)</f>
        <v>111641900</v>
      </c>
      <c r="L19" s="207">
        <f>SUM(K19,F19)</f>
        <v>111641900</v>
      </c>
      <c r="M19" s="208"/>
      <c r="N19" s="209">
        <f>SUM(L20:L22)</f>
        <v>110980400</v>
      </c>
    </row>
    <row r="20" spans="1:14" ht="12.75">
      <c r="A20" s="211"/>
      <c r="B20" s="212" t="s">
        <v>671</v>
      </c>
      <c r="C20" s="213" t="s">
        <v>670</v>
      </c>
      <c r="D20" s="214"/>
      <c r="E20" s="215"/>
      <c r="F20" s="216"/>
      <c r="G20" s="214">
        <v>19</v>
      </c>
      <c r="H20" s="217">
        <v>4308000</v>
      </c>
      <c r="I20" s="228">
        <v>17.9</v>
      </c>
      <c r="J20" s="215">
        <v>4308000</v>
      </c>
      <c r="K20" s="216">
        <f>(G20/12*8*H20)+(I20/12*4*J20)</f>
        <v>80272400</v>
      </c>
      <c r="L20" s="218">
        <f aca="true" t="shared" si="1" ref="L20:L34">F20+K20</f>
        <v>80272400</v>
      </c>
      <c r="M20" s="209"/>
      <c r="N20" s="209"/>
    </row>
    <row r="21" spans="1:14" ht="25.5">
      <c r="A21" s="211"/>
      <c r="B21" s="212" t="s">
        <v>672</v>
      </c>
      <c r="C21" s="229" t="s">
        <v>876</v>
      </c>
      <c r="D21" s="214"/>
      <c r="E21" s="215"/>
      <c r="F21" s="216"/>
      <c r="G21" s="214">
        <v>15</v>
      </c>
      <c r="H21" s="217">
        <v>1800000</v>
      </c>
      <c r="I21" s="217">
        <v>14</v>
      </c>
      <c r="J21" s="215">
        <v>1800000</v>
      </c>
      <c r="K21" s="216">
        <f>(G21/12*8*H21)+(I21/12*4*J21)</f>
        <v>26400000</v>
      </c>
      <c r="L21" s="218">
        <f t="shared" si="1"/>
        <v>26400000</v>
      </c>
      <c r="M21" s="209"/>
      <c r="N21" s="209"/>
    </row>
    <row r="22" spans="1:14" ht="25.5">
      <c r="A22" s="211"/>
      <c r="B22" s="212" t="s">
        <v>233</v>
      </c>
      <c r="C22" s="229" t="s">
        <v>875</v>
      </c>
      <c r="D22" s="214"/>
      <c r="E22" s="215"/>
      <c r="F22" s="216"/>
      <c r="G22" s="214">
        <v>1</v>
      </c>
      <c r="H22" s="217">
        <v>4308000</v>
      </c>
      <c r="I22" s="228">
        <v>1</v>
      </c>
      <c r="J22" s="215">
        <v>4308000</v>
      </c>
      <c r="K22" s="216">
        <f>(G22/12*8*H22)+(I22/12*4*J22)</f>
        <v>4308000</v>
      </c>
      <c r="L22" s="218">
        <f t="shared" si="1"/>
        <v>4308000</v>
      </c>
      <c r="M22" s="209"/>
      <c r="N22" s="209"/>
    </row>
    <row r="23" spans="1:14" ht="12.75">
      <c r="A23" s="211"/>
      <c r="B23" s="212" t="s">
        <v>872</v>
      </c>
      <c r="C23" s="229" t="s">
        <v>873</v>
      </c>
      <c r="D23" s="214"/>
      <c r="E23" s="215"/>
      <c r="F23" s="216"/>
      <c r="G23" s="214"/>
      <c r="H23" s="217"/>
      <c r="I23" s="228">
        <v>17.9</v>
      </c>
      <c r="J23" s="215">
        <v>35000</v>
      </c>
      <c r="K23" s="216">
        <f>I23*J23</f>
        <v>626500</v>
      </c>
      <c r="L23" s="218">
        <f t="shared" si="1"/>
        <v>626500</v>
      </c>
      <c r="M23" s="209"/>
      <c r="N23" s="209">
        <v>626500</v>
      </c>
    </row>
    <row r="24" spans="1:14" ht="25.5">
      <c r="A24" s="211"/>
      <c r="B24" s="212" t="s">
        <v>872</v>
      </c>
      <c r="C24" s="229" t="s">
        <v>874</v>
      </c>
      <c r="D24" s="214"/>
      <c r="E24" s="215"/>
      <c r="F24" s="216"/>
      <c r="G24" s="214"/>
      <c r="H24" s="217"/>
      <c r="I24" s="228">
        <v>1</v>
      </c>
      <c r="J24" s="215">
        <v>35000</v>
      </c>
      <c r="K24" s="216">
        <f>I24*J24</f>
        <v>35000</v>
      </c>
      <c r="L24" s="218">
        <f t="shared" si="1"/>
        <v>35000</v>
      </c>
      <c r="M24" s="209"/>
      <c r="N24" s="209">
        <v>35000</v>
      </c>
    </row>
    <row r="25" spans="1:14" s="210" customFormat="1" ht="18" customHeight="1">
      <c r="A25" s="199"/>
      <c r="B25" s="200" t="s">
        <v>673</v>
      </c>
      <c r="C25" s="219" t="s">
        <v>674</v>
      </c>
      <c r="D25" s="230"/>
      <c r="E25" s="231"/>
      <c r="F25" s="204"/>
      <c r="G25" s="232">
        <v>206</v>
      </c>
      <c r="H25" s="206">
        <v>80000</v>
      </c>
      <c r="I25" s="233">
        <v>192</v>
      </c>
      <c r="J25" s="203">
        <v>80000</v>
      </c>
      <c r="K25" s="204">
        <v>16106666</v>
      </c>
      <c r="L25" s="207">
        <f t="shared" si="1"/>
        <v>16106666</v>
      </c>
      <c r="M25" s="208"/>
      <c r="N25" s="209">
        <f>SUM(L25)</f>
        <v>16106666</v>
      </c>
    </row>
    <row r="26" spans="1:14" s="210" customFormat="1" ht="18" customHeight="1">
      <c r="A26" s="199"/>
      <c r="B26" s="200" t="s">
        <v>763</v>
      </c>
      <c r="C26" s="219" t="s">
        <v>764</v>
      </c>
      <c r="D26" s="234"/>
      <c r="E26" s="235"/>
      <c r="F26" s="204"/>
      <c r="G26" s="232"/>
      <c r="H26" s="206"/>
      <c r="I26" s="233"/>
      <c r="J26" s="203"/>
      <c r="K26" s="204">
        <v>6037500</v>
      </c>
      <c r="L26" s="207">
        <f>F26+K26</f>
        <v>6037500</v>
      </c>
      <c r="M26" s="208"/>
      <c r="N26" s="209">
        <f>SUM(L26)</f>
        <v>6037500</v>
      </c>
    </row>
    <row r="27" spans="1:14" s="210" customFormat="1" ht="26.25" customHeight="1">
      <c r="A27" s="199"/>
      <c r="B27" s="200" t="s">
        <v>765</v>
      </c>
      <c r="C27" s="201" t="s">
        <v>766</v>
      </c>
      <c r="D27" s="230"/>
      <c r="E27" s="231"/>
      <c r="F27" s="204"/>
      <c r="G27" s="232"/>
      <c r="H27" s="206"/>
      <c r="I27" s="233"/>
      <c r="J27" s="203"/>
      <c r="K27" s="204">
        <f>SUM(K28:K30)</f>
        <v>4826910</v>
      </c>
      <c r="L27" s="207">
        <f>F27+K27</f>
        <v>4826910</v>
      </c>
      <c r="M27" s="208"/>
      <c r="N27" s="209">
        <f>SUM(L28:L30)</f>
        <v>4826910</v>
      </c>
    </row>
    <row r="28" spans="1:14" ht="12.75">
      <c r="A28" s="211"/>
      <c r="B28" s="212" t="s">
        <v>906</v>
      </c>
      <c r="C28" s="213" t="s">
        <v>905</v>
      </c>
      <c r="D28" s="214"/>
      <c r="E28" s="215"/>
      <c r="F28" s="216"/>
      <c r="G28" s="214">
        <v>8</v>
      </c>
      <c r="H28" s="217">
        <v>384000</v>
      </c>
      <c r="I28" s="217"/>
      <c r="J28" s="215"/>
      <c r="K28" s="216">
        <f>G28*H28</f>
        <v>3072000</v>
      </c>
      <c r="L28" s="218">
        <f>SUM(K28)</f>
        <v>3072000</v>
      </c>
      <c r="M28" s="209"/>
      <c r="N28" s="209"/>
    </row>
    <row r="29" spans="1:14" ht="12.75">
      <c r="A29" s="211"/>
      <c r="B29" s="212" t="s">
        <v>907</v>
      </c>
      <c r="C29" s="213" t="s">
        <v>908</v>
      </c>
      <c r="D29" s="214"/>
      <c r="E29" s="215"/>
      <c r="F29" s="216"/>
      <c r="G29" s="214">
        <v>1</v>
      </c>
      <c r="H29" s="217">
        <v>352000</v>
      </c>
      <c r="I29" s="217"/>
      <c r="J29" s="215"/>
      <c r="K29" s="216">
        <f>G29*H29</f>
        <v>352000</v>
      </c>
      <c r="L29" s="218">
        <f>SUM(K29)</f>
        <v>352000</v>
      </c>
      <c r="M29" s="209"/>
      <c r="N29" s="209"/>
    </row>
    <row r="30" spans="1:14" ht="12.75">
      <c r="A30" s="211"/>
      <c r="B30" s="212" t="s">
        <v>909</v>
      </c>
      <c r="C30" s="213" t="s">
        <v>767</v>
      </c>
      <c r="D30" s="214"/>
      <c r="E30" s="215"/>
      <c r="F30" s="216"/>
      <c r="G30" s="214">
        <v>1</v>
      </c>
      <c r="H30" s="217">
        <v>1402910</v>
      </c>
      <c r="I30" s="217"/>
      <c r="J30" s="215"/>
      <c r="K30" s="216">
        <f>G30*H30</f>
        <v>1402910</v>
      </c>
      <c r="L30" s="218">
        <f>SUM(K30)</f>
        <v>1402910</v>
      </c>
      <c r="M30" s="209"/>
      <c r="N30" s="209"/>
    </row>
    <row r="31" spans="1:14" s="210" customFormat="1" ht="25.5">
      <c r="A31" s="188" t="s">
        <v>675</v>
      </c>
      <c r="B31" s="236"/>
      <c r="C31" s="190" t="s">
        <v>234</v>
      </c>
      <c r="D31" s="237"/>
      <c r="E31" s="238"/>
      <c r="F31" s="223">
        <f>SUM(F32:F34,F37,F41)</f>
        <v>137175077</v>
      </c>
      <c r="G31" s="239"/>
      <c r="H31" s="240"/>
      <c r="I31" s="241"/>
      <c r="J31" s="238"/>
      <c r="K31" s="223">
        <f>SUM(K32:K34,K37)</f>
        <v>16800000</v>
      </c>
      <c r="L31" s="225">
        <f t="shared" si="1"/>
        <v>153975077</v>
      </c>
      <c r="M31" s="208"/>
      <c r="N31" s="226">
        <f>SUM(N32:N34)+N37+N41</f>
        <v>153975077</v>
      </c>
    </row>
    <row r="32" spans="1:14" s="210" customFormat="1" ht="18" customHeight="1">
      <c r="A32" s="199"/>
      <c r="B32" s="200" t="s">
        <v>676</v>
      </c>
      <c r="C32" s="219" t="s">
        <v>768</v>
      </c>
      <c r="D32" s="230"/>
      <c r="E32" s="231"/>
      <c r="F32" s="204">
        <v>51450</v>
      </c>
      <c r="G32" s="232"/>
      <c r="H32" s="206"/>
      <c r="I32" s="233"/>
      <c r="J32" s="203"/>
      <c r="K32" s="204"/>
      <c r="L32" s="207">
        <f t="shared" si="1"/>
        <v>51450</v>
      </c>
      <c r="M32" s="208"/>
      <c r="N32" s="209">
        <f>SUM(L32)</f>
        <v>51450</v>
      </c>
    </row>
    <row r="33" spans="1:14" s="210" customFormat="1" ht="18" customHeight="1">
      <c r="A33" s="199"/>
      <c r="B33" s="200" t="s">
        <v>677</v>
      </c>
      <c r="C33" s="219" t="s">
        <v>769</v>
      </c>
      <c r="D33" s="230"/>
      <c r="E33" s="231"/>
      <c r="F33" s="204">
        <v>62748353</v>
      </c>
      <c r="G33" s="232"/>
      <c r="H33" s="206"/>
      <c r="I33" s="233"/>
      <c r="J33" s="203"/>
      <c r="K33" s="204"/>
      <c r="L33" s="207">
        <f t="shared" si="1"/>
        <v>62748353</v>
      </c>
      <c r="M33" s="208"/>
      <c r="N33" s="209">
        <f>SUM(L33)</f>
        <v>62748353</v>
      </c>
    </row>
    <row r="34" spans="1:14" s="210" customFormat="1" ht="18" customHeight="1">
      <c r="A34" s="199"/>
      <c r="B34" s="200" t="s">
        <v>678</v>
      </c>
      <c r="C34" s="219" t="s">
        <v>679</v>
      </c>
      <c r="D34" s="230"/>
      <c r="E34" s="231"/>
      <c r="F34" s="204">
        <f>SUM(F35:F36)</f>
        <v>0</v>
      </c>
      <c r="G34" s="232"/>
      <c r="H34" s="206"/>
      <c r="I34" s="233"/>
      <c r="J34" s="203"/>
      <c r="K34" s="204">
        <f>SUM(K35:K36)</f>
        <v>16800000</v>
      </c>
      <c r="L34" s="207">
        <f t="shared" si="1"/>
        <v>16800000</v>
      </c>
      <c r="M34" s="208"/>
      <c r="N34" s="209">
        <f>SUM(L35:L36)</f>
        <v>16800000</v>
      </c>
    </row>
    <row r="35" spans="1:14" ht="12.75">
      <c r="A35" s="211"/>
      <c r="B35" s="212" t="s">
        <v>877</v>
      </c>
      <c r="C35" s="213" t="s">
        <v>878</v>
      </c>
      <c r="D35" s="214"/>
      <c r="E35" s="215"/>
      <c r="F35" s="216"/>
      <c r="G35" s="242"/>
      <c r="H35" s="217"/>
      <c r="I35" s="243"/>
      <c r="J35" s="215"/>
      <c r="K35" s="216">
        <v>3300000</v>
      </c>
      <c r="L35" s="218">
        <f aca="true" t="shared" si="2" ref="L35:L44">F35+K35</f>
        <v>3300000</v>
      </c>
      <c r="M35" s="209"/>
      <c r="N35" s="209"/>
    </row>
    <row r="36" spans="1:14" ht="12.75">
      <c r="A36" s="211"/>
      <c r="B36" s="212" t="s">
        <v>880</v>
      </c>
      <c r="C36" s="213" t="s">
        <v>879</v>
      </c>
      <c r="D36" s="214"/>
      <c r="E36" s="215"/>
      <c r="F36" s="216"/>
      <c r="G36" s="242"/>
      <c r="H36" s="217"/>
      <c r="I36" s="243"/>
      <c r="J36" s="215"/>
      <c r="K36" s="216">
        <v>13500000</v>
      </c>
      <c r="L36" s="218">
        <f t="shared" si="2"/>
        <v>13500000</v>
      </c>
      <c r="M36" s="209"/>
      <c r="N36" s="209"/>
    </row>
    <row r="37" spans="1:14" s="210" customFormat="1" ht="18" customHeight="1">
      <c r="A37" s="199"/>
      <c r="B37" s="200" t="s">
        <v>235</v>
      </c>
      <c r="C37" s="219" t="s">
        <v>236</v>
      </c>
      <c r="D37" s="230"/>
      <c r="E37" s="231"/>
      <c r="F37" s="204">
        <f>SUM(F38:F40)</f>
        <v>68886274</v>
      </c>
      <c r="G37" s="232"/>
      <c r="H37" s="206"/>
      <c r="I37" s="233"/>
      <c r="J37" s="203"/>
      <c r="K37" s="204">
        <f>SUM(K38:K40)</f>
        <v>0</v>
      </c>
      <c r="L37" s="207">
        <f t="shared" si="2"/>
        <v>68886274</v>
      </c>
      <c r="M37" s="208"/>
      <c r="N37" s="209">
        <f>SUM(L38:L40)</f>
        <v>68886274</v>
      </c>
    </row>
    <row r="38" spans="1:14" ht="16.5" customHeight="1">
      <c r="A38" s="211"/>
      <c r="B38" s="212" t="s">
        <v>771</v>
      </c>
      <c r="C38" s="229" t="s">
        <v>770</v>
      </c>
      <c r="D38" s="244">
        <v>13.5</v>
      </c>
      <c r="E38" s="245">
        <v>1632000</v>
      </c>
      <c r="F38" s="216">
        <f>E38*D38</f>
        <v>22032000</v>
      </c>
      <c r="G38" s="246"/>
      <c r="H38" s="217"/>
      <c r="I38" s="228"/>
      <c r="J38" s="215"/>
      <c r="K38" s="216"/>
      <c r="L38" s="218">
        <f t="shared" si="2"/>
        <v>22032000</v>
      </c>
      <c r="M38" s="209"/>
      <c r="N38" s="209"/>
    </row>
    <row r="39" spans="1:14" ht="12.75">
      <c r="A39" s="211"/>
      <c r="B39" s="212" t="s">
        <v>237</v>
      </c>
      <c r="C39" s="229" t="s">
        <v>238</v>
      </c>
      <c r="D39" s="244"/>
      <c r="E39" s="215"/>
      <c r="F39" s="216">
        <v>45201274</v>
      </c>
      <c r="G39" s="214"/>
      <c r="H39" s="217"/>
      <c r="I39" s="217"/>
      <c r="J39" s="215"/>
      <c r="K39" s="216"/>
      <c r="L39" s="218">
        <f>F39+K39</f>
        <v>45201274</v>
      </c>
      <c r="M39" s="209"/>
      <c r="N39" s="209"/>
    </row>
    <row r="40" spans="1:14" ht="12.75">
      <c r="A40" s="211"/>
      <c r="B40" s="212" t="s">
        <v>881</v>
      </c>
      <c r="C40" s="229" t="s">
        <v>882</v>
      </c>
      <c r="D40" s="244"/>
      <c r="E40" s="215"/>
      <c r="F40" s="216">
        <v>1653000</v>
      </c>
      <c r="G40" s="214"/>
      <c r="H40" s="217"/>
      <c r="I40" s="217"/>
      <c r="J40" s="215"/>
      <c r="K40" s="216"/>
      <c r="L40" s="218">
        <f t="shared" si="2"/>
        <v>1653000</v>
      </c>
      <c r="M40" s="209"/>
      <c r="N40" s="209"/>
    </row>
    <row r="41" spans="1:14" s="210" customFormat="1" ht="25.5" customHeight="1">
      <c r="A41" s="199"/>
      <c r="B41" s="200" t="s">
        <v>1041</v>
      </c>
      <c r="C41" s="201" t="s">
        <v>1044</v>
      </c>
      <c r="D41" s="230"/>
      <c r="E41" s="231"/>
      <c r="F41" s="204">
        <f>1275000+4214000</f>
        <v>5489000</v>
      </c>
      <c r="G41" s="232"/>
      <c r="H41" s="206"/>
      <c r="I41" s="233"/>
      <c r="J41" s="203"/>
      <c r="K41" s="204">
        <f>SUM(K42:K44)</f>
        <v>0</v>
      </c>
      <c r="L41" s="207">
        <f>F41+K41</f>
        <v>5489000</v>
      </c>
      <c r="M41" s="208"/>
      <c r="N41" s="209">
        <f>SUM(L41)</f>
        <v>5489000</v>
      </c>
    </row>
    <row r="42" spans="1:14" s="210" customFormat="1" ht="12.75">
      <c r="A42" s="188" t="s">
        <v>681</v>
      </c>
      <c r="B42" s="236"/>
      <c r="C42" s="190" t="s">
        <v>660</v>
      </c>
      <c r="D42" s="237"/>
      <c r="E42" s="238"/>
      <c r="F42" s="223">
        <f>SUM(F44)</f>
        <v>10319280</v>
      </c>
      <c r="G42" s="239"/>
      <c r="H42" s="240"/>
      <c r="I42" s="241"/>
      <c r="J42" s="238"/>
      <c r="K42" s="223"/>
      <c r="L42" s="225">
        <f t="shared" si="2"/>
        <v>10319280</v>
      </c>
      <c r="M42" s="208"/>
      <c r="N42" s="226">
        <f>SUM(L44)</f>
        <v>10319280</v>
      </c>
    </row>
    <row r="43" spans="1:14" s="210" customFormat="1" ht="18" customHeight="1">
      <c r="A43" s="199"/>
      <c r="B43" s="200" t="s">
        <v>773</v>
      </c>
      <c r="C43" s="219" t="s">
        <v>774</v>
      </c>
      <c r="D43" s="230"/>
      <c r="E43" s="231"/>
      <c r="F43" s="204"/>
      <c r="G43" s="232"/>
      <c r="H43" s="206"/>
      <c r="I43" s="233"/>
      <c r="J43" s="203"/>
      <c r="K43" s="204"/>
      <c r="L43" s="207"/>
      <c r="M43" s="208"/>
      <c r="N43" s="209"/>
    </row>
    <row r="44" spans="1:14" ht="25.5">
      <c r="A44" s="211"/>
      <c r="B44" s="212" t="s">
        <v>772</v>
      </c>
      <c r="C44" s="229" t="s">
        <v>239</v>
      </c>
      <c r="D44" s="214">
        <v>9052</v>
      </c>
      <c r="E44" s="215">
        <v>1140</v>
      </c>
      <c r="F44" s="216">
        <f>D44*E44</f>
        <v>10319280</v>
      </c>
      <c r="G44" s="247"/>
      <c r="H44" s="248"/>
      <c r="I44" s="243"/>
      <c r="J44" s="245"/>
      <c r="K44" s="216"/>
      <c r="L44" s="218">
        <f t="shared" si="2"/>
        <v>10319280</v>
      </c>
      <c r="M44" s="209"/>
      <c r="N44" s="209"/>
    </row>
    <row r="45" spans="1:14" s="253" customFormat="1" ht="14.25">
      <c r="A45" s="1095" t="s">
        <v>684</v>
      </c>
      <c r="B45" s="1095"/>
      <c r="C45" s="1096"/>
      <c r="D45" s="249" t="s">
        <v>649</v>
      </c>
      <c r="E45" s="250" t="s">
        <v>649</v>
      </c>
      <c r="F45" s="223">
        <f>SUM(F42,F31,F18,F8)</f>
        <v>339276863</v>
      </c>
      <c r="G45" s="249" t="s">
        <v>649</v>
      </c>
      <c r="H45" s="251" t="s">
        <v>649</v>
      </c>
      <c r="I45" s="251" t="s">
        <v>649</v>
      </c>
      <c r="J45" s="250" t="s">
        <v>649</v>
      </c>
      <c r="K45" s="223">
        <f>SUM(K42,K31,K18,K8)</f>
        <v>155412976</v>
      </c>
      <c r="L45" s="225">
        <f>SUM(L42,L31,L18,L8)</f>
        <v>494689839</v>
      </c>
      <c r="M45" s="252"/>
      <c r="N45" s="208">
        <f>SUM(N42,N31,N18,N8)</f>
        <v>494689839</v>
      </c>
    </row>
    <row r="46" spans="1:14" s="259" customFormat="1" ht="14.25">
      <c r="A46" s="254"/>
      <c r="B46" s="254"/>
      <c r="C46" s="254"/>
      <c r="D46" s="255"/>
      <c r="E46" s="255"/>
      <c r="F46" s="256"/>
      <c r="G46" s="255"/>
      <c r="H46" s="255"/>
      <c r="I46" s="255"/>
      <c r="J46" s="255"/>
      <c r="K46" s="256"/>
      <c r="L46" s="256"/>
      <c r="M46" s="257"/>
      <c r="N46" s="258"/>
    </row>
    <row r="47" spans="1:14" ht="12.75">
      <c r="A47" s="211"/>
      <c r="B47" s="212"/>
      <c r="C47" s="229" t="s">
        <v>1042</v>
      </c>
      <c r="D47" s="214"/>
      <c r="E47" s="215"/>
      <c r="F47" s="216">
        <v>3799000</v>
      </c>
      <c r="G47" s="247"/>
      <c r="H47" s="248"/>
      <c r="I47" s="243"/>
      <c r="J47" s="245"/>
      <c r="K47" s="216"/>
      <c r="L47" s="218">
        <f>F47+K47</f>
        <v>3799000</v>
      </c>
      <c r="M47" s="209"/>
      <c r="N47" s="209">
        <f>SUM(L47)</f>
        <v>3799000</v>
      </c>
    </row>
    <row r="48" spans="1:14" ht="12.75">
      <c r="A48" s="211" t="s">
        <v>668</v>
      </c>
      <c r="B48" s="212" t="s">
        <v>1152</v>
      </c>
      <c r="C48" s="229" t="s">
        <v>1151</v>
      </c>
      <c r="D48" s="214"/>
      <c r="E48" s="215"/>
      <c r="F48" s="216">
        <v>2720131</v>
      </c>
      <c r="G48" s="247"/>
      <c r="H48" s="248"/>
      <c r="I48" s="243"/>
      <c r="J48" s="245"/>
      <c r="K48" s="798"/>
      <c r="L48" s="218">
        <f>F48+K48</f>
        <v>2720131</v>
      </c>
      <c r="M48" s="209"/>
      <c r="N48" s="209">
        <f>SUM(L48)</f>
        <v>2720131</v>
      </c>
    </row>
    <row r="49" spans="1:14" ht="12.75">
      <c r="A49" s="211" t="s">
        <v>1153</v>
      </c>
      <c r="B49" s="212" t="s">
        <v>1154</v>
      </c>
      <c r="C49" s="229" t="s">
        <v>1155</v>
      </c>
      <c r="D49" s="214"/>
      <c r="E49" s="215"/>
      <c r="F49" s="216">
        <v>11772070</v>
      </c>
      <c r="G49" s="247"/>
      <c r="H49" s="248"/>
      <c r="I49" s="243"/>
      <c r="J49" s="245"/>
      <c r="K49" s="798"/>
      <c r="L49" s="218">
        <f>F49+K49</f>
        <v>11772070</v>
      </c>
      <c r="M49" s="209"/>
      <c r="N49" s="209">
        <f>SUM(L49)</f>
        <v>11772070</v>
      </c>
    </row>
    <row r="50" spans="1:14" ht="12.75">
      <c r="A50" s="211"/>
      <c r="B50" s="212" t="s">
        <v>1176</v>
      </c>
      <c r="C50" s="229" t="s">
        <v>1162</v>
      </c>
      <c r="D50" s="214"/>
      <c r="E50" s="215"/>
      <c r="F50" s="216">
        <v>114000</v>
      </c>
      <c r="G50" s="247"/>
      <c r="H50" s="248"/>
      <c r="I50" s="243"/>
      <c r="J50" s="245"/>
      <c r="K50" s="798"/>
      <c r="L50" s="218">
        <f>F50+K50</f>
        <v>114000</v>
      </c>
      <c r="M50" s="209"/>
      <c r="N50" s="209">
        <f>SUM(L50)</f>
        <v>114000</v>
      </c>
    </row>
    <row r="51" spans="1:14" s="253" customFormat="1" ht="14.25">
      <c r="A51" s="1095" t="s">
        <v>1043</v>
      </c>
      <c r="B51" s="1095"/>
      <c r="C51" s="1096"/>
      <c r="D51" s="249" t="s">
        <v>649</v>
      </c>
      <c r="E51" s="250" t="s">
        <v>649</v>
      </c>
      <c r="F51" s="223">
        <f>SUM(F47:F50)</f>
        <v>18405201</v>
      </c>
      <c r="G51" s="249" t="s">
        <v>649</v>
      </c>
      <c r="H51" s="251" t="s">
        <v>649</v>
      </c>
      <c r="I51" s="251" t="s">
        <v>649</v>
      </c>
      <c r="J51" s="250" t="s">
        <v>649</v>
      </c>
      <c r="K51" s="250" t="s">
        <v>649</v>
      </c>
      <c r="L51" s="225">
        <f>SUM(L47:L50)</f>
        <v>18405201</v>
      </c>
      <c r="M51" s="252"/>
      <c r="N51" s="208">
        <f>SUM(N47:N50)</f>
        <v>18405201</v>
      </c>
    </row>
    <row r="52" ht="15" customHeight="1"/>
    <row r="53" spans="1:14" s="253" customFormat="1" ht="16.5">
      <c r="A53" s="1097" t="s">
        <v>240</v>
      </c>
      <c r="B53" s="1097"/>
      <c r="C53" s="1098"/>
      <c r="D53" s="260" t="s">
        <v>649</v>
      </c>
      <c r="E53" s="261" t="s">
        <v>649</v>
      </c>
      <c r="F53" s="262">
        <f>SUM(F51+F45)</f>
        <v>357682064</v>
      </c>
      <c r="G53" s="260" t="s">
        <v>649</v>
      </c>
      <c r="H53" s="263" t="s">
        <v>649</v>
      </c>
      <c r="I53" s="263" t="s">
        <v>649</v>
      </c>
      <c r="J53" s="261" t="s">
        <v>649</v>
      </c>
      <c r="K53" s="262">
        <f>SUM(K45)</f>
        <v>155412976</v>
      </c>
      <c r="L53" s="264">
        <f>SUM(K53+F53)</f>
        <v>513095040</v>
      </c>
      <c r="M53" s="252"/>
      <c r="N53" s="208">
        <f>SUM(N45+N51)</f>
        <v>513095040</v>
      </c>
    </row>
  </sheetData>
  <sheetProtection/>
  <mergeCells count="11">
    <mergeCell ref="A2:K2"/>
    <mergeCell ref="A3:K3"/>
    <mergeCell ref="A5:C5"/>
    <mergeCell ref="D5:F5"/>
    <mergeCell ref="G5:K5"/>
    <mergeCell ref="A51:C51"/>
    <mergeCell ref="A53:C53"/>
    <mergeCell ref="L5:L6"/>
    <mergeCell ref="A45:C45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68" customWidth="1"/>
    <col min="2" max="4" width="9.125" style="168" customWidth="1"/>
    <col min="5" max="5" width="40.375" style="168" customWidth="1"/>
    <col min="6" max="6" width="15.625" style="168" customWidth="1"/>
    <col min="7" max="7" width="15.875" style="168" customWidth="1"/>
    <col min="8" max="8" width="16.25390625" style="168" customWidth="1"/>
    <col min="9" max="9" width="18.875" style="168" customWidth="1"/>
    <col min="10" max="16384" width="9.125" style="168" customWidth="1"/>
  </cols>
  <sheetData>
    <row r="1" spans="1:9" s="635" customFormat="1" ht="12.75">
      <c r="A1" s="843" t="s">
        <v>1181</v>
      </c>
      <c r="B1" s="843"/>
      <c r="C1" s="843"/>
      <c r="D1" s="843"/>
      <c r="E1" s="843"/>
      <c r="F1" s="843"/>
      <c r="G1" s="843"/>
      <c r="H1" s="843"/>
      <c r="I1" s="843"/>
    </row>
    <row r="2" spans="1:9" s="635" customFormat="1" ht="9.75" customHeight="1">
      <c r="A2" s="687"/>
      <c r="B2" s="688"/>
      <c r="C2" s="688"/>
      <c r="D2" s="688"/>
      <c r="E2" s="688"/>
      <c r="F2" s="688"/>
      <c r="G2" s="688"/>
      <c r="H2" s="688"/>
      <c r="I2" s="688"/>
    </row>
    <row r="3" spans="1:9" s="635" customFormat="1" ht="16.5">
      <c r="A3" s="844" t="s">
        <v>857</v>
      </c>
      <c r="B3" s="844"/>
      <c r="C3" s="844"/>
      <c r="D3" s="844"/>
      <c r="E3" s="844"/>
      <c r="F3" s="844"/>
      <c r="G3" s="844"/>
      <c r="H3" s="844"/>
      <c r="I3" s="844"/>
    </row>
    <row r="4" spans="1:9" s="635" customFormat="1" ht="12.75">
      <c r="A4" s="687"/>
      <c r="B4" s="688"/>
      <c r="C4" s="688"/>
      <c r="D4" s="688"/>
      <c r="E4" s="688"/>
      <c r="F4" s="688"/>
      <c r="G4" s="688"/>
      <c r="H4" s="688"/>
      <c r="I4" s="272" t="s">
        <v>965</v>
      </c>
    </row>
    <row r="5" spans="1:9" ht="78" customHeight="1">
      <c r="A5" s="830" t="s">
        <v>0</v>
      </c>
      <c r="B5" s="831"/>
      <c r="C5" s="831"/>
      <c r="D5" s="831"/>
      <c r="E5" s="832"/>
      <c r="F5" s="689" t="s">
        <v>194</v>
      </c>
      <c r="G5" s="689" t="s">
        <v>548</v>
      </c>
      <c r="H5" s="689" t="s">
        <v>855</v>
      </c>
      <c r="I5" s="690" t="s">
        <v>541</v>
      </c>
    </row>
    <row r="6" spans="1:9" s="693" customFormat="1" ht="15">
      <c r="A6" s="691" t="s">
        <v>617</v>
      </c>
      <c r="B6" s="833" t="s">
        <v>618</v>
      </c>
      <c r="C6" s="834"/>
      <c r="D6" s="834"/>
      <c r="E6" s="835"/>
      <c r="F6" s="692" t="s">
        <v>619</v>
      </c>
      <c r="G6" s="692" t="s">
        <v>620</v>
      </c>
      <c r="H6" s="692" t="s">
        <v>621</v>
      </c>
      <c r="I6" s="692" t="s">
        <v>622</v>
      </c>
    </row>
    <row r="7" spans="1:9" s="696" customFormat="1" ht="14.25" customHeight="1">
      <c r="A7" s="694" t="s">
        <v>1</v>
      </c>
      <c r="B7" s="829" t="s">
        <v>534</v>
      </c>
      <c r="C7" s="829"/>
      <c r="D7" s="829"/>
      <c r="E7" s="829"/>
      <c r="F7" s="695">
        <f>SUM(F8+F18)</f>
        <v>127652187</v>
      </c>
      <c r="G7" s="695">
        <f>SUM(G8+G18)</f>
        <v>74537400</v>
      </c>
      <c r="H7" s="695">
        <f>157608000-774000-4974000+95500+950000</f>
        <v>152905500</v>
      </c>
      <c r="I7" s="695">
        <f>SUM(F7:H7)</f>
        <v>355095087</v>
      </c>
    </row>
    <row r="8" spans="1:9" ht="12.75" hidden="1">
      <c r="A8" s="697"/>
      <c r="B8" s="697" t="s">
        <v>2</v>
      </c>
      <c r="C8" s="820" t="s">
        <v>3</v>
      </c>
      <c r="D8" s="820"/>
      <c r="E8" s="820"/>
      <c r="F8" s="698">
        <f>SUM(F9:F16)</f>
        <v>102623187</v>
      </c>
      <c r="G8" s="698">
        <f>SUM(G9:G16)</f>
        <v>73807000</v>
      </c>
      <c r="H8" s="698">
        <f>SUM(H9:H16)</f>
        <v>0</v>
      </c>
      <c r="I8" s="699">
        <f>SUM(F8:H8)</f>
        <v>176430187</v>
      </c>
    </row>
    <row r="9" spans="1:9" ht="12.75" hidden="1">
      <c r="A9" s="700"/>
      <c r="B9" s="700"/>
      <c r="C9" s="700"/>
      <c r="D9" s="700" t="s">
        <v>4</v>
      </c>
      <c r="E9" s="700" t="s">
        <v>5</v>
      </c>
      <c r="F9" s="701">
        <f>86058000-2346000+1645000+1052000+916000+936850-60000-160000-8000+350937</f>
        <v>88384787</v>
      </c>
      <c r="G9" s="701">
        <f>64943000+1444000-51000-222000</f>
        <v>66114000</v>
      </c>
      <c r="H9" s="701"/>
      <c r="I9" s="699">
        <f aca="true" t="shared" si="0" ref="I9:I17">SUM(F9:H9)</f>
        <v>154498787</v>
      </c>
    </row>
    <row r="10" spans="1:9" ht="12.75" hidden="1">
      <c r="A10" s="700"/>
      <c r="B10" s="700"/>
      <c r="C10" s="700"/>
      <c r="D10" s="700" t="s">
        <v>777</v>
      </c>
      <c r="E10" s="700" t="s">
        <v>778</v>
      </c>
      <c r="F10" s="701"/>
      <c r="G10" s="701">
        <v>464000</v>
      </c>
      <c r="H10" s="701"/>
      <c r="I10" s="699">
        <f t="shared" si="0"/>
        <v>464000</v>
      </c>
    </row>
    <row r="11" spans="1:9" ht="12.75" hidden="1">
      <c r="A11" s="700"/>
      <c r="B11" s="700"/>
      <c r="C11" s="700"/>
      <c r="D11" s="700" t="s">
        <v>6</v>
      </c>
      <c r="E11" s="700" t="s">
        <v>7</v>
      </c>
      <c r="F11" s="701">
        <f>11492000-417000</f>
        <v>11075000</v>
      </c>
      <c r="G11" s="701"/>
      <c r="H11" s="701"/>
      <c r="I11" s="699">
        <f t="shared" si="0"/>
        <v>11075000</v>
      </c>
    </row>
    <row r="12" spans="1:9" ht="12.75" hidden="1">
      <c r="A12" s="700"/>
      <c r="B12" s="700"/>
      <c r="C12" s="700"/>
      <c r="D12" s="700" t="s">
        <v>8</v>
      </c>
      <c r="E12" s="700" t="s">
        <v>9</v>
      </c>
      <c r="F12" s="701">
        <v>664000</v>
      </c>
      <c r="G12" s="701"/>
      <c r="H12" s="701"/>
      <c r="I12" s="699">
        <f t="shared" si="0"/>
        <v>664000</v>
      </c>
    </row>
    <row r="13" spans="1:9" ht="12.75" hidden="1">
      <c r="A13" s="700"/>
      <c r="B13" s="700"/>
      <c r="C13" s="700"/>
      <c r="D13" s="700" t="s">
        <v>10</v>
      </c>
      <c r="E13" s="700" t="s">
        <v>11</v>
      </c>
      <c r="F13" s="701"/>
      <c r="G13" s="701">
        <v>5000000</v>
      </c>
      <c r="H13" s="701"/>
      <c r="I13" s="699">
        <f t="shared" si="0"/>
        <v>5000000</v>
      </c>
    </row>
    <row r="14" spans="1:9" ht="12.75" hidden="1">
      <c r="A14" s="700"/>
      <c r="B14" s="700"/>
      <c r="C14" s="700"/>
      <c r="D14" s="700" t="s">
        <v>12</v>
      </c>
      <c r="E14" s="700" t="s">
        <v>13</v>
      </c>
      <c r="F14" s="701">
        <v>48000</v>
      </c>
      <c r="G14" s="701">
        <v>170000</v>
      </c>
      <c r="H14" s="701"/>
      <c r="I14" s="699">
        <f t="shared" si="0"/>
        <v>218000</v>
      </c>
    </row>
    <row r="15" spans="1:9" ht="12.75" hidden="1">
      <c r="A15" s="700"/>
      <c r="B15" s="700"/>
      <c r="C15" s="700"/>
      <c r="D15" s="700" t="s">
        <v>14</v>
      </c>
      <c r="E15" s="700" t="s">
        <v>15</v>
      </c>
      <c r="F15" s="701">
        <f>674000+10000</f>
        <v>684000</v>
      </c>
      <c r="G15" s="701">
        <v>614000</v>
      </c>
      <c r="H15" s="701"/>
      <c r="I15" s="699">
        <f t="shared" si="0"/>
        <v>1298000</v>
      </c>
    </row>
    <row r="16" spans="1:9" ht="12.75" hidden="1">
      <c r="A16" s="700"/>
      <c r="B16" s="700"/>
      <c r="C16" s="700"/>
      <c r="D16" s="700" t="s">
        <v>16</v>
      </c>
      <c r="E16" s="700" t="s">
        <v>17</v>
      </c>
      <c r="F16" s="701">
        <f>113000+38500+60400+27100+17900+540+845+38+12+399+283+383+216000+511000+282000+72000+43000+67000+3000+1000+32000+23000+30000+60000+160000+8000</f>
        <v>1767400</v>
      </c>
      <c r="G16" s="701">
        <f>150000+762000+2900+109100+160000+120000+51000+90000</f>
        <v>1445000</v>
      </c>
      <c r="H16" s="701"/>
      <c r="I16" s="699">
        <f t="shared" si="0"/>
        <v>3212400</v>
      </c>
    </row>
    <row r="17" spans="1:9" ht="12.75" hidden="1">
      <c r="A17" s="702"/>
      <c r="B17" s="702"/>
      <c r="C17" s="703"/>
      <c r="D17" s="704" t="s">
        <v>18</v>
      </c>
      <c r="E17" s="704" t="s">
        <v>19</v>
      </c>
      <c r="F17" s="705">
        <v>113000</v>
      </c>
      <c r="G17" s="705"/>
      <c r="H17" s="705"/>
      <c r="I17" s="705">
        <f t="shared" si="0"/>
        <v>113000</v>
      </c>
    </row>
    <row r="18" spans="1:9" ht="12.75" hidden="1">
      <c r="A18" s="697"/>
      <c r="B18" s="697" t="s">
        <v>20</v>
      </c>
      <c r="C18" s="820" t="s">
        <v>21</v>
      </c>
      <c r="D18" s="820"/>
      <c r="E18" s="820"/>
      <c r="F18" s="698">
        <f>SUM(F19:F21)</f>
        <v>25029000</v>
      </c>
      <c r="G18" s="698">
        <f>SUM(G19:G21)</f>
        <v>730400</v>
      </c>
      <c r="H18" s="698">
        <f>SUM(H19:H21)</f>
        <v>0</v>
      </c>
      <c r="I18" s="699">
        <f aca="true" t="shared" si="1" ref="I18:I28">SUM(F18:H18)</f>
        <v>25759400</v>
      </c>
    </row>
    <row r="19" spans="1:9" ht="12.75" hidden="1">
      <c r="A19" s="706"/>
      <c r="B19" s="706"/>
      <c r="C19" s="706" t="s">
        <v>22</v>
      </c>
      <c r="D19" s="706" t="s">
        <v>23</v>
      </c>
      <c r="E19" s="706"/>
      <c r="F19" s="707">
        <v>20648000</v>
      </c>
      <c r="G19" s="707"/>
      <c r="H19" s="707"/>
      <c r="I19" s="699">
        <f t="shared" si="1"/>
        <v>20648000</v>
      </c>
    </row>
    <row r="20" spans="1:9" ht="12.75" hidden="1">
      <c r="A20" s="706"/>
      <c r="B20" s="706"/>
      <c r="C20" s="706" t="s">
        <v>24</v>
      </c>
      <c r="D20" s="836" t="s">
        <v>25</v>
      </c>
      <c r="E20" s="837"/>
      <c r="F20" s="707">
        <f>622000+2590000</f>
        <v>3212000</v>
      </c>
      <c r="G20" s="707"/>
      <c r="H20" s="707"/>
      <c r="I20" s="699">
        <f t="shared" si="1"/>
        <v>3212000</v>
      </c>
    </row>
    <row r="21" spans="1:9" ht="12.75" hidden="1">
      <c r="A21" s="706"/>
      <c r="B21" s="706"/>
      <c r="C21" s="706" t="s">
        <v>26</v>
      </c>
      <c r="D21" s="827" t="s">
        <v>27</v>
      </c>
      <c r="E21" s="828"/>
      <c r="F21" s="707">
        <f>1127000+9000+33000</f>
        <v>1169000</v>
      </c>
      <c r="G21" s="707">
        <f>200000+480000+50400</f>
        <v>730400</v>
      </c>
      <c r="H21" s="707"/>
      <c r="I21" s="699">
        <f t="shared" si="1"/>
        <v>1899400</v>
      </c>
    </row>
    <row r="22" spans="1:9" s="696" customFormat="1" ht="11.25" customHeight="1">
      <c r="A22" s="694" t="s">
        <v>28</v>
      </c>
      <c r="B22" s="829" t="s">
        <v>29</v>
      </c>
      <c r="C22" s="829"/>
      <c r="D22" s="829"/>
      <c r="E22" s="829"/>
      <c r="F22" s="695">
        <f>SUM(F23:F27)</f>
        <v>37157227</v>
      </c>
      <c r="G22" s="695">
        <f>SUM(G23:G27)</f>
        <v>20595428</v>
      </c>
      <c r="H22" s="695">
        <f>44071000-209000-1343000+25785+257000</f>
        <v>42801785</v>
      </c>
      <c r="I22" s="695">
        <f t="shared" si="1"/>
        <v>100554440</v>
      </c>
    </row>
    <row r="23" spans="1:9" ht="12.75" hidden="1">
      <c r="A23" s="700"/>
      <c r="B23" s="700"/>
      <c r="C23" s="700"/>
      <c r="D23" s="708" t="s">
        <v>18</v>
      </c>
      <c r="E23" s="708" t="s">
        <v>30</v>
      </c>
      <c r="F23" s="701">
        <f>31909000-634000-113000+10395+16308+7317+4833+146+228+10+3+108+76+104+58000+138000+76000+19000+12000+18000+1000+9000+6000+8000+1079000+284000+247000+252950-1000-1000+94749</f>
        <v>33502227</v>
      </c>
      <c r="G23" s="701">
        <f>17790000+390000+205000+783+29457-47000+205200-60000+24000</f>
        <v>18537440</v>
      </c>
      <c r="H23" s="701"/>
      <c r="I23" s="709">
        <f t="shared" si="1"/>
        <v>52039667</v>
      </c>
    </row>
    <row r="24" spans="1:9" ht="12.75" hidden="1">
      <c r="A24" s="700"/>
      <c r="B24" s="700"/>
      <c r="C24" s="700"/>
      <c r="D24" s="708"/>
      <c r="E24" s="708" t="s">
        <v>31</v>
      </c>
      <c r="F24" s="701">
        <f>2411000+608000</f>
        <v>3019000</v>
      </c>
      <c r="G24" s="701">
        <f>1447000+292000</f>
        <v>1739000</v>
      </c>
      <c r="H24" s="701"/>
      <c r="I24" s="709">
        <f t="shared" si="1"/>
        <v>4758000</v>
      </c>
    </row>
    <row r="25" spans="1:9" ht="12.75" hidden="1">
      <c r="A25" s="700"/>
      <c r="B25" s="700"/>
      <c r="C25" s="700"/>
      <c r="D25" s="708"/>
      <c r="E25" s="708" t="s">
        <v>1156</v>
      </c>
      <c r="F25" s="701">
        <f>1000+1000</f>
        <v>2000</v>
      </c>
      <c r="G25" s="701">
        <v>47000</v>
      </c>
      <c r="H25" s="701"/>
      <c r="I25" s="709">
        <f t="shared" si="1"/>
        <v>49000</v>
      </c>
    </row>
    <row r="26" spans="1:9" ht="12.75" hidden="1">
      <c r="A26" s="700"/>
      <c r="B26" s="700"/>
      <c r="C26" s="700"/>
      <c r="D26" s="708"/>
      <c r="E26" s="708" t="s">
        <v>32</v>
      </c>
      <c r="F26" s="701">
        <f>391000+3000+11000+3000</f>
        <v>408000</v>
      </c>
      <c r="G26" s="701">
        <f>154000+20564</f>
        <v>174564</v>
      </c>
      <c r="H26" s="701"/>
      <c r="I26" s="709">
        <f t="shared" si="1"/>
        <v>582564</v>
      </c>
    </row>
    <row r="27" spans="1:9" ht="12.75" hidden="1">
      <c r="A27" s="700"/>
      <c r="B27" s="700"/>
      <c r="C27" s="700"/>
      <c r="D27" s="708"/>
      <c r="E27" s="708" t="s">
        <v>33</v>
      </c>
      <c r="F27" s="701">
        <f>216000+2000+6000+2000</f>
        <v>226000</v>
      </c>
      <c r="G27" s="701">
        <f>86000+11424</f>
        <v>97424</v>
      </c>
      <c r="H27" s="701"/>
      <c r="I27" s="709">
        <f t="shared" si="1"/>
        <v>323424</v>
      </c>
    </row>
    <row r="28" spans="1:9" s="696" customFormat="1" ht="12.75" customHeight="1">
      <c r="A28" s="694" t="s">
        <v>34</v>
      </c>
      <c r="B28" s="829" t="s">
        <v>35</v>
      </c>
      <c r="C28" s="829"/>
      <c r="D28" s="829"/>
      <c r="E28" s="829"/>
      <c r="F28" s="695">
        <f>SUM(F52+F49+F35+F32+F29)</f>
        <v>263850224</v>
      </c>
      <c r="G28" s="695">
        <f>SUM(G52+G49+G35+G32+G29)</f>
        <v>21915352</v>
      </c>
      <c r="H28" s="695">
        <f>57291000-674000-394000-381000</f>
        <v>55842000</v>
      </c>
      <c r="I28" s="695">
        <f t="shared" si="1"/>
        <v>341607576</v>
      </c>
    </row>
    <row r="29" spans="1:9" ht="12.75" hidden="1">
      <c r="A29" s="697"/>
      <c r="B29" s="697" t="s">
        <v>36</v>
      </c>
      <c r="C29" s="820" t="s">
        <v>37</v>
      </c>
      <c r="D29" s="820"/>
      <c r="E29" s="820"/>
      <c r="F29" s="698">
        <f>SUM(F30:F31)</f>
        <v>84768000</v>
      </c>
      <c r="G29" s="698">
        <f>SUM(G30:G31)</f>
        <v>1710488</v>
      </c>
      <c r="H29" s="698">
        <f>SUM(H30:H31)</f>
        <v>0</v>
      </c>
      <c r="I29" s="698">
        <f>SUM(I30:I31)</f>
        <v>86478488</v>
      </c>
    </row>
    <row r="30" spans="1:9" ht="12.75" hidden="1">
      <c r="A30" s="706"/>
      <c r="B30" s="706"/>
      <c r="C30" s="706" t="s">
        <v>38</v>
      </c>
      <c r="D30" s="706" t="s">
        <v>39</v>
      </c>
      <c r="E30" s="706"/>
      <c r="F30" s="707">
        <f>5182000-11000+79000-75000</f>
        <v>5175000</v>
      </c>
      <c r="G30" s="707">
        <v>200000</v>
      </c>
      <c r="H30" s="710"/>
      <c r="I30" s="711">
        <f>SUM(F30:H30)</f>
        <v>5375000</v>
      </c>
    </row>
    <row r="31" spans="1:9" ht="12.75" hidden="1">
      <c r="A31" s="706"/>
      <c r="B31" s="706"/>
      <c r="C31" s="706" t="s">
        <v>40</v>
      </c>
      <c r="D31" s="706" t="s">
        <v>41</v>
      </c>
      <c r="E31" s="706"/>
      <c r="F31" s="707">
        <f>74437000+4665000+31000-90000+2000+20000+199000+312000+14000+4000+148000+105000+142000+10000+16000+1000+7000+5000+7000+100000+100000-33000-198000-400000-11000</f>
        <v>79593000</v>
      </c>
      <c r="G31" s="707">
        <f>1816000+94488-200000-200000</f>
        <v>1510488</v>
      </c>
      <c r="H31" s="710"/>
      <c r="I31" s="711">
        <f>SUM(F31:H31)</f>
        <v>81103488</v>
      </c>
    </row>
    <row r="32" spans="1:9" ht="12.75" hidden="1">
      <c r="A32" s="697"/>
      <c r="B32" s="697" t="s">
        <v>42</v>
      </c>
      <c r="C32" s="820" t="s">
        <v>43</v>
      </c>
      <c r="D32" s="820"/>
      <c r="E32" s="820"/>
      <c r="F32" s="698">
        <f>SUM(F33:F34)</f>
        <v>3397000</v>
      </c>
      <c r="G32" s="698">
        <f>SUM(G33:G34)</f>
        <v>3622000</v>
      </c>
      <c r="H32" s="698">
        <f>SUM(H33:H34)</f>
        <v>0</v>
      </c>
      <c r="I32" s="698">
        <f>SUM(I33:I34)</f>
        <v>7019000</v>
      </c>
    </row>
    <row r="33" spans="1:9" ht="12.75" hidden="1">
      <c r="A33" s="706"/>
      <c r="B33" s="706"/>
      <c r="C33" s="706" t="s">
        <v>44</v>
      </c>
      <c r="D33" s="706" t="s">
        <v>45</v>
      </c>
      <c r="E33" s="706"/>
      <c r="F33" s="707">
        <f>2452000+65000</f>
        <v>2517000</v>
      </c>
      <c r="G33" s="707">
        <v>2498000</v>
      </c>
      <c r="H33" s="707"/>
      <c r="I33" s="709">
        <f>SUM(F33:H33)</f>
        <v>5015000</v>
      </c>
    </row>
    <row r="34" spans="1:9" ht="12.75" hidden="1">
      <c r="A34" s="706"/>
      <c r="B34" s="706"/>
      <c r="C34" s="706" t="s">
        <v>46</v>
      </c>
      <c r="D34" s="706" t="s">
        <v>47</v>
      </c>
      <c r="E34" s="706"/>
      <c r="F34" s="707">
        <v>880000</v>
      </c>
      <c r="G34" s="707">
        <f>1374000-250000</f>
        <v>1124000</v>
      </c>
      <c r="H34" s="707"/>
      <c r="I34" s="709">
        <f>SUM(F34:H34)</f>
        <v>2004000</v>
      </c>
    </row>
    <row r="35" spans="1:9" ht="12.75" hidden="1">
      <c r="A35" s="697"/>
      <c r="B35" s="697" t="s">
        <v>48</v>
      </c>
      <c r="C35" s="820" t="s">
        <v>49</v>
      </c>
      <c r="D35" s="820"/>
      <c r="E35" s="820"/>
      <c r="F35" s="698">
        <f>SUM(F36+F41+F42+F43+F44+F46+F47)</f>
        <v>128271040</v>
      </c>
      <c r="G35" s="698">
        <f>SUM(G36+G41+G42+G43+G44+G46+G47)</f>
        <v>12689159</v>
      </c>
      <c r="H35" s="698">
        <f>SUM(H36+H41+H42+H43+H44+H46+H47)</f>
        <v>0</v>
      </c>
      <c r="I35" s="698">
        <f>SUM(I36+I41+I42+I43+I44+I46+I47)</f>
        <v>140960199</v>
      </c>
    </row>
    <row r="36" spans="1:9" ht="12.75" hidden="1">
      <c r="A36" s="706"/>
      <c r="B36" s="706"/>
      <c r="C36" s="706" t="s">
        <v>50</v>
      </c>
      <c r="D36" s="706" t="s">
        <v>51</v>
      </c>
      <c r="E36" s="706"/>
      <c r="F36" s="707">
        <f>SUM(F37:F40)</f>
        <v>39392000</v>
      </c>
      <c r="G36" s="707">
        <f>SUM(G37:G40)</f>
        <v>2400000</v>
      </c>
      <c r="H36" s="707">
        <f>SUM(H37:H40)</f>
        <v>0</v>
      </c>
      <c r="I36" s="709">
        <f>SUM(F36:H36)</f>
        <v>41792000</v>
      </c>
    </row>
    <row r="37" spans="1:9" ht="12.75" hidden="1">
      <c r="A37" s="700"/>
      <c r="B37" s="700"/>
      <c r="C37" s="700"/>
      <c r="D37" s="708" t="s">
        <v>18</v>
      </c>
      <c r="E37" s="708" t="s">
        <v>52</v>
      </c>
      <c r="F37" s="701">
        <f>20600000+7000+10000+5000+4000+5000+500000+220000</f>
        <v>21351000</v>
      </c>
      <c r="G37" s="701">
        <v>935000</v>
      </c>
      <c r="H37" s="701"/>
      <c r="I37" s="709">
        <f aca="true" t="shared" si="2" ref="I37:I48">SUM(F37:H37)</f>
        <v>22286000</v>
      </c>
    </row>
    <row r="38" spans="1:9" ht="12.75" hidden="1">
      <c r="A38" s="700"/>
      <c r="B38" s="700"/>
      <c r="C38" s="700"/>
      <c r="D38" s="708"/>
      <c r="E38" s="708" t="s">
        <v>53</v>
      </c>
      <c r="F38" s="701">
        <f>14615000+60000+94000+4000+1000+45000+32000+43000-39000+500000</f>
        <v>15355000</v>
      </c>
      <c r="G38" s="701">
        <v>1265000</v>
      </c>
      <c r="H38" s="701"/>
      <c r="I38" s="709">
        <f t="shared" si="2"/>
        <v>16620000</v>
      </c>
    </row>
    <row r="39" spans="1:9" ht="12.75" hidden="1">
      <c r="A39" s="700"/>
      <c r="B39" s="700"/>
      <c r="C39" s="700"/>
      <c r="D39" s="708"/>
      <c r="E39" s="708" t="s">
        <v>54</v>
      </c>
      <c r="F39" s="701">
        <f>300000+6000+10000+1000+5000+3000+5000</f>
        <v>330000</v>
      </c>
      <c r="G39" s="701"/>
      <c r="H39" s="701"/>
      <c r="I39" s="709">
        <f t="shared" si="2"/>
        <v>330000</v>
      </c>
    </row>
    <row r="40" spans="1:9" ht="12.75" hidden="1">
      <c r="A40" s="700"/>
      <c r="B40" s="700"/>
      <c r="C40" s="700"/>
      <c r="D40" s="708"/>
      <c r="E40" s="708" t="s">
        <v>55</v>
      </c>
      <c r="F40" s="701">
        <v>2356000</v>
      </c>
      <c r="G40" s="701">
        <v>200000</v>
      </c>
      <c r="H40" s="701"/>
      <c r="I40" s="709">
        <f t="shared" si="2"/>
        <v>2556000</v>
      </c>
    </row>
    <row r="41" spans="1:9" ht="12.75" hidden="1">
      <c r="A41" s="706"/>
      <c r="B41" s="706"/>
      <c r="C41" s="706" t="s">
        <v>56</v>
      </c>
      <c r="D41" s="706" t="s">
        <v>57</v>
      </c>
      <c r="E41" s="706"/>
      <c r="F41" s="707">
        <v>260000</v>
      </c>
      <c r="G41" s="707"/>
      <c r="H41" s="707"/>
      <c r="I41" s="709">
        <f t="shared" si="2"/>
        <v>260000</v>
      </c>
    </row>
    <row r="42" spans="1:9" ht="12.75" hidden="1">
      <c r="A42" s="706"/>
      <c r="B42" s="706"/>
      <c r="C42" s="706" t="s">
        <v>58</v>
      </c>
      <c r="D42" s="706" t="s">
        <v>59</v>
      </c>
      <c r="E42" s="706"/>
      <c r="F42" s="707">
        <f>917000+949000+100000+100000</f>
        <v>2066000</v>
      </c>
      <c r="G42" s="707">
        <f>1243000-150000</f>
        <v>1093000</v>
      </c>
      <c r="H42" s="707"/>
      <c r="I42" s="709">
        <f t="shared" si="2"/>
        <v>3159000</v>
      </c>
    </row>
    <row r="43" spans="1:9" ht="12.75" hidden="1">
      <c r="A43" s="706"/>
      <c r="B43" s="706"/>
      <c r="C43" s="706" t="s">
        <v>60</v>
      </c>
      <c r="D43" s="706" t="s">
        <v>61</v>
      </c>
      <c r="E43" s="706"/>
      <c r="F43" s="707">
        <f>4254000-29000-120000-1000000</f>
        <v>3105000</v>
      </c>
      <c r="G43" s="707">
        <v>355000</v>
      </c>
      <c r="H43" s="707"/>
      <c r="I43" s="709">
        <f t="shared" si="2"/>
        <v>3460000</v>
      </c>
    </row>
    <row r="44" spans="1:9" ht="12.75" hidden="1">
      <c r="A44" s="706"/>
      <c r="B44" s="706"/>
      <c r="C44" s="706" t="s">
        <v>62</v>
      </c>
      <c r="D44" s="706" t="s">
        <v>63</v>
      </c>
      <c r="E44" s="706"/>
      <c r="F44" s="707">
        <f>2852000+49000+37000+215000+99040</f>
        <v>3252040</v>
      </c>
      <c r="G44" s="707">
        <v>5239000</v>
      </c>
      <c r="H44" s="707">
        <v>0</v>
      </c>
      <c r="I44" s="709">
        <f t="shared" si="2"/>
        <v>8491040</v>
      </c>
    </row>
    <row r="45" spans="1:9" ht="12.75" hidden="1">
      <c r="A45" s="700"/>
      <c r="B45" s="700"/>
      <c r="C45" s="700"/>
      <c r="D45" s="708" t="s">
        <v>18</v>
      </c>
      <c r="E45" s="708" t="s">
        <v>64</v>
      </c>
      <c r="F45" s="705">
        <f>2499000+215000</f>
        <v>2714000</v>
      </c>
      <c r="G45" s="705">
        <v>3031000</v>
      </c>
      <c r="H45" s="701">
        <v>0</v>
      </c>
      <c r="I45" s="709">
        <f t="shared" si="2"/>
        <v>5745000</v>
      </c>
    </row>
    <row r="46" spans="1:9" ht="12.75" hidden="1">
      <c r="A46" s="706"/>
      <c r="B46" s="706"/>
      <c r="C46" s="706" t="s">
        <v>65</v>
      </c>
      <c r="D46" s="706" t="s">
        <v>66</v>
      </c>
      <c r="E46" s="706"/>
      <c r="F46" s="707">
        <f>14840000+2980000+252000+943000+17000+21000-200000-1500000</f>
        <v>17353000</v>
      </c>
      <c r="G46" s="707">
        <f>431000+8466</f>
        <v>439466</v>
      </c>
      <c r="H46" s="707"/>
      <c r="I46" s="709">
        <f t="shared" si="2"/>
        <v>17792466</v>
      </c>
    </row>
    <row r="47" spans="1:9" ht="12.75" hidden="1">
      <c r="A47" s="706"/>
      <c r="B47" s="706"/>
      <c r="C47" s="706" t="s">
        <v>67</v>
      </c>
      <c r="D47" s="706" t="s">
        <v>68</v>
      </c>
      <c r="E47" s="706"/>
      <c r="F47" s="707">
        <f>62567000-1500000-118000-276000+50000+1177000+165000+2000+20000+165000+10000+15000+1000+7000+5000+7000+981000+15000+587000-250000-787000</f>
        <v>62843000</v>
      </c>
      <c r="G47" s="707">
        <f>3586000+56693-200000-280000</f>
        <v>3162693</v>
      </c>
      <c r="H47" s="707"/>
      <c r="I47" s="709">
        <f t="shared" si="2"/>
        <v>66005693</v>
      </c>
    </row>
    <row r="48" spans="1:9" ht="12.75" hidden="1">
      <c r="A48" s="700"/>
      <c r="B48" s="700"/>
      <c r="C48" s="700"/>
      <c r="D48" s="708" t="s">
        <v>18</v>
      </c>
      <c r="E48" s="708" t="s">
        <v>19</v>
      </c>
      <c r="F48" s="705">
        <v>2876000</v>
      </c>
      <c r="G48" s="705"/>
      <c r="H48" s="701"/>
      <c r="I48" s="709">
        <f t="shared" si="2"/>
        <v>2876000</v>
      </c>
    </row>
    <row r="49" spans="1:9" ht="12.75" hidden="1">
      <c r="A49" s="697"/>
      <c r="B49" s="697" t="s">
        <v>69</v>
      </c>
      <c r="C49" s="820" t="s">
        <v>70</v>
      </c>
      <c r="D49" s="820"/>
      <c r="E49" s="820"/>
      <c r="F49" s="698">
        <f>SUM(F50:F51)</f>
        <v>1706000</v>
      </c>
      <c r="G49" s="698">
        <f>SUM(G50:G51)</f>
        <v>300000</v>
      </c>
      <c r="H49" s="698">
        <f>SUM(H50:H51)</f>
        <v>0</v>
      </c>
      <c r="I49" s="698">
        <f>SUM(I50:I51)</f>
        <v>2006000</v>
      </c>
    </row>
    <row r="50" spans="1:9" ht="12.75" hidden="1">
      <c r="A50" s="706"/>
      <c r="B50" s="706"/>
      <c r="C50" s="706" t="s">
        <v>71</v>
      </c>
      <c r="D50" s="706" t="s">
        <v>72</v>
      </c>
      <c r="E50" s="706"/>
      <c r="F50" s="707">
        <f>1065000+20000+95000+400000</f>
        <v>1580000</v>
      </c>
      <c r="G50" s="707">
        <v>300000</v>
      </c>
      <c r="H50" s="707"/>
      <c r="I50" s="709">
        <f>SUM(F50:H50)</f>
        <v>1880000</v>
      </c>
    </row>
    <row r="51" spans="1:9" ht="12.75" hidden="1">
      <c r="A51" s="706"/>
      <c r="B51" s="706"/>
      <c r="C51" s="706" t="s">
        <v>73</v>
      </c>
      <c r="D51" s="706" t="s">
        <v>74</v>
      </c>
      <c r="E51" s="706"/>
      <c r="F51" s="707">
        <f>78000+48000</f>
        <v>126000</v>
      </c>
      <c r="G51" s="707"/>
      <c r="H51" s="707"/>
      <c r="I51" s="709">
        <f>SUM(F51:H51)</f>
        <v>126000</v>
      </c>
    </row>
    <row r="52" spans="1:9" ht="12.75" hidden="1">
      <c r="A52" s="697"/>
      <c r="B52" s="697" t="s">
        <v>75</v>
      </c>
      <c r="C52" s="820" t="s">
        <v>76</v>
      </c>
      <c r="D52" s="820"/>
      <c r="E52" s="820"/>
      <c r="F52" s="712">
        <f>SUM(F53:F55)</f>
        <v>45708184</v>
      </c>
      <c r="G52" s="712">
        <f>SUM(G53:G55)</f>
        <v>3593705</v>
      </c>
      <c r="H52" s="712">
        <f>SUM(H53:H55)</f>
        <v>0</v>
      </c>
      <c r="I52" s="712">
        <f>SUM(I53:I55)</f>
        <v>49301889</v>
      </c>
    </row>
    <row r="53" spans="1:9" ht="12.75" hidden="1">
      <c r="A53" s="706"/>
      <c r="B53" s="706"/>
      <c r="C53" s="706" t="s">
        <v>77</v>
      </c>
      <c r="D53" s="706" t="s">
        <v>78</v>
      </c>
      <c r="E53" s="706"/>
      <c r="F53" s="707">
        <f>41424000-32000-74000-27000+14000+1259000+68000+9000-24000-8000-3000+7000+45000+79000+123000+6000+2000+58000+41000+56000+21000+256000+26000+319000+213000-9000-4000-11000-33000-213000-459000-108000-3000+59000+26741</f>
        <v>43103741</v>
      </c>
      <c r="G53" s="707">
        <f>3542000+56705-216000</f>
        <v>3382705</v>
      </c>
      <c r="H53" s="707"/>
      <c r="I53" s="709">
        <f>SUM(F53:H53)</f>
        <v>46486446</v>
      </c>
    </row>
    <row r="54" spans="1:9" ht="12.75" hidden="1">
      <c r="A54" s="706"/>
      <c r="B54" s="706"/>
      <c r="C54" s="706" t="s">
        <v>79</v>
      </c>
      <c r="D54" s="706" t="s">
        <v>80</v>
      </c>
      <c r="E54" s="706"/>
      <c r="F54" s="707">
        <f>334000+1276000-1610000</f>
        <v>0</v>
      </c>
      <c r="G54" s="707">
        <v>1000</v>
      </c>
      <c r="H54" s="707"/>
      <c r="I54" s="709">
        <f>SUM(F54:H54)</f>
        <v>1000</v>
      </c>
    </row>
    <row r="55" spans="1:9" ht="12.75" hidden="1">
      <c r="A55" s="706"/>
      <c r="B55" s="706"/>
      <c r="C55" s="706" t="s">
        <v>81</v>
      </c>
      <c r="D55" s="706" t="s">
        <v>82</v>
      </c>
      <c r="E55" s="706"/>
      <c r="F55" s="707">
        <f>2603000-10000-100000+50000+46443+7000+52000+24000-68000+19000-19000</f>
        <v>2604443</v>
      </c>
      <c r="G55" s="707">
        <v>210000</v>
      </c>
      <c r="H55" s="707"/>
      <c r="I55" s="709">
        <f>SUM(F55:H55)</f>
        <v>2814443</v>
      </c>
    </row>
    <row r="56" spans="1:9" s="696" customFormat="1" ht="12.75">
      <c r="A56" s="694" t="s">
        <v>83</v>
      </c>
      <c r="B56" s="829" t="s">
        <v>84</v>
      </c>
      <c r="C56" s="829"/>
      <c r="D56" s="829"/>
      <c r="E56" s="829"/>
      <c r="F56" s="695">
        <f>SUM(F70+F69+F67+F62+F61+F58+F57)</f>
        <v>3140400</v>
      </c>
      <c r="G56" s="695">
        <f>SUM(G70+G69+G67+G62+G61+G58+G57)</f>
        <v>12329000</v>
      </c>
      <c r="H56" s="695">
        <f>SUM(H70+H69+H67+H62+H61+H58+H57)</f>
        <v>0</v>
      </c>
      <c r="I56" s="695">
        <f>SUM(I70+I69+I67+I62+I61+I58+I57)</f>
        <v>15469400</v>
      </c>
    </row>
    <row r="57" spans="1:9" ht="12.75">
      <c r="A57" s="697"/>
      <c r="B57" s="697" t="s">
        <v>85</v>
      </c>
      <c r="C57" s="840" t="s">
        <v>86</v>
      </c>
      <c r="D57" s="841"/>
      <c r="E57" s="842"/>
      <c r="F57" s="698">
        <v>0</v>
      </c>
      <c r="G57" s="698">
        <v>0</v>
      </c>
      <c r="H57" s="698">
        <v>0</v>
      </c>
      <c r="I57" s="699">
        <f>SUM(F57:H57)</f>
        <v>0</v>
      </c>
    </row>
    <row r="58" spans="1:9" ht="12.75">
      <c r="A58" s="697"/>
      <c r="B58" s="697" t="s">
        <v>87</v>
      </c>
      <c r="C58" s="820" t="s">
        <v>88</v>
      </c>
      <c r="D58" s="820"/>
      <c r="E58" s="820"/>
      <c r="F58" s="698">
        <f>SUM(F59:F60)</f>
        <v>0</v>
      </c>
      <c r="G58" s="698">
        <f>SUM(G59:G60)</f>
        <v>12276000</v>
      </c>
      <c r="H58" s="698">
        <f>SUM(H59:H60)</f>
        <v>0</v>
      </c>
      <c r="I58" s="699">
        <f aca="true" t="shared" si="3" ref="I58:I72">SUM(F58:H58)</f>
        <v>12276000</v>
      </c>
    </row>
    <row r="59" spans="1:9" ht="12.75">
      <c r="A59" s="706"/>
      <c r="B59" s="706"/>
      <c r="C59" s="706"/>
      <c r="D59" s="838" t="s">
        <v>89</v>
      </c>
      <c r="E59" s="839"/>
      <c r="F59" s="707"/>
      <c r="G59" s="707">
        <v>12000000</v>
      </c>
      <c r="H59" s="707">
        <v>0</v>
      </c>
      <c r="I59" s="699">
        <f t="shared" si="3"/>
        <v>12000000</v>
      </c>
    </row>
    <row r="60" spans="1:9" ht="22.5" customHeight="1">
      <c r="A60" s="706"/>
      <c r="B60" s="706"/>
      <c r="C60" s="706"/>
      <c r="D60" s="836" t="s">
        <v>90</v>
      </c>
      <c r="E60" s="837"/>
      <c r="F60" s="707"/>
      <c r="G60" s="707">
        <v>276000</v>
      </c>
      <c r="H60" s="707">
        <v>0</v>
      </c>
      <c r="I60" s="699">
        <f t="shared" si="3"/>
        <v>276000</v>
      </c>
    </row>
    <row r="61" spans="1:9" ht="12.75">
      <c r="A61" s="697"/>
      <c r="B61" s="697" t="s">
        <v>252</v>
      </c>
      <c r="C61" s="820" t="s">
        <v>253</v>
      </c>
      <c r="D61" s="820"/>
      <c r="E61" s="820"/>
      <c r="F61" s="698">
        <v>0</v>
      </c>
      <c r="G61" s="698">
        <v>0</v>
      </c>
      <c r="H61" s="698">
        <v>0</v>
      </c>
      <c r="I61" s="699">
        <f t="shared" si="3"/>
        <v>0</v>
      </c>
    </row>
    <row r="62" spans="1:9" ht="12" customHeight="1">
      <c r="A62" s="697"/>
      <c r="B62" s="697" t="s">
        <v>254</v>
      </c>
      <c r="C62" s="840" t="s">
        <v>255</v>
      </c>
      <c r="D62" s="841"/>
      <c r="E62" s="842"/>
      <c r="F62" s="698">
        <f>SUM(F63:F64)</f>
        <v>0</v>
      </c>
      <c r="G62" s="698">
        <f>SUM(G63:G64)</f>
        <v>0</v>
      </c>
      <c r="H62" s="698">
        <f>SUM(H63:H64)</f>
        <v>0</v>
      </c>
      <c r="I62" s="699">
        <f t="shared" si="3"/>
        <v>0</v>
      </c>
    </row>
    <row r="63" spans="1:9" ht="21.75" customHeight="1">
      <c r="A63" s="706"/>
      <c r="B63" s="706"/>
      <c r="C63" s="706"/>
      <c r="D63" s="836" t="s">
        <v>256</v>
      </c>
      <c r="E63" s="837"/>
      <c r="F63" s="707">
        <v>0</v>
      </c>
      <c r="G63" s="707">
        <v>0</v>
      </c>
      <c r="H63" s="707">
        <v>0</v>
      </c>
      <c r="I63" s="699">
        <f t="shared" si="3"/>
        <v>0</v>
      </c>
    </row>
    <row r="64" spans="1:9" ht="12.75">
      <c r="A64" s="706"/>
      <c r="B64" s="706"/>
      <c r="C64" s="706"/>
      <c r="D64" s="838" t="s">
        <v>257</v>
      </c>
      <c r="E64" s="839"/>
      <c r="F64" s="707">
        <v>0</v>
      </c>
      <c r="G64" s="707">
        <v>0</v>
      </c>
      <c r="H64" s="707">
        <v>0</v>
      </c>
      <c r="I64" s="699">
        <f t="shared" si="3"/>
        <v>0</v>
      </c>
    </row>
    <row r="65" spans="1:9" ht="13.5" customHeight="1">
      <c r="A65" s="706"/>
      <c r="B65" s="706" t="s">
        <v>258</v>
      </c>
      <c r="C65" s="706" t="s">
        <v>259</v>
      </c>
      <c r="D65" s="713"/>
      <c r="E65" s="714"/>
      <c r="F65" s="707">
        <v>0</v>
      </c>
      <c r="G65" s="707">
        <v>0</v>
      </c>
      <c r="H65" s="707">
        <v>0</v>
      </c>
      <c r="I65" s="699">
        <f t="shared" si="3"/>
        <v>0</v>
      </c>
    </row>
    <row r="66" spans="1:9" ht="12.75">
      <c r="A66" s="706"/>
      <c r="B66" s="706"/>
      <c r="C66" s="706"/>
      <c r="D66" s="838" t="s">
        <v>260</v>
      </c>
      <c r="E66" s="839"/>
      <c r="F66" s="707">
        <v>0</v>
      </c>
      <c r="G66" s="707"/>
      <c r="H66" s="707">
        <v>0</v>
      </c>
      <c r="I66" s="699">
        <f t="shared" si="3"/>
        <v>0</v>
      </c>
    </row>
    <row r="67" spans="1:9" ht="12.75">
      <c r="A67" s="697"/>
      <c r="B67" s="697" t="s">
        <v>261</v>
      </c>
      <c r="C67" s="840" t="s">
        <v>262</v>
      </c>
      <c r="D67" s="841"/>
      <c r="E67" s="842"/>
      <c r="F67" s="698">
        <f>SUM(F68)</f>
        <v>0</v>
      </c>
      <c r="G67" s="698">
        <f>SUM(G68)</f>
        <v>53000</v>
      </c>
      <c r="H67" s="698">
        <f>SUM(H68)</f>
        <v>0</v>
      </c>
      <c r="I67" s="699">
        <f t="shared" si="3"/>
        <v>53000</v>
      </c>
    </row>
    <row r="68" spans="1:9" ht="12.75">
      <c r="A68" s="706"/>
      <c r="B68" s="706"/>
      <c r="C68" s="706"/>
      <c r="D68" s="838" t="s">
        <v>263</v>
      </c>
      <c r="E68" s="839"/>
      <c r="F68" s="707">
        <v>0</v>
      </c>
      <c r="G68" s="707">
        <v>53000</v>
      </c>
      <c r="H68" s="707">
        <v>0</v>
      </c>
      <c r="I68" s="699">
        <f t="shared" si="3"/>
        <v>53000</v>
      </c>
    </row>
    <row r="69" spans="1:9" ht="12.75">
      <c r="A69" s="697"/>
      <c r="B69" s="697" t="s">
        <v>264</v>
      </c>
      <c r="C69" s="820" t="s">
        <v>91</v>
      </c>
      <c r="D69" s="820"/>
      <c r="E69" s="820"/>
      <c r="F69" s="698">
        <v>0</v>
      </c>
      <c r="G69" s="698">
        <v>0</v>
      </c>
      <c r="H69" s="698">
        <v>0</v>
      </c>
      <c r="I69" s="699">
        <f t="shared" si="3"/>
        <v>0</v>
      </c>
    </row>
    <row r="70" spans="1:9" ht="12.75">
      <c r="A70" s="697"/>
      <c r="B70" s="697" t="s">
        <v>265</v>
      </c>
      <c r="C70" s="840" t="s">
        <v>266</v>
      </c>
      <c r="D70" s="841"/>
      <c r="E70" s="842"/>
      <c r="F70" s="698">
        <f>SUM(F71:F72)</f>
        <v>3140400</v>
      </c>
      <c r="G70" s="698">
        <f>SUM(G71:G72)</f>
        <v>0</v>
      </c>
      <c r="H70" s="698">
        <f>SUM(H71:H72)</f>
        <v>0</v>
      </c>
      <c r="I70" s="699">
        <f t="shared" si="3"/>
        <v>3140400</v>
      </c>
    </row>
    <row r="71" spans="1:9" ht="12.75">
      <c r="A71" s="706"/>
      <c r="B71" s="706"/>
      <c r="C71" s="706"/>
      <c r="D71" s="838" t="s">
        <v>902</v>
      </c>
      <c r="E71" s="839"/>
      <c r="F71" s="707">
        <v>1500000</v>
      </c>
      <c r="G71" s="707">
        <v>0</v>
      </c>
      <c r="H71" s="707">
        <v>0</v>
      </c>
      <c r="I71" s="699">
        <f t="shared" si="3"/>
        <v>1500000</v>
      </c>
    </row>
    <row r="72" spans="1:9" s="696" customFormat="1" ht="12.75">
      <c r="A72" s="706"/>
      <c r="B72" s="706"/>
      <c r="C72" s="706"/>
      <c r="D72" s="838" t="s">
        <v>901</v>
      </c>
      <c r="E72" s="839"/>
      <c r="F72" s="707">
        <f>3006000+49000-1414600</f>
        <v>1640400</v>
      </c>
      <c r="G72" s="707">
        <v>0</v>
      </c>
      <c r="H72" s="707">
        <v>0</v>
      </c>
      <c r="I72" s="699">
        <f t="shared" si="3"/>
        <v>1640400</v>
      </c>
    </row>
    <row r="73" spans="1:9" ht="12" customHeight="1">
      <c r="A73" s="694" t="s">
        <v>267</v>
      </c>
      <c r="B73" s="824" t="s">
        <v>268</v>
      </c>
      <c r="C73" s="825"/>
      <c r="D73" s="825"/>
      <c r="E73" s="826"/>
      <c r="F73" s="695">
        <f>SUM(F106+F95+F93+F92+F91+F90+F79+F78+F77+F76+F74+F75)</f>
        <v>267220380</v>
      </c>
      <c r="G73" s="695">
        <f>SUM(G106+G95+G93+G92+G91+G90+G79+G78+G77+G76+G74+G75)</f>
        <v>689756</v>
      </c>
      <c r="H73" s="695">
        <f>SUM(H106+H95+H93+H92+H91+H90+H79+H78+H77+H76+H74+H75)</f>
        <v>39172</v>
      </c>
      <c r="I73" s="695">
        <f>SUM(F73:H73)</f>
        <v>267949308</v>
      </c>
    </row>
    <row r="74" spans="1:9" ht="12.75" hidden="1">
      <c r="A74" s="706"/>
      <c r="B74" s="706"/>
      <c r="C74" s="706" t="s">
        <v>269</v>
      </c>
      <c r="D74" s="706" t="s">
        <v>270</v>
      </c>
      <c r="E74" s="706"/>
      <c r="F74" s="707">
        <v>0</v>
      </c>
      <c r="G74" s="707">
        <v>0</v>
      </c>
      <c r="H74" s="707">
        <v>0</v>
      </c>
      <c r="I74" s="709">
        <f>SUM(F74:H74)</f>
        <v>0</v>
      </c>
    </row>
    <row r="75" spans="1:9" ht="12.75">
      <c r="A75" s="706"/>
      <c r="B75" s="706"/>
      <c r="C75" s="706" t="s">
        <v>271</v>
      </c>
      <c r="D75" s="706" t="s">
        <v>272</v>
      </c>
      <c r="E75" s="706"/>
      <c r="F75" s="707">
        <f>25143529+467520</f>
        <v>25611049</v>
      </c>
      <c r="G75" s="707">
        <v>689756</v>
      </c>
      <c r="H75" s="707">
        <v>39172</v>
      </c>
      <c r="I75" s="709">
        <f aca="true" t="shared" si="4" ref="I75:I115">SUM(F75:H75)</f>
        <v>26339977</v>
      </c>
    </row>
    <row r="76" spans="1:9" ht="12.75" hidden="1">
      <c r="A76" s="706"/>
      <c r="B76" s="706"/>
      <c r="C76" s="706" t="s">
        <v>273</v>
      </c>
      <c r="D76" s="827" t="s">
        <v>274</v>
      </c>
      <c r="E76" s="828"/>
      <c r="F76" s="707">
        <v>0</v>
      </c>
      <c r="G76" s="707">
        <v>0</v>
      </c>
      <c r="H76" s="707">
        <v>0</v>
      </c>
      <c r="I76" s="709">
        <f t="shared" si="4"/>
        <v>0</v>
      </c>
    </row>
    <row r="77" spans="1:9" ht="12.75" hidden="1">
      <c r="A77" s="706"/>
      <c r="B77" s="706"/>
      <c r="C77" s="706" t="s">
        <v>275</v>
      </c>
      <c r="D77" s="827" t="s">
        <v>276</v>
      </c>
      <c r="E77" s="828"/>
      <c r="F77" s="707">
        <v>0</v>
      </c>
      <c r="G77" s="707">
        <v>0</v>
      </c>
      <c r="H77" s="707">
        <v>0</v>
      </c>
      <c r="I77" s="709">
        <f t="shared" si="4"/>
        <v>0</v>
      </c>
    </row>
    <row r="78" spans="1:9" ht="12.75" hidden="1">
      <c r="A78" s="706"/>
      <c r="B78" s="706"/>
      <c r="C78" s="706" t="s">
        <v>297</v>
      </c>
      <c r="D78" s="827" t="s">
        <v>298</v>
      </c>
      <c r="E78" s="828"/>
      <c r="F78" s="707">
        <v>0</v>
      </c>
      <c r="G78" s="707">
        <v>0</v>
      </c>
      <c r="H78" s="707">
        <v>0</v>
      </c>
      <c r="I78" s="709">
        <f t="shared" si="4"/>
        <v>0</v>
      </c>
    </row>
    <row r="79" spans="1:9" ht="12.75">
      <c r="A79" s="706"/>
      <c r="B79" s="706"/>
      <c r="C79" s="706" t="s">
        <v>299</v>
      </c>
      <c r="D79" s="827" t="s">
        <v>300</v>
      </c>
      <c r="E79" s="828"/>
      <c r="F79" s="707">
        <f>SUM(F80:F89)</f>
        <v>4440000</v>
      </c>
      <c r="G79" s="707">
        <f>SUM(G80:G89)</f>
        <v>0</v>
      </c>
      <c r="H79" s="707">
        <f>SUM(H80:H89)</f>
        <v>0</v>
      </c>
      <c r="I79" s="709">
        <f t="shared" si="4"/>
        <v>4440000</v>
      </c>
    </row>
    <row r="80" spans="1:9" ht="12.75" hidden="1">
      <c r="A80" s="715"/>
      <c r="B80" s="715"/>
      <c r="C80" s="708" t="s">
        <v>18</v>
      </c>
      <c r="D80" s="708" t="s">
        <v>277</v>
      </c>
      <c r="E80" s="708" t="s">
        <v>278</v>
      </c>
      <c r="F80" s="716">
        <v>0</v>
      </c>
      <c r="G80" s="716">
        <v>0</v>
      </c>
      <c r="H80" s="716">
        <v>0</v>
      </c>
      <c r="I80" s="709">
        <f t="shared" si="4"/>
        <v>0</v>
      </c>
    </row>
    <row r="81" spans="1:9" ht="12.75" hidden="1">
      <c r="A81" s="715"/>
      <c r="B81" s="715"/>
      <c r="C81" s="708"/>
      <c r="D81" s="708" t="s">
        <v>279</v>
      </c>
      <c r="E81" s="708" t="s">
        <v>280</v>
      </c>
      <c r="F81" s="716">
        <v>0</v>
      </c>
      <c r="G81" s="716">
        <v>0</v>
      </c>
      <c r="H81" s="716">
        <v>0</v>
      </c>
      <c r="I81" s="709">
        <f t="shared" si="4"/>
        <v>0</v>
      </c>
    </row>
    <row r="82" spans="1:9" ht="12.75" hidden="1">
      <c r="A82" s="715"/>
      <c r="B82" s="715"/>
      <c r="C82" s="708"/>
      <c r="D82" s="708" t="s">
        <v>281</v>
      </c>
      <c r="E82" s="708" t="s">
        <v>282</v>
      </c>
      <c r="F82" s="716">
        <v>0</v>
      </c>
      <c r="G82" s="716">
        <v>0</v>
      </c>
      <c r="H82" s="716">
        <v>0</v>
      </c>
      <c r="I82" s="709">
        <f t="shared" si="4"/>
        <v>0</v>
      </c>
    </row>
    <row r="83" spans="1:9" ht="12.75" hidden="1">
      <c r="A83" s="715"/>
      <c r="B83" s="715"/>
      <c r="C83" s="708"/>
      <c r="D83" s="708" t="s">
        <v>283</v>
      </c>
      <c r="E83" s="708" t="s">
        <v>284</v>
      </c>
      <c r="F83" s="716">
        <v>0</v>
      </c>
      <c r="G83" s="716">
        <v>0</v>
      </c>
      <c r="H83" s="716">
        <v>0</v>
      </c>
      <c r="I83" s="709">
        <f t="shared" si="4"/>
        <v>0</v>
      </c>
    </row>
    <row r="84" spans="1:9" ht="12.75" hidden="1">
      <c r="A84" s="715"/>
      <c r="B84" s="715"/>
      <c r="C84" s="708"/>
      <c r="D84" s="708" t="s">
        <v>285</v>
      </c>
      <c r="E84" s="708" t="s">
        <v>286</v>
      </c>
      <c r="F84" s="716">
        <v>0</v>
      </c>
      <c r="G84" s="716">
        <v>0</v>
      </c>
      <c r="H84" s="716">
        <v>0</v>
      </c>
      <c r="I84" s="709">
        <f t="shared" si="4"/>
        <v>0</v>
      </c>
    </row>
    <row r="85" spans="1:9" ht="12.75" hidden="1">
      <c r="A85" s="715"/>
      <c r="B85" s="715"/>
      <c r="C85" s="708"/>
      <c r="D85" s="708" t="s">
        <v>287</v>
      </c>
      <c r="E85" s="708" t="s">
        <v>288</v>
      </c>
      <c r="F85" s="716">
        <v>0</v>
      </c>
      <c r="G85" s="716">
        <v>0</v>
      </c>
      <c r="H85" s="716">
        <v>0</v>
      </c>
      <c r="I85" s="709">
        <f t="shared" si="4"/>
        <v>0</v>
      </c>
    </row>
    <row r="86" spans="1:9" ht="12.75" hidden="1">
      <c r="A86" s="715"/>
      <c r="B86" s="715"/>
      <c r="C86" s="708"/>
      <c r="D86" s="708" t="s">
        <v>289</v>
      </c>
      <c r="E86" s="708" t="s">
        <v>290</v>
      </c>
      <c r="F86" s="716">
        <v>250000</v>
      </c>
      <c r="G86" s="716">
        <v>0</v>
      </c>
      <c r="H86" s="716">
        <v>0</v>
      </c>
      <c r="I86" s="709">
        <f t="shared" si="4"/>
        <v>250000</v>
      </c>
    </row>
    <row r="87" spans="1:9" ht="12.75" hidden="1">
      <c r="A87" s="715"/>
      <c r="B87" s="715"/>
      <c r="C87" s="708"/>
      <c r="D87" s="708" t="s">
        <v>291</v>
      </c>
      <c r="E87" s="708" t="s">
        <v>292</v>
      </c>
      <c r="F87" s="716">
        <f>687000+73000+3430000</f>
        <v>4190000</v>
      </c>
      <c r="G87" s="716">
        <v>0</v>
      </c>
      <c r="H87" s="716">
        <v>0</v>
      </c>
      <c r="I87" s="709">
        <f t="shared" si="4"/>
        <v>4190000</v>
      </c>
    </row>
    <row r="88" spans="1:9" ht="12.75" hidden="1">
      <c r="A88" s="715"/>
      <c r="B88" s="715"/>
      <c r="C88" s="708"/>
      <c r="D88" s="708" t="s">
        <v>293</v>
      </c>
      <c r="E88" s="708" t="s">
        <v>294</v>
      </c>
      <c r="F88" s="716">
        <v>0</v>
      </c>
      <c r="G88" s="716">
        <v>0</v>
      </c>
      <c r="H88" s="716">
        <v>0</v>
      </c>
      <c r="I88" s="709">
        <f t="shared" si="4"/>
        <v>0</v>
      </c>
    </row>
    <row r="89" spans="1:9" ht="12.75" hidden="1">
      <c r="A89" s="715"/>
      <c r="B89" s="715"/>
      <c r="C89" s="708"/>
      <c r="D89" s="708" t="s">
        <v>295</v>
      </c>
      <c r="E89" s="708" t="s">
        <v>296</v>
      </c>
      <c r="F89" s="716">
        <v>0</v>
      </c>
      <c r="G89" s="716">
        <v>0</v>
      </c>
      <c r="H89" s="716">
        <v>0</v>
      </c>
      <c r="I89" s="709">
        <f t="shared" si="4"/>
        <v>0</v>
      </c>
    </row>
    <row r="90" spans="1:9" ht="12.75" hidden="1">
      <c r="A90" s="706"/>
      <c r="B90" s="706"/>
      <c r="C90" s="706" t="s">
        <v>301</v>
      </c>
      <c r="D90" s="827" t="s">
        <v>302</v>
      </c>
      <c r="E90" s="828"/>
      <c r="F90" s="707">
        <v>0</v>
      </c>
      <c r="G90" s="707">
        <v>0</v>
      </c>
      <c r="H90" s="707">
        <v>0</v>
      </c>
      <c r="I90" s="709">
        <f t="shared" si="4"/>
        <v>0</v>
      </c>
    </row>
    <row r="91" spans="1:9" ht="12.75" hidden="1">
      <c r="A91" s="706"/>
      <c r="B91" s="706"/>
      <c r="C91" s="706" t="s">
        <v>303</v>
      </c>
      <c r="D91" s="827" t="s">
        <v>779</v>
      </c>
      <c r="E91" s="828"/>
      <c r="F91" s="707"/>
      <c r="G91" s="707">
        <v>0</v>
      </c>
      <c r="H91" s="707">
        <v>0</v>
      </c>
      <c r="I91" s="709">
        <f t="shared" si="4"/>
        <v>0</v>
      </c>
    </row>
    <row r="92" spans="1:9" ht="12.75" hidden="1">
      <c r="A92" s="706"/>
      <c r="B92" s="706"/>
      <c r="C92" s="706" t="s">
        <v>314</v>
      </c>
      <c r="D92" s="827" t="s">
        <v>315</v>
      </c>
      <c r="E92" s="828"/>
      <c r="F92" s="707">
        <v>0</v>
      </c>
      <c r="G92" s="707">
        <v>0</v>
      </c>
      <c r="H92" s="707">
        <v>0</v>
      </c>
      <c r="I92" s="709">
        <f t="shared" si="4"/>
        <v>0</v>
      </c>
    </row>
    <row r="93" spans="1:9" ht="12.75" hidden="1">
      <c r="A93" s="706"/>
      <c r="B93" s="706"/>
      <c r="C93" s="706" t="s">
        <v>316</v>
      </c>
      <c r="D93" s="827" t="s">
        <v>317</v>
      </c>
      <c r="E93" s="828"/>
      <c r="F93" s="707">
        <v>0</v>
      </c>
      <c r="G93" s="707">
        <v>0</v>
      </c>
      <c r="H93" s="707">
        <v>0</v>
      </c>
      <c r="I93" s="709">
        <f t="shared" si="4"/>
        <v>0</v>
      </c>
    </row>
    <row r="94" spans="1:9" ht="12.75" hidden="1">
      <c r="A94" s="706"/>
      <c r="B94" s="706"/>
      <c r="C94" s="706" t="s">
        <v>318</v>
      </c>
      <c r="D94" s="827" t="s">
        <v>850</v>
      </c>
      <c r="E94" s="828"/>
      <c r="F94" s="707"/>
      <c r="G94" s="707"/>
      <c r="H94" s="707"/>
      <c r="I94" s="709">
        <f t="shared" si="4"/>
        <v>0</v>
      </c>
    </row>
    <row r="95" spans="1:9" ht="12.75">
      <c r="A95" s="706"/>
      <c r="B95" s="706"/>
      <c r="C95" s="706" t="s">
        <v>320</v>
      </c>
      <c r="D95" s="827" t="s">
        <v>319</v>
      </c>
      <c r="E95" s="828"/>
      <c r="F95" s="707">
        <f>SUM(F96:F105)</f>
        <v>232580331</v>
      </c>
      <c r="G95" s="707">
        <f>SUM(G96:G105)</f>
        <v>0</v>
      </c>
      <c r="H95" s="707">
        <f>SUM(H96:H105)</f>
        <v>0</v>
      </c>
      <c r="I95" s="709">
        <f t="shared" si="4"/>
        <v>232580331</v>
      </c>
    </row>
    <row r="96" spans="1:9" ht="12.75" hidden="1">
      <c r="A96" s="717"/>
      <c r="B96" s="717"/>
      <c r="C96" s="708" t="s">
        <v>18</v>
      </c>
      <c r="D96" s="708" t="s">
        <v>277</v>
      </c>
      <c r="E96" s="708" t="s">
        <v>304</v>
      </c>
      <c r="F96" s="716">
        <v>0</v>
      </c>
      <c r="G96" s="716">
        <v>0</v>
      </c>
      <c r="H96" s="716">
        <v>0</v>
      </c>
      <c r="I96" s="709">
        <f t="shared" si="4"/>
        <v>0</v>
      </c>
    </row>
    <row r="97" spans="1:9" ht="12.75" hidden="1">
      <c r="A97" s="717"/>
      <c r="B97" s="717"/>
      <c r="C97" s="708"/>
      <c r="D97" s="708" t="s">
        <v>279</v>
      </c>
      <c r="E97" s="708" t="s">
        <v>847</v>
      </c>
      <c r="F97" s="716">
        <v>0</v>
      </c>
      <c r="G97" s="716"/>
      <c r="H97" s="716"/>
      <c r="I97" s="709">
        <f t="shared" si="4"/>
        <v>0</v>
      </c>
    </row>
    <row r="98" spans="1:9" ht="12.75" hidden="1">
      <c r="A98" s="717"/>
      <c r="B98" s="717"/>
      <c r="C98" s="708"/>
      <c r="D98" s="708" t="s">
        <v>281</v>
      </c>
      <c r="E98" s="708" t="s">
        <v>305</v>
      </c>
      <c r="F98" s="716">
        <f>100000+350000</f>
        <v>450000</v>
      </c>
      <c r="G98" s="716">
        <v>0</v>
      </c>
      <c r="H98" s="716">
        <v>0</v>
      </c>
      <c r="I98" s="709">
        <f t="shared" si="4"/>
        <v>450000</v>
      </c>
    </row>
    <row r="99" spans="1:9" ht="12.75" hidden="1">
      <c r="A99" s="717"/>
      <c r="B99" s="717"/>
      <c r="C99" s="708"/>
      <c r="D99" s="708" t="s">
        <v>283</v>
      </c>
      <c r="E99" s="708" t="s">
        <v>306</v>
      </c>
      <c r="F99" s="716">
        <v>0</v>
      </c>
      <c r="G99" s="716">
        <v>0</v>
      </c>
      <c r="H99" s="716">
        <v>0</v>
      </c>
      <c r="I99" s="709">
        <f t="shared" si="4"/>
        <v>0</v>
      </c>
    </row>
    <row r="100" spans="1:9" ht="12.75" hidden="1">
      <c r="A100" s="717"/>
      <c r="B100" s="717"/>
      <c r="C100" s="708"/>
      <c r="D100" s="708" t="s">
        <v>285</v>
      </c>
      <c r="E100" s="708" t="s">
        <v>307</v>
      </c>
      <c r="F100" s="716">
        <v>0</v>
      </c>
      <c r="G100" s="716">
        <v>0</v>
      </c>
      <c r="H100" s="716">
        <v>0</v>
      </c>
      <c r="I100" s="709">
        <f t="shared" si="4"/>
        <v>0</v>
      </c>
    </row>
    <row r="101" spans="1:9" ht="12.75" hidden="1">
      <c r="A101" s="717"/>
      <c r="B101" s="717"/>
      <c r="C101" s="708"/>
      <c r="D101" s="708" t="s">
        <v>287</v>
      </c>
      <c r="E101" s="708" t="s">
        <v>308</v>
      </c>
      <c r="F101" s="716">
        <v>0</v>
      </c>
      <c r="G101" s="716">
        <v>0</v>
      </c>
      <c r="H101" s="716">
        <v>0</v>
      </c>
      <c r="I101" s="709">
        <f t="shared" si="4"/>
        <v>0</v>
      </c>
    </row>
    <row r="102" spans="1:9" ht="12.75" hidden="1">
      <c r="A102" s="715"/>
      <c r="B102" s="715"/>
      <c r="C102" s="708"/>
      <c r="D102" s="708" t="s">
        <v>289</v>
      </c>
      <c r="E102" s="708" t="s">
        <v>309</v>
      </c>
      <c r="F102" s="716">
        <f>317136000-105701000-6000000-2200000-2380000-5400000+1563000-500000-405000-500000-2870000-1200000-9441000+3820000+1272000+1666000+1552000-4000-100000+2709200</f>
        <v>193017200</v>
      </c>
      <c r="G102" s="716">
        <v>0</v>
      </c>
      <c r="H102" s="716">
        <v>0</v>
      </c>
      <c r="I102" s="709">
        <f t="shared" si="4"/>
        <v>193017200</v>
      </c>
    </row>
    <row r="103" spans="1:9" ht="12.75" hidden="1">
      <c r="A103" s="715"/>
      <c r="B103" s="715"/>
      <c r="C103" s="708"/>
      <c r="D103" s="708" t="s">
        <v>291</v>
      </c>
      <c r="E103" s="708" t="s">
        <v>310</v>
      </c>
      <c r="F103" s="716">
        <f>100393000-64000000+2720131</f>
        <v>39113131</v>
      </c>
      <c r="G103" s="716">
        <v>0</v>
      </c>
      <c r="H103" s="716">
        <v>0</v>
      </c>
      <c r="I103" s="709">
        <f t="shared" si="4"/>
        <v>39113131</v>
      </c>
    </row>
    <row r="104" spans="1:9" ht="12.75" hidden="1">
      <c r="A104" s="717"/>
      <c r="B104" s="717"/>
      <c r="C104" s="708"/>
      <c r="D104" s="708" t="s">
        <v>293</v>
      </c>
      <c r="E104" s="708" t="s">
        <v>312</v>
      </c>
      <c r="F104" s="716">
        <v>0</v>
      </c>
      <c r="G104" s="716">
        <v>0</v>
      </c>
      <c r="H104" s="716">
        <v>0</v>
      </c>
      <c r="I104" s="709">
        <f t="shared" si="4"/>
        <v>0</v>
      </c>
    </row>
    <row r="105" spans="1:9" ht="12.75" hidden="1">
      <c r="A105" s="717"/>
      <c r="B105" s="717"/>
      <c r="C105" s="708"/>
      <c r="D105" s="708" t="s">
        <v>295</v>
      </c>
      <c r="E105" s="708" t="s">
        <v>313</v>
      </c>
      <c r="F105" s="716">
        <v>0</v>
      </c>
      <c r="G105" s="716">
        <v>0</v>
      </c>
      <c r="H105" s="716">
        <v>0</v>
      </c>
      <c r="I105" s="709">
        <f t="shared" si="4"/>
        <v>0</v>
      </c>
    </row>
    <row r="106" spans="1:9" ht="12.75">
      <c r="A106" s="717"/>
      <c r="B106" s="717"/>
      <c r="C106" s="706" t="s">
        <v>851</v>
      </c>
      <c r="D106" s="827" t="s">
        <v>321</v>
      </c>
      <c r="E106" s="828"/>
      <c r="F106" s="707">
        <f>SUM(F107:F115)</f>
        <v>4589000</v>
      </c>
      <c r="G106" s="707">
        <f>SUM(G107:G115)</f>
        <v>0</v>
      </c>
      <c r="H106" s="707">
        <f>SUM(H107:H115)</f>
        <v>0</v>
      </c>
      <c r="I106" s="709">
        <f t="shared" si="4"/>
        <v>4589000</v>
      </c>
    </row>
    <row r="107" spans="1:9" ht="12.75">
      <c r="A107" s="715"/>
      <c r="B107" s="715"/>
      <c r="C107" s="718" t="s">
        <v>18</v>
      </c>
      <c r="D107" s="719"/>
      <c r="E107" s="720" t="s">
        <v>616</v>
      </c>
      <c r="F107" s="716">
        <f>1000000-1000000</f>
        <v>0</v>
      </c>
      <c r="G107" s="716">
        <v>0</v>
      </c>
      <c r="H107" s="716">
        <v>0</v>
      </c>
      <c r="I107" s="709">
        <f t="shared" si="4"/>
        <v>0</v>
      </c>
    </row>
    <row r="108" spans="1:9" ht="12.75">
      <c r="A108" s="715"/>
      <c r="B108" s="715"/>
      <c r="C108" s="708"/>
      <c r="D108" s="719"/>
      <c r="E108" s="720" t="s">
        <v>322</v>
      </c>
      <c r="F108" s="716">
        <f>200000+3472000-3672000</f>
        <v>0</v>
      </c>
      <c r="G108" s="716">
        <v>0</v>
      </c>
      <c r="H108" s="716">
        <v>0</v>
      </c>
      <c r="I108" s="709">
        <f t="shared" si="4"/>
        <v>0</v>
      </c>
    </row>
    <row r="109" spans="1:9" ht="12.75">
      <c r="A109" s="715"/>
      <c r="B109" s="715"/>
      <c r="C109" s="708"/>
      <c r="D109" s="719"/>
      <c r="E109" s="720" t="s">
        <v>903</v>
      </c>
      <c r="F109" s="716">
        <f>4299000-4299000</f>
        <v>0</v>
      </c>
      <c r="G109" s="716">
        <v>0</v>
      </c>
      <c r="H109" s="716">
        <v>0</v>
      </c>
      <c r="I109" s="709">
        <f t="shared" si="4"/>
        <v>0</v>
      </c>
    </row>
    <row r="110" spans="1:9" ht="12.75">
      <c r="A110" s="715"/>
      <c r="B110" s="715"/>
      <c r="C110" s="708"/>
      <c r="D110" s="719"/>
      <c r="E110" s="720" t="s">
        <v>658</v>
      </c>
      <c r="F110" s="716">
        <f>1000000-73000-64000+728928+1275000+4214000-112000-2300000-619583-2645063-21000-13000-39000-1331282</f>
        <v>0</v>
      </c>
      <c r="G110" s="716">
        <v>0</v>
      </c>
      <c r="H110" s="716">
        <v>0</v>
      </c>
      <c r="I110" s="709">
        <f t="shared" si="4"/>
        <v>0</v>
      </c>
    </row>
    <row r="111" spans="1:9" ht="12.75">
      <c r="A111" s="715"/>
      <c r="B111" s="715"/>
      <c r="C111" s="708"/>
      <c r="D111" s="719"/>
      <c r="E111" s="720" t="s">
        <v>970</v>
      </c>
      <c r="F111" s="716">
        <f>97040048-5924000-3472000-4299000-200000-25143529-513963-49000-608000-4260000-17635925-4477000-6460000-15000000-8997631</f>
        <v>0</v>
      </c>
      <c r="G111" s="716"/>
      <c r="H111" s="716"/>
      <c r="I111" s="709">
        <f t="shared" si="4"/>
        <v>0</v>
      </c>
    </row>
    <row r="112" spans="1:9" ht="12.75">
      <c r="A112" s="715"/>
      <c r="B112" s="715"/>
      <c r="C112" s="708"/>
      <c r="D112" s="719"/>
      <c r="E112" s="720" t="s">
        <v>971</v>
      </c>
      <c r="F112" s="716">
        <f>3902804-3902804</f>
        <v>0</v>
      </c>
      <c r="G112" s="716"/>
      <c r="H112" s="716"/>
      <c r="I112" s="709">
        <f t="shared" si="4"/>
        <v>0</v>
      </c>
    </row>
    <row r="113" spans="1:9" s="696" customFormat="1" ht="12.75">
      <c r="A113" s="715"/>
      <c r="B113" s="715"/>
      <c r="C113" s="708"/>
      <c r="D113" s="719"/>
      <c r="E113" s="720" t="s">
        <v>904</v>
      </c>
      <c r="F113" s="716">
        <f>3700000-1500000-588000-1336000-276000</f>
        <v>0</v>
      </c>
      <c r="G113" s="716">
        <v>0</v>
      </c>
      <c r="H113" s="716">
        <v>0</v>
      </c>
      <c r="I113" s="709">
        <f t="shared" si="4"/>
        <v>0</v>
      </c>
    </row>
    <row r="114" spans="1:9" ht="12.75">
      <c r="A114" s="715"/>
      <c r="B114" s="715"/>
      <c r="C114" s="708"/>
      <c r="D114" s="719"/>
      <c r="E114" s="720" t="s">
        <v>795</v>
      </c>
      <c r="F114" s="716">
        <f>40540000-40540000</f>
        <v>0</v>
      </c>
      <c r="G114" s="716">
        <v>0</v>
      </c>
      <c r="H114" s="716">
        <v>0</v>
      </c>
      <c r="I114" s="709">
        <f t="shared" si="4"/>
        <v>0</v>
      </c>
    </row>
    <row r="115" spans="1:9" ht="12.75">
      <c r="A115" s="715"/>
      <c r="B115" s="715"/>
      <c r="C115" s="708"/>
      <c r="D115" s="719"/>
      <c r="E115" s="720" t="s">
        <v>323</v>
      </c>
      <c r="F115" s="716">
        <f>329000+4260000</f>
        <v>4589000</v>
      </c>
      <c r="G115" s="716">
        <v>0</v>
      </c>
      <c r="H115" s="716">
        <v>0</v>
      </c>
      <c r="I115" s="709">
        <f t="shared" si="4"/>
        <v>4589000</v>
      </c>
    </row>
    <row r="116" spans="1:9" ht="12.75" customHeight="1">
      <c r="A116" s="694" t="s">
        <v>244</v>
      </c>
      <c r="B116" s="824" t="s">
        <v>543</v>
      </c>
      <c r="C116" s="825"/>
      <c r="D116" s="825"/>
      <c r="E116" s="826"/>
      <c r="F116" s="695">
        <f>SUM(F117:F123)</f>
        <v>41363743</v>
      </c>
      <c r="G116" s="695">
        <f>SUM(G117:G123)</f>
        <v>1279000</v>
      </c>
      <c r="H116" s="695">
        <f>SUM(H117:H123)</f>
        <v>5111000</v>
      </c>
      <c r="I116" s="695">
        <f>SUM(F116:H116)</f>
        <v>47753743</v>
      </c>
    </row>
    <row r="117" spans="1:9" ht="12.75" hidden="1">
      <c r="A117" s="697"/>
      <c r="B117" s="697" t="s">
        <v>324</v>
      </c>
      <c r="C117" s="820" t="s">
        <v>325</v>
      </c>
      <c r="D117" s="820"/>
      <c r="E117" s="820"/>
      <c r="F117" s="698">
        <f>8189-8189</f>
        <v>0</v>
      </c>
      <c r="G117" s="698">
        <v>0</v>
      </c>
      <c r="H117" s="698">
        <v>0</v>
      </c>
      <c r="I117" s="699">
        <f>SUM(F117:H117)</f>
        <v>0</v>
      </c>
    </row>
    <row r="118" spans="1:9" ht="12.75" hidden="1">
      <c r="A118" s="697"/>
      <c r="B118" s="697" t="s">
        <v>326</v>
      </c>
      <c r="C118" s="820" t="s">
        <v>327</v>
      </c>
      <c r="D118" s="820"/>
      <c r="E118" s="820"/>
      <c r="F118" s="698">
        <f>15837000-2362000+11811000+68000-6457000-787000+2050000</f>
        <v>20160000</v>
      </c>
      <c r="G118" s="698">
        <v>0</v>
      </c>
      <c r="H118" s="698">
        <v>0</v>
      </c>
      <c r="I118" s="699">
        <f aca="true" t="shared" si="5" ref="I118:I123">SUM(F118:H118)</f>
        <v>20160000</v>
      </c>
    </row>
    <row r="119" spans="1:9" ht="12.75" hidden="1">
      <c r="A119" s="697" t="s">
        <v>328</v>
      </c>
      <c r="B119" s="697" t="s">
        <v>329</v>
      </c>
      <c r="C119" s="820" t="s">
        <v>330</v>
      </c>
      <c r="D119" s="820"/>
      <c r="E119" s="820"/>
      <c r="F119" s="698">
        <f>85000+34000+54000+2000000+226000</f>
        <v>2399000</v>
      </c>
      <c r="G119" s="698">
        <v>0</v>
      </c>
      <c r="H119" s="698">
        <v>0</v>
      </c>
      <c r="I119" s="699">
        <f t="shared" si="5"/>
        <v>2399000</v>
      </c>
    </row>
    <row r="120" spans="1:9" ht="12.75" hidden="1">
      <c r="A120" s="697"/>
      <c r="B120" s="697" t="s">
        <v>331</v>
      </c>
      <c r="C120" s="820" t="s">
        <v>332</v>
      </c>
      <c r="D120" s="820"/>
      <c r="E120" s="820"/>
      <c r="F120" s="698">
        <f>2733000-262000+959000+1503000+67000+21000+710000+503000+681000+106000+29000+1385000+48710+925497+33000+62000-12000+120000-226000-739000-1158000-52000-16000-547000-387000-525000-34000-53000-2000-1000-25000-18000-24000-186000-292000-13000-4000-138000-98000-132000+11000</f>
        <v>4953207</v>
      </c>
      <c r="G120" s="698">
        <v>1007000</v>
      </c>
      <c r="H120" s="698">
        <f>1913000+1811000+300000</f>
        <v>4024000</v>
      </c>
      <c r="I120" s="699">
        <f t="shared" si="5"/>
        <v>9984207</v>
      </c>
    </row>
    <row r="121" spans="1:9" s="696" customFormat="1" ht="12.75" hidden="1">
      <c r="A121" s="697"/>
      <c r="B121" s="697" t="s">
        <v>333</v>
      </c>
      <c r="C121" s="820" t="s">
        <v>334</v>
      </c>
      <c r="D121" s="820"/>
      <c r="E121" s="820"/>
      <c r="F121" s="698">
        <v>0</v>
      </c>
      <c r="G121" s="698">
        <v>0</v>
      </c>
      <c r="H121" s="698">
        <v>0</v>
      </c>
      <c r="I121" s="699">
        <f t="shared" si="5"/>
        <v>0</v>
      </c>
    </row>
    <row r="122" spans="1:9" ht="12.75" hidden="1">
      <c r="A122" s="697"/>
      <c r="B122" s="697" t="s">
        <v>335</v>
      </c>
      <c r="C122" s="820" t="s">
        <v>336</v>
      </c>
      <c r="D122" s="820"/>
      <c r="E122" s="820"/>
      <c r="F122" s="698">
        <v>6460000</v>
      </c>
      <c r="G122" s="698">
        <v>0</v>
      </c>
      <c r="H122" s="698">
        <v>0</v>
      </c>
      <c r="I122" s="699">
        <f t="shared" si="5"/>
        <v>6460000</v>
      </c>
    </row>
    <row r="123" spans="1:9" ht="12.75" hidden="1">
      <c r="A123" s="697"/>
      <c r="B123" s="697" t="s">
        <v>337</v>
      </c>
      <c r="C123" s="820" t="s">
        <v>338</v>
      </c>
      <c r="D123" s="820"/>
      <c r="E123" s="820"/>
      <c r="F123" s="698">
        <f>7250000-709000-2211000+259000+406000+18000+5000+192000+136000+184000+8000+8000+9000+15000+914000+13152+3189000+249884+9000+17000-3000+33000-1744000-200000-313000-14000-4000-148000-105000-142000-213000-9000-14000-1000-7000-5000-7000-50000-79000-3000-1000-37000-26000-35000+3000+553500</f>
        <v>7391536</v>
      </c>
      <c r="G123" s="698">
        <v>272000</v>
      </c>
      <c r="H123" s="698">
        <f>517000+489000+81000</f>
        <v>1087000</v>
      </c>
      <c r="I123" s="699">
        <f t="shared" si="5"/>
        <v>8750536</v>
      </c>
    </row>
    <row r="124" spans="1:9" ht="12.75" customHeight="1">
      <c r="A124" s="694" t="s">
        <v>246</v>
      </c>
      <c r="B124" s="824" t="s">
        <v>245</v>
      </c>
      <c r="C124" s="825"/>
      <c r="D124" s="825"/>
      <c r="E124" s="826"/>
      <c r="F124" s="695">
        <f>SUM(F125:F128)</f>
        <v>16248410</v>
      </c>
      <c r="G124" s="695">
        <f>SUM(G125:G128)</f>
        <v>0</v>
      </c>
      <c r="H124" s="695">
        <f>SUM(H125:H128)</f>
        <v>952000</v>
      </c>
      <c r="I124" s="695">
        <f aca="true" t="shared" si="6" ref="I124:I130">SUM(F124:H124)</f>
        <v>17200410</v>
      </c>
    </row>
    <row r="125" spans="1:9" ht="12.75" hidden="1">
      <c r="A125" s="697"/>
      <c r="B125" s="697" t="s">
        <v>339</v>
      </c>
      <c r="C125" s="820" t="s">
        <v>340</v>
      </c>
      <c r="D125" s="820"/>
      <c r="E125" s="820"/>
      <c r="F125" s="698">
        <f>236000+1250000+792000+1732000+439150+2082727+8343850-2082727</f>
        <v>12793000</v>
      </c>
      <c r="G125" s="698">
        <v>0</v>
      </c>
      <c r="H125" s="698">
        <v>750000</v>
      </c>
      <c r="I125" s="699">
        <f t="shared" si="6"/>
        <v>13543000</v>
      </c>
    </row>
    <row r="126" spans="1:9" s="696" customFormat="1" ht="12.75" hidden="1">
      <c r="A126" s="697"/>
      <c r="B126" s="697" t="s">
        <v>341</v>
      </c>
      <c r="C126" s="820" t="s">
        <v>342</v>
      </c>
      <c r="D126" s="820"/>
      <c r="E126" s="820"/>
      <c r="F126" s="698">
        <v>0</v>
      </c>
      <c r="G126" s="698">
        <v>0</v>
      </c>
      <c r="H126" s="698">
        <v>0</v>
      </c>
      <c r="I126" s="699">
        <f t="shared" si="6"/>
        <v>0</v>
      </c>
    </row>
    <row r="127" spans="1:9" ht="12.75" hidden="1">
      <c r="A127" s="697" t="s">
        <v>328</v>
      </c>
      <c r="B127" s="697" t="s">
        <v>343</v>
      </c>
      <c r="C127" s="820" t="s">
        <v>344</v>
      </c>
      <c r="D127" s="820"/>
      <c r="E127" s="820"/>
      <c r="F127" s="698">
        <v>0</v>
      </c>
      <c r="G127" s="698">
        <v>0</v>
      </c>
      <c r="H127" s="698">
        <v>0</v>
      </c>
      <c r="I127" s="699">
        <f t="shared" si="6"/>
        <v>0</v>
      </c>
    </row>
    <row r="128" spans="1:9" ht="12.75" hidden="1">
      <c r="A128" s="697"/>
      <c r="B128" s="697" t="s">
        <v>345</v>
      </c>
      <c r="C128" s="820" t="s">
        <v>346</v>
      </c>
      <c r="D128" s="820"/>
      <c r="E128" s="820"/>
      <c r="F128" s="698">
        <f>64000+338000+214000+468000+118571+562336+2252839-562336</f>
        <v>3455410</v>
      </c>
      <c r="G128" s="698">
        <v>0</v>
      </c>
      <c r="H128" s="698">
        <v>202000</v>
      </c>
      <c r="I128" s="699">
        <f t="shared" si="6"/>
        <v>3657410</v>
      </c>
    </row>
    <row r="129" spans="1:9" ht="12" customHeight="1">
      <c r="A129" s="694" t="s">
        <v>248</v>
      </c>
      <c r="B129" s="824" t="s">
        <v>247</v>
      </c>
      <c r="C129" s="825"/>
      <c r="D129" s="825"/>
      <c r="E129" s="826"/>
      <c r="F129" s="695">
        <f>SUM(F130:F138)</f>
        <v>118949730</v>
      </c>
      <c r="G129" s="695">
        <f>SUM(G130:G138)</f>
        <v>0</v>
      </c>
      <c r="H129" s="695">
        <f>SUM(H130:H138)</f>
        <v>0</v>
      </c>
      <c r="I129" s="695">
        <f t="shared" si="6"/>
        <v>118949730</v>
      </c>
    </row>
    <row r="130" spans="1:9" ht="12.75" hidden="1">
      <c r="A130" s="697"/>
      <c r="B130" s="697" t="s">
        <v>347</v>
      </c>
      <c r="C130" s="820" t="s">
        <v>348</v>
      </c>
      <c r="D130" s="820"/>
      <c r="E130" s="820"/>
      <c r="F130" s="698">
        <v>0</v>
      </c>
      <c r="G130" s="698">
        <v>0</v>
      </c>
      <c r="H130" s="698">
        <v>0</v>
      </c>
      <c r="I130" s="699">
        <f t="shared" si="6"/>
        <v>0</v>
      </c>
    </row>
    <row r="131" spans="1:9" ht="12.75" hidden="1">
      <c r="A131" s="697"/>
      <c r="B131" s="697" t="s">
        <v>349</v>
      </c>
      <c r="C131" s="820" t="s">
        <v>350</v>
      </c>
      <c r="D131" s="820"/>
      <c r="E131" s="820"/>
      <c r="F131" s="698">
        <v>0</v>
      </c>
      <c r="G131" s="698">
        <v>0</v>
      </c>
      <c r="H131" s="698">
        <v>0</v>
      </c>
      <c r="I131" s="699">
        <f aca="true" t="shared" si="7" ref="I131:I152">SUM(F131:H131)</f>
        <v>0</v>
      </c>
    </row>
    <row r="132" spans="1:9" ht="12.75" hidden="1">
      <c r="A132" s="697" t="s">
        <v>328</v>
      </c>
      <c r="B132" s="697" t="s">
        <v>351</v>
      </c>
      <c r="C132" s="820" t="s">
        <v>352</v>
      </c>
      <c r="D132" s="820"/>
      <c r="E132" s="820"/>
      <c r="F132" s="698">
        <v>0</v>
      </c>
      <c r="G132" s="698">
        <v>0</v>
      </c>
      <c r="H132" s="698">
        <v>0</v>
      </c>
      <c r="I132" s="699">
        <f t="shared" si="7"/>
        <v>0</v>
      </c>
    </row>
    <row r="133" spans="1:9" ht="12.75" hidden="1">
      <c r="A133" s="697"/>
      <c r="B133" s="697" t="s">
        <v>353</v>
      </c>
      <c r="C133" s="820" t="s">
        <v>354</v>
      </c>
      <c r="D133" s="820"/>
      <c r="E133" s="820"/>
      <c r="F133" s="698">
        <f>865247+4903067</f>
        <v>5768314</v>
      </c>
      <c r="G133" s="698">
        <v>0</v>
      </c>
      <c r="H133" s="698">
        <v>0</v>
      </c>
      <c r="I133" s="699">
        <f t="shared" si="7"/>
        <v>5768314</v>
      </c>
    </row>
    <row r="134" spans="1:9" ht="12.75" hidden="1">
      <c r="A134" s="697"/>
      <c r="B134" s="697" t="s">
        <v>355</v>
      </c>
      <c r="C134" s="820" t="s">
        <v>356</v>
      </c>
      <c r="D134" s="820"/>
      <c r="E134" s="820"/>
      <c r="F134" s="698">
        <v>0</v>
      </c>
      <c r="G134" s="698">
        <v>0</v>
      </c>
      <c r="H134" s="698">
        <v>0</v>
      </c>
      <c r="I134" s="699">
        <f t="shared" si="7"/>
        <v>0</v>
      </c>
    </row>
    <row r="135" spans="1:9" ht="12.75" hidden="1">
      <c r="A135" s="697"/>
      <c r="B135" s="697" t="s">
        <v>357</v>
      </c>
      <c r="C135" s="820" t="s">
        <v>358</v>
      </c>
      <c r="D135" s="820"/>
      <c r="E135" s="820"/>
      <c r="F135" s="698">
        <v>0</v>
      </c>
      <c r="G135" s="698">
        <v>0</v>
      </c>
      <c r="H135" s="698">
        <v>0</v>
      </c>
      <c r="I135" s="699">
        <f t="shared" si="7"/>
        <v>0</v>
      </c>
    </row>
    <row r="136" spans="1:9" ht="12.75" hidden="1">
      <c r="A136" s="697"/>
      <c r="B136" s="697" t="s">
        <v>359</v>
      </c>
      <c r="C136" s="820" t="s">
        <v>360</v>
      </c>
      <c r="D136" s="820"/>
      <c r="E136" s="820"/>
      <c r="F136" s="698">
        <v>0</v>
      </c>
      <c r="G136" s="698">
        <v>0</v>
      </c>
      <c r="H136" s="698">
        <v>0</v>
      </c>
      <c r="I136" s="699">
        <f t="shared" si="7"/>
        <v>0</v>
      </c>
    </row>
    <row r="137" spans="1:9" ht="12.75" hidden="1">
      <c r="A137" s="697"/>
      <c r="B137" s="697" t="s">
        <v>361</v>
      </c>
      <c r="C137" s="820" t="s">
        <v>853</v>
      </c>
      <c r="D137" s="820"/>
      <c r="E137" s="820"/>
      <c r="F137" s="698">
        <v>0</v>
      </c>
      <c r="G137" s="698">
        <v>0</v>
      </c>
      <c r="H137" s="698">
        <v>0</v>
      </c>
      <c r="I137" s="699">
        <f>SUM(F137:H137)</f>
        <v>0</v>
      </c>
    </row>
    <row r="138" spans="1:9" ht="12.75" hidden="1">
      <c r="A138" s="697"/>
      <c r="B138" s="697" t="s">
        <v>852</v>
      </c>
      <c r="C138" s="820" t="s">
        <v>362</v>
      </c>
      <c r="D138" s="820"/>
      <c r="E138" s="820"/>
      <c r="F138" s="698">
        <f>SUM(F139:F148)</f>
        <v>113181416</v>
      </c>
      <c r="G138" s="698">
        <f>SUM(G139:G148)</f>
        <v>0</v>
      </c>
      <c r="H138" s="698">
        <f>SUM(H139:H148)</f>
        <v>0</v>
      </c>
      <c r="I138" s="699">
        <f t="shared" si="7"/>
        <v>113181416</v>
      </c>
    </row>
    <row r="139" spans="1:9" ht="12.75" hidden="1">
      <c r="A139" s="717"/>
      <c r="B139" s="717"/>
      <c r="C139" s="708" t="s">
        <v>18</v>
      </c>
      <c r="D139" s="708" t="s">
        <v>277</v>
      </c>
      <c r="E139" s="708" t="s">
        <v>304</v>
      </c>
      <c r="F139" s="716">
        <f>0+200000</f>
        <v>200000</v>
      </c>
      <c r="G139" s="716">
        <v>0</v>
      </c>
      <c r="H139" s="716">
        <v>0</v>
      </c>
      <c r="I139" s="699">
        <f t="shared" si="7"/>
        <v>200000</v>
      </c>
    </row>
    <row r="140" spans="1:9" ht="12.75" hidden="1">
      <c r="A140" s="717"/>
      <c r="B140" s="717"/>
      <c r="C140" s="708"/>
      <c r="D140" s="708" t="s">
        <v>279</v>
      </c>
      <c r="E140" s="708" t="s">
        <v>847</v>
      </c>
      <c r="F140" s="716">
        <f>398000+39000</f>
        <v>437000</v>
      </c>
      <c r="G140" s="716"/>
      <c r="H140" s="716"/>
      <c r="I140" s="699">
        <f t="shared" si="7"/>
        <v>437000</v>
      </c>
    </row>
    <row r="141" spans="1:9" ht="12.75" hidden="1">
      <c r="A141" s="717"/>
      <c r="B141" s="717"/>
      <c r="C141" s="708"/>
      <c r="D141" s="708" t="s">
        <v>281</v>
      </c>
      <c r="E141" s="708" t="s">
        <v>305</v>
      </c>
      <c r="F141" s="716">
        <v>1500000</v>
      </c>
      <c r="G141" s="716">
        <v>0</v>
      </c>
      <c r="H141" s="716">
        <v>0</v>
      </c>
      <c r="I141" s="699">
        <f t="shared" si="7"/>
        <v>1500000</v>
      </c>
    </row>
    <row r="142" spans="1:9" ht="12.75" hidden="1">
      <c r="A142" s="717"/>
      <c r="B142" s="717"/>
      <c r="C142" s="708"/>
      <c r="D142" s="708" t="s">
        <v>283</v>
      </c>
      <c r="E142" s="708" t="s">
        <v>306</v>
      </c>
      <c r="F142" s="716">
        <v>0</v>
      </c>
      <c r="G142" s="716">
        <v>0</v>
      </c>
      <c r="H142" s="716">
        <v>0</v>
      </c>
      <c r="I142" s="699">
        <f t="shared" si="7"/>
        <v>0</v>
      </c>
    </row>
    <row r="143" spans="1:9" ht="12.75" hidden="1">
      <c r="A143" s="717"/>
      <c r="B143" s="717"/>
      <c r="C143" s="708"/>
      <c r="D143" s="708" t="s">
        <v>285</v>
      </c>
      <c r="E143" s="708" t="s">
        <v>307</v>
      </c>
      <c r="F143" s="716">
        <v>0</v>
      </c>
      <c r="G143" s="716">
        <v>0</v>
      </c>
      <c r="H143" s="716">
        <v>0</v>
      </c>
      <c r="I143" s="699">
        <f t="shared" si="7"/>
        <v>0</v>
      </c>
    </row>
    <row r="144" spans="1:9" ht="12.75" hidden="1">
      <c r="A144" s="717"/>
      <c r="B144" s="717"/>
      <c r="C144" s="708"/>
      <c r="D144" s="708" t="s">
        <v>287</v>
      </c>
      <c r="E144" s="708" t="s">
        <v>308</v>
      </c>
      <c r="F144" s="716">
        <v>0</v>
      </c>
      <c r="G144" s="716">
        <v>0</v>
      </c>
      <c r="H144" s="716">
        <v>0</v>
      </c>
      <c r="I144" s="699">
        <f t="shared" si="7"/>
        <v>0</v>
      </c>
    </row>
    <row r="145" spans="1:9" ht="12.75" hidden="1">
      <c r="A145" s="717"/>
      <c r="B145" s="717"/>
      <c r="C145" s="708"/>
      <c r="D145" s="708" t="s">
        <v>289</v>
      </c>
      <c r="E145" s="708" t="s">
        <v>309</v>
      </c>
      <c r="F145" s="716">
        <f>214000+830416</f>
        <v>1044416</v>
      </c>
      <c r="G145" s="716">
        <v>0</v>
      </c>
      <c r="H145" s="716">
        <v>0</v>
      </c>
      <c r="I145" s="699">
        <f t="shared" si="7"/>
        <v>1044416</v>
      </c>
    </row>
    <row r="146" spans="1:9" ht="12.75" hidden="1">
      <c r="A146" s="717"/>
      <c r="B146" s="717"/>
      <c r="C146" s="708"/>
      <c r="D146" s="708" t="s">
        <v>291</v>
      </c>
      <c r="E146" s="708" t="s">
        <v>310</v>
      </c>
      <c r="F146" s="716">
        <f>64000000+46000000</f>
        <v>110000000</v>
      </c>
      <c r="G146" s="716">
        <v>0</v>
      </c>
      <c r="H146" s="716">
        <v>0</v>
      </c>
      <c r="I146" s="699">
        <f t="shared" si="7"/>
        <v>110000000</v>
      </c>
    </row>
    <row r="147" spans="1:9" s="696" customFormat="1" ht="12.75" hidden="1">
      <c r="A147" s="717"/>
      <c r="B147" s="717"/>
      <c r="C147" s="708"/>
      <c r="D147" s="708" t="s">
        <v>293</v>
      </c>
      <c r="E147" s="708" t="s">
        <v>312</v>
      </c>
      <c r="F147" s="716">
        <v>0</v>
      </c>
      <c r="G147" s="716">
        <v>0</v>
      </c>
      <c r="H147" s="716">
        <v>0</v>
      </c>
      <c r="I147" s="699">
        <f t="shared" si="7"/>
        <v>0</v>
      </c>
    </row>
    <row r="148" spans="1:9" ht="12.75" hidden="1">
      <c r="A148" s="717"/>
      <c r="B148" s="717"/>
      <c r="C148" s="708"/>
      <c r="D148" s="708" t="s">
        <v>295</v>
      </c>
      <c r="E148" s="708" t="s">
        <v>313</v>
      </c>
      <c r="F148" s="716"/>
      <c r="G148" s="716">
        <v>0</v>
      </c>
      <c r="H148" s="716">
        <v>0</v>
      </c>
      <c r="I148" s="699">
        <f t="shared" si="7"/>
        <v>0</v>
      </c>
    </row>
    <row r="149" spans="1:9" ht="11.25" customHeight="1">
      <c r="A149" s="694" t="s">
        <v>250</v>
      </c>
      <c r="B149" s="824" t="s">
        <v>249</v>
      </c>
      <c r="C149" s="825"/>
      <c r="D149" s="825"/>
      <c r="E149" s="826"/>
      <c r="F149" s="695">
        <f>SUM(F150:F152)</f>
        <v>17635925</v>
      </c>
      <c r="G149" s="695">
        <f>SUM(G150:G152)</f>
        <v>0</v>
      </c>
      <c r="H149" s="695">
        <f>SUM(H150:H152)</f>
        <v>0</v>
      </c>
      <c r="I149" s="695">
        <f>SUM(F149:H149)</f>
        <v>17635925</v>
      </c>
    </row>
    <row r="150" spans="1:9" ht="12.75" hidden="1">
      <c r="A150" s="697"/>
      <c r="B150" s="697" t="s">
        <v>363</v>
      </c>
      <c r="C150" s="820" t="s">
        <v>364</v>
      </c>
      <c r="D150" s="820"/>
      <c r="E150" s="820"/>
      <c r="F150" s="698">
        <v>17635925</v>
      </c>
      <c r="G150" s="698">
        <v>0</v>
      </c>
      <c r="H150" s="698">
        <v>0</v>
      </c>
      <c r="I150" s="699">
        <f t="shared" si="7"/>
        <v>17635925</v>
      </c>
    </row>
    <row r="151" spans="1:9" s="531" customFormat="1" ht="15.75" hidden="1">
      <c r="A151" s="697"/>
      <c r="B151" s="697" t="s">
        <v>365</v>
      </c>
      <c r="C151" s="820" t="s">
        <v>366</v>
      </c>
      <c r="D151" s="820"/>
      <c r="E151" s="820"/>
      <c r="F151" s="698">
        <v>0</v>
      </c>
      <c r="G151" s="698">
        <v>0</v>
      </c>
      <c r="H151" s="698">
        <v>0</v>
      </c>
      <c r="I151" s="699">
        <f t="shared" si="7"/>
        <v>0</v>
      </c>
    </row>
    <row r="152" spans="1:9" ht="12.75" hidden="1">
      <c r="A152" s="697"/>
      <c r="B152" s="697" t="s">
        <v>367</v>
      </c>
      <c r="C152" s="820" t="s">
        <v>368</v>
      </c>
      <c r="D152" s="820"/>
      <c r="E152" s="820"/>
      <c r="F152" s="698">
        <v>0</v>
      </c>
      <c r="G152" s="698">
        <v>0</v>
      </c>
      <c r="H152" s="698">
        <v>0</v>
      </c>
      <c r="I152" s="699">
        <f t="shared" si="7"/>
        <v>0</v>
      </c>
    </row>
    <row r="153" spans="1:9" ht="12.75">
      <c r="A153" s="721"/>
      <c r="B153" s="722"/>
      <c r="C153" s="722"/>
      <c r="D153" s="722"/>
      <c r="E153" s="722"/>
      <c r="F153" s="723"/>
      <c r="G153" s="724"/>
      <c r="H153" s="724"/>
      <c r="I153" s="725"/>
    </row>
    <row r="154" spans="1:9" ht="15.75">
      <c r="A154" s="821" t="s">
        <v>369</v>
      </c>
      <c r="B154" s="822"/>
      <c r="C154" s="822"/>
      <c r="D154" s="822"/>
      <c r="E154" s="823"/>
      <c r="F154" s="726">
        <f>SUM(F7+F22+F28+F56+F73+F116+F124+F129+F149)</f>
        <v>893218226</v>
      </c>
      <c r="G154" s="726">
        <f>SUM(G7+G22+G28+G56+G73+G116+G124+G129+G149)</f>
        <v>131345936</v>
      </c>
      <c r="H154" s="726">
        <f>SUM(H7+H22+H28+H56+H73+H116+H124+H129+H149)</f>
        <v>257651457</v>
      </c>
      <c r="I154" s="726">
        <f>SUM(I7+I22+I28+I56+I73+I116+I124+I129+I149)</f>
        <v>1282215619</v>
      </c>
    </row>
  </sheetData>
  <sheetProtection/>
  <mergeCells count="72">
    <mergeCell ref="C127:E127"/>
    <mergeCell ref="C117:E117"/>
    <mergeCell ref="A1:I1"/>
    <mergeCell ref="C132:E132"/>
    <mergeCell ref="C123:E123"/>
    <mergeCell ref="B124:E124"/>
    <mergeCell ref="C120:E120"/>
    <mergeCell ref="C122:E122"/>
    <mergeCell ref="D79:E79"/>
    <mergeCell ref="A3:I3"/>
    <mergeCell ref="C70:E70"/>
    <mergeCell ref="D71:E71"/>
    <mergeCell ref="D72:E72"/>
    <mergeCell ref="B73:E73"/>
    <mergeCell ref="C69:E69"/>
    <mergeCell ref="D63:E63"/>
    <mergeCell ref="C35:E35"/>
    <mergeCell ref="D64:E64"/>
    <mergeCell ref="D66:E66"/>
    <mergeCell ref="C61:E61"/>
    <mergeCell ref="C67:E67"/>
    <mergeCell ref="D78:E78"/>
    <mergeCell ref="D68:E68"/>
    <mergeCell ref="C62:E62"/>
    <mergeCell ref="D76:E76"/>
    <mergeCell ref="D77:E77"/>
    <mergeCell ref="D21:E21"/>
    <mergeCell ref="B28:E28"/>
    <mergeCell ref="C29:E29"/>
    <mergeCell ref="C32:E32"/>
    <mergeCell ref="D59:E59"/>
    <mergeCell ref="D60:E60"/>
    <mergeCell ref="C52:E52"/>
    <mergeCell ref="B56:E56"/>
    <mergeCell ref="C58:E58"/>
    <mergeCell ref="C57:E57"/>
    <mergeCell ref="A5:E5"/>
    <mergeCell ref="B7:E7"/>
    <mergeCell ref="C8:E8"/>
    <mergeCell ref="C18:E18"/>
    <mergeCell ref="B6:E6"/>
    <mergeCell ref="D20:E20"/>
    <mergeCell ref="B22:E22"/>
    <mergeCell ref="D106:E106"/>
    <mergeCell ref="B116:E116"/>
    <mergeCell ref="C121:E121"/>
    <mergeCell ref="D90:E90"/>
    <mergeCell ref="D91:E91"/>
    <mergeCell ref="D92:E92"/>
    <mergeCell ref="D93:E93"/>
    <mergeCell ref="C119:E119"/>
    <mergeCell ref="C49:E49"/>
    <mergeCell ref="C118:E118"/>
    <mergeCell ref="C150:E150"/>
    <mergeCell ref="C151:E151"/>
    <mergeCell ref="D94:E94"/>
    <mergeCell ref="C137:E137"/>
    <mergeCell ref="C133:E133"/>
    <mergeCell ref="C134:E134"/>
    <mergeCell ref="C138:E138"/>
    <mergeCell ref="D95:E95"/>
    <mergeCell ref="C125:E125"/>
    <mergeCell ref="C152:E152"/>
    <mergeCell ref="A154:E154"/>
    <mergeCell ref="C126:E126"/>
    <mergeCell ref="B129:E129"/>
    <mergeCell ref="C135:E135"/>
    <mergeCell ref="C136:E136"/>
    <mergeCell ref="C128:E128"/>
    <mergeCell ref="C130:E130"/>
    <mergeCell ref="C131:E131"/>
    <mergeCell ref="B149:E14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93" bestFit="1" customWidth="1"/>
    <col min="2" max="2" width="55.125" style="29" bestFit="1" customWidth="1"/>
    <col min="3" max="3" width="12.625" style="29" customWidth="1"/>
    <col min="4" max="4" width="12.125" style="29" customWidth="1"/>
    <col min="5" max="5" width="13.75390625" style="29" customWidth="1"/>
    <col min="6" max="6" width="53.875" style="29" bestFit="1" customWidth="1"/>
    <col min="7" max="7" width="14.75390625" style="29" customWidth="1"/>
    <col min="8" max="8" width="14.125" style="29" customWidth="1"/>
    <col min="9" max="9" width="13.25390625" style="29" bestFit="1" customWidth="1"/>
    <col min="10" max="16384" width="9.125" style="29" customWidth="1"/>
  </cols>
  <sheetData>
    <row r="1" spans="6:10" ht="12.75" customHeight="1">
      <c r="F1" s="848" t="s">
        <v>1182</v>
      </c>
      <c r="G1" s="849"/>
      <c r="H1" s="849"/>
      <c r="I1" s="849"/>
      <c r="J1" s="76"/>
    </row>
    <row r="2" spans="2:9" ht="15.75">
      <c r="B2" s="850" t="s">
        <v>858</v>
      </c>
      <c r="C2" s="850"/>
      <c r="D2" s="850"/>
      <c r="E2" s="850"/>
      <c r="F2" s="850"/>
      <c r="G2" s="850"/>
      <c r="H2" s="850"/>
      <c r="I2" s="850"/>
    </row>
    <row r="3" ht="8.25" customHeight="1">
      <c r="I3" s="1" t="s">
        <v>965</v>
      </c>
    </row>
    <row r="4" spans="1:9" s="30" customFormat="1" ht="15" customHeight="1">
      <c r="A4" s="852" t="s">
        <v>623</v>
      </c>
      <c r="B4" s="851" t="s">
        <v>630</v>
      </c>
      <c r="C4" s="851"/>
      <c r="D4" s="851"/>
      <c r="E4" s="851"/>
      <c r="F4" s="851" t="s">
        <v>538</v>
      </c>
      <c r="G4" s="851"/>
      <c r="H4" s="851"/>
      <c r="I4" s="851"/>
    </row>
    <row r="5" spans="1:9" s="33" customFormat="1" ht="14.25">
      <c r="A5" s="852"/>
      <c r="B5" s="31" t="s">
        <v>537</v>
      </c>
      <c r="C5" s="32" t="s">
        <v>528</v>
      </c>
      <c r="D5" s="32" t="s">
        <v>527</v>
      </c>
      <c r="E5" s="32" t="s">
        <v>526</v>
      </c>
      <c r="F5" s="31" t="s">
        <v>537</v>
      </c>
      <c r="G5" s="32" t="s">
        <v>528</v>
      </c>
      <c r="H5" s="32" t="s">
        <v>527</v>
      </c>
      <c r="I5" s="32" t="s">
        <v>526</v>
      </c>
    </row>
    <row r="6" spans="1:9" s="92" customFormat="1" ht="12">
      <c r="A6" s="852"/>
      <c r="B6" s="91" t="s">
        <v>617</v>
      </c>
      <c r="C6" s="91" t="s">
        <v>618</v>
      </c>
      <c r="D6" s="91" t="s">
        <v>619</v>
      </c>
      <c r="E6" s="91" t="s">
        <v>620</v>
      </c>
      <c r="F6" s="91" t="s">
        <v>621</v>
      </c>
      <c r="G6" s="91" t="s">
        <v>622</v>
      </c>
      <c r="H6" s="91" t="s">
        <v>625</v>
      </c>
      <c r="I6" s="91" t="s">
        <v>626</v>
      </c>
    </row>
    <row r="7" spans="1:9" s="55" customFormat="1" ht="14.25">
      <c r="A7" s="91">
        <v>1</v>
      </c>
      <c r="B7" s="54" t="s">
        <v>751</v>
      </c>
      <c r="C7" s="72">
        <f>SUM(C8)</f>
        <v>943429280</v>
      </c>
      <c r="D7" s="72">
        <f>SUM(D33,D8)</f>
        <v>228668559</v>
      </c>
      <c r="E7" s="72">
        <f aca="true" t="shared" si="0" ref="E7:E31">SUM(C7:D7)</f>
        <v>1172097839</v>
      </c>
      <c r="F7" s="54" t="s">
        <v>752</v>
      </c>
      <c r="G7" s="72">
        <f>SUM(G8,G33)</f>
        <v>1076086811</v>
      </c>
      <c r="H7" s="72">
        <f>SUM(H8,H33)</f>
        <v>188492883</v>
      </c>
      <c r="I7" s="72">
        <f aca="true" t="shared" si="1" ref="I7:I12">SUM(G7:H7)</f>
        <v>1264579694</v>
      </c>
    </row>
    <row r="8" spans="1:9" s="64" customFormat="1" ht="12.75">
      <c r="A8" s="94">
        <v>2</v>
      </c>
      <c r="B8" s="61" t="s">
        <v>650</v>
      </c>
      <c r="C8" s="62">
        <f>SUM(C29+C18+C14+C9)</f>
        <v>943429280</v>
      </c>
      <c r="D8" s="62">
        <f>SUM(D29+D18+D14+D9)</f>
        <v>0</v>
      </c>
      <c r="E8" s="62">
        <f t="shared" si="0"/>
        <v>943429280</v>
      </c>
      <c r="F8" s="63" t="s">
        <v>655</v>
      </c>
      <c r="G8" s="62">
        <f>SUM(G9:G13)</f>
        <v>1076086811</v>
      </c>
      <c r="H8" s="62">
        <f>SUM(H9:H13)</f>
        <v>4589000</v>
      </c>
      <c r="I8" s="62">
        <f t="shared" si="1"/>
        <v>1080675811</v>
      </c>
    </row>
    <row r="9" spans="1:9" s="36" customFormat="1" ht="12.75">
      <c r="A9" s="94">
        <v>3</v>
      </c>
      <c r="B9" s="70" t="s">
        <v>92</v>
      </c>
      <c r="C9" s="51">
        <f>SUM(C10:C13)</f>
        <v>603795324</v>
      </c>
      <c r="D9" s="51">
        <f>SUM(D10:D13)</f>
        <v>0</v>
      </c>
      <c r="E9" s="51">
        <f t="shared" si="0"/>
        <v>603795324</v>
      </c>
      <c r="F9" s="71" t="s">
        <v>656</v>
      </c>
      <c r="G9" s="51">
        <f>352039000-774000-4974000-2346000-417000+38500+60400+27100+17900+2500+216000+511000+282000+72000+199000+4235000+1052000+9000+112000+762000+95500+950000+916000+33000+10000+936850+810400+350937-222000+90000</f>
        <v>355095087</v>
      </c>
      <c r="H9" s="51">
        <v>0</v>
      </c>
      <c r="I9" s="51">
        <f t="shared" si="1"/>
        <v>355095087</v>
      </c>
    </row>
    <row r="10" spans="1:9" s="36" customFormat="1" ht="12.75">
      <c r="A10" s="91">
        <v>4</v>
      </c>
      <c r="B10" s="48" t="s">
        <v>93</v>
      </c>
      <c r="C10" s="53">
        <f>488751000+449506+77+280-24+3799000+1275000+4214000+2720131</f>
        <v>501208970</v>
      </c>
      <c r="D10" s="53">
        <v>0</v>
      </c>
      <c r="E10" s="53">
        <f t="shared" si="0"/>
        <v>501208970</v>
      </c>
      <c r="F10" s="71" t="s">
        <v>119</v>
      </c>
      <c r="G10" s="51">
        <f>98865000-209000-1343000-634000-113000+608000+10395+16308+7317+4833+675+58000+138000+76000+19000+54000+1079000+284000+5000+30240+205000+292000+25785+257000+247000+17000+5000+252950+237188+94749-60000+24000</f>
        <v>100554440</v>
      </c>
      <c r="H10" s="51">
        <v>0</v>
      </c>
      <c r="I10" s="51">
        <f t="shared" si="1"/>
        <v>100554440</v>
      </c>
    </row>
    <row r="11" spans="1:9" s="36" customFormat="1" ht="12.75">
      <c r="A11" s="94">
        <v>5</v>
      </c>
      <c r="B11" s="48" t="s">
        <v>94</v>
      </c>
      <c r="C11" s="53">
        <v>1455000</v>
      </c>
      <c r="D11" s="53">
        <v>0</v>
      </c>
      <c r="E11" s="53">
        <f t="shared" si="0"/>
        <v>1455000</v>
      </c>
      <c r="F11" s="71" t="s">
        <v>120</v>
      </c>
      <c r="G11" s="51">
        <f>332501000+1276000-1500000-150000-10000-674000-394000+2980000-350000-127000+64000+5924000+1720000+29000+963000+17000+361000+1177000+210000+46443+1786000+49000-114000-37000-14000+1000+21000+37000+215000+1500000-68000+19000-19000-42000-79000-50000-153000+15000+1000000+24000-381000+216352-1000000-4277000+279000-14000-1496000+125781</f>
        <v>341607576</v>
      </c>
      <c r="H11" s="51">
        <v>0</v>
      </c>
      <c r="I11" s="51">
        <f t="shared" si="1"/>
        <v>341607576</v>
      </c>
    </row>
    <row r="12" spans="1:9" s="36" customFormat="1" ht="12.75">
      <c r="A12" s="94">
        <v>6</v>
      </c>
      <c r="B12" s="48" t="s">
        <v>95</v>
      </c>
      <c r="C12" s="53">
        <f>89240000+7100000+1163000+1189800+1263940+445686</f>
        <v>100402426</v>
      </c>
      <c r="D12" s="53">
        <v>0</v>
      </c>
      <c r="E12" s="53">
        <f t="shared" si="0"/>
        <v>100402426</v>
      </c>
      <c r="F12" s="71" t="s">
        <v>121</v>
      </c>
      <c r="G12" s="51">
        <f>16835000+49000-1414600</f>
        <v>15469400</v>
      </c>
      <c r="H12" s="51">
        <v>0</v>
      </c>
      <c r="I12" s="51">
        <f t="shared" si="1"/>
        <v>15469400</v>
      </c>
    </row>
    <row r="13" spans="1:9" s="36" customFormat="1" ht="12.75">
      <c r="A13" s="94">
        <v>7</v>
      </c>
      <c r="B13" s="48" t="s">
        <v>987</v>
      </c>
      <c r="C13" s="53">
        <f>39172+689756</f>
        <v>728928</v>
      </c>
      <c r="D13" s="53">
        <v>0</v>
      </c>
      <c r="E13" s="53">
        <f t="shared" si="0"/>
        <v>728928</v>
      </c>
      <c r="F13" s="75" t="s">
        <v>124</v>
      </c>
      <c r="G13" s="51">
        <f>SUM(G14:G18)</f>
        <v>263360308</v>
      </c>
      <c r="H13" s="51">
        <f>SUM(H14:H18)</f>
        <v>4589000</v>
      </c>
      <c r="I13" s="51">
        <f aca="true" t="shared" si="2" ref="I13:I18">SUM(G13:H13)</f>
        <v>267949308</v>
      </c>
    </row>
    <row r="14" spans="1:9" s="36" customFormat="1" ht="12.75">
      <c r="A14" s="91">
        <v>8</v>
      </c>
      <c r="B14" s="70" t="s">
        <v>99</v>
      </c>
      <c r="C14" s="51">
        <f>SUM(C15:C17)</f>
        <v>181682928</v>
      </c>
      <c r="D14" s="51">
        <f>SUM(D15:D17)</f>
        <v>0</v>
      </c>
      <c r="E14" s="51">
        <f t="shared" si="0"/>
        <v>181682928</v>
      </c>
      <c r="F14" s="50" t="s">
        <v>122</v>
      </c>
      <c r="G14" s="53">
        <f>937000+73000+3430000</f>
        <v>4440000</v>
      </c>
      <c r="H14" s="53">
        <v>0</v>
      </c>
      <c r="I14" s="53">
        <f t="shared" si="2"/>
        <v>4440000</v>
      </c>
    </row>
    <row r="15" spans="1:9" s="37" customFormat="1" ht="12.75">
      <c r="A15" s="94">
        <v>9</v>
      </c>
      <c r="B15" s="48" t="s">
        <v>228</v>
      </c>
      <c r="C15" s="53">
        <f>147225000+3430000+5644000-25000+4674314</f>
        <v>160948314</v>
      </c>
      <c r="D15" s="53">
        <v>0</v>
      </c>
      <c r="E15" s="53">
        <f t="shared" si="0"/>
        <v>160948314</v>
      </c>
      <c r="F15" s="50" t="s">
        <v>805</v>
      </c>
      <c r="G15" s="53">
        <v>0</v>
      </c>
      <c r="H15" s="53">
        <v>0</v>
      </c>
      <c r="I15" s="53">
        <f t="shared" si="2"/>
        <v>0</v>
      </c>
    </row>
    <row r="16" spans="1:9" s="37" customFormat="1" ht="12.75">
      <c r="A16" s="94">
        <v>10</v>
      </c>
      <c r="B16" s="49" t="s">
        <v>131</v>
      </c>
      <c r="C16" s="53">
        <v>20000000</v>
      </c>
      <c r="D16" s="53">
        <v>0</v>
      </c>
      <c r="E16" s="53">
        <f t="shared" si="0"/>
        <v>20000000</v>
      </c>
      <c r="F16" s="50" t="s">
        <v>123</v>
      </c>
      <c r="G16" s="53">
        <f>317236000-6000000-5308000-2200000-2380000-5400000+1563000-500000-405000-500000-2870000-1200000-9441000+3820000+1272000+1666000+1552000-4000+350000-64000000+2720131-100000+2709200</f>
        <v>232580331</v>
      </c>
      <c r="H16" s="53">
        <v>0</v>
      </c>
      <c r="I16" s="53">
        <f t="shared" si="2"/>
        <v>232580331</v>
      </c>
    </row>
    <row r="17" spans="1:9" s="37" customFormat="1" ht="12.75">
      <c r="A17" s="91">
        <v>11</v>
      </c>
      <c r="B17" s="48" t="s">
        <v>100</v>
      </c>
      <c r="C17" s="53">
        <f>710000+24614</f>
        <v>734614</v>
      </c>
      <c r="D17" s="53">
        <v>0</v>
      </c>
      <c r="E17" s="53">
        <f t="shared" si="0"/>
        <v>734614</v>
      </c>
      <c r="F17" s="50" t="s">
        <v>985</v>
      </c>
      <c r="G17" s="53">
        <f>25143529+467520+689756+39172</f>
        <v>26339977</v>
      </c>
      <c r="H17" s="53">
        <v>0</v>
      </c>
      <c r="I17" s="53">
        <f t="shared" si="2"/>
        <v>26339977</v>
      </c>
    </row>
    <row r="18" spans="1:9" s="37" customFormat="1" ht="12.75">
      <c r="A18" s="94">
        <v>12</v>
      </c>
      <c r="B18" s="70" t="s">
        <v>101</v>
      </c>
      <c r="C18" s="51">
        <f>SUM(C19:C28)</f>
        <v>140635043</v>
      </c>
      <c r="D18" s="51">
        <f>SUM(D19:D28)</f>
        <v>0</v>
      </c>
      <c r="E18" s="51">
        <f t="shared" si="0"/>
        <v>140635043</v>
      </c>
      <c r="F18" s="50" t="s">
        <v>986</v>
      </c>
      <c r="G18" s="53">
        <f>5900000-1500000-1000000-588000-73000-64000+97040048-5924000+3472000-3472000+4299000-4299000-4477000-49000-608000-4260000-17635925-25143529+728928+3902804-513963-200000+1275000+4214000-1336000-112000-4299000-2300000-619583-2645063-6460000-21000-15000000-13000-3902804-39000-3672000-8997631-276000-1331282</f>
        <v>0</v>
      </c>
      <c r="H18" s="53">
        <f>40869000-40540000+4260000</f>
        <v>4589000</v>
      </c>
      <c r="I18" s="53">
        <f t="shared" si="2"/>
        <v>4589000</v>
      </c>
    </row>
    <row r="19" spans="1:9" s="36" customFormat="1" ht="12.75">
      <c r="A19" s="94">
        <v>13</v>
      </c>
      <c r="B19" s="48" t="s">
        <v>854</v>
      </c>
      <c r="C19" s="53">
        <f>7400000-3878804+291141</f>
        <v>3812337</v>
      </c>
      <c r="D19" s="53">
        <v>0</v>
      </c>
      <c r="E19" s="53">
        <f t="shared" si="0"/>
        <v>3812337</v>
      </c>
      <c r="F19" s="50"/>
      <c r="G19" s="53"/>
      <c r="H19" s="53"/>
      <c r="I19" s="53"/>
    </row>
    <row r="20" spans="1:9" s="36" customFormat="1" ht="12.75">
      <c r="A20" s="91">
        <v>14</v>
      </c>
      <c r="B20" s="48" t="s">
        <v>102</v>
      </c>
      <c r="C20" s="53">
        <f>86817000+4724000+1181000+220000-282000+114000</f>
        <v>92774000</v>
      </c>
      <c r="D20" s="53">
        <v>0</v>
      </c>
      <c r="E20" s="53">
        <f t="shared" si="0"/>
        <v>92774000</v>
      </c>
      <c r="F20" s="50"/>
      <c r="G20" s="53"/>
      <c r="H20" s="53"/>
      <c r="I20" s="53"/>
    </row>
    <row r="21" spans="1:9" s="36" customFormat="1" ht="12.75">
      <c r="A21" s="94">
        <v>15</v>
      </c>
      <c r="B21" s="48" t="s">
        <v>103</v>
      </c>
      <c r="C21" s="53">
        <f>9499000+49000+37000+215000+99040</f>
        <v>9899040</v>
      </c>
      <c r="D21" s="53">
        <v>0</v>
      </c>
      <c r="E21" s="53">
        <f t="shared" si="0"/>
        <v>9899040</v>
      </c>
      <c r="F21" s="50"/>
      <c r="G21" s="53"/>
      <c r="H21" s="53"/>
      <c r="I21" s="53"/>
    </row>
    <row r="22" spans="1:9" s="36" customFormat="1" ht="12.75">
      <c r="A22" s="94">
        <v>16</v>
      </c>
      <c r="B22" s="48" t="s">
        <v>780</v>
      </c>
      <c r="C22" s="53">
        <v>579000</v>
      </c>
      <c r="D22" s="53">
        <v>0</v>
      </c>
      <c r="E22" s="53">
        <f t="shared" si="0"/>
        <v>579000</v>
      </c>
      <c r="F22" s="50"/>
      <c r="G22" s="53"/>
      <c r="H22" s="53"/>
      <c r="I22" s="53"/>
    </row>
    <row r="23" spans="1:9" s="36" customFormat="1" ht="12.75">
      <c r="A23" s="91">
        <v>17</v>
      </c>
      <c r="B23" s="48" t="s">
        <v>104</v>
      </c>
      <c r="C23" s="53">
        <v>5787000</v>
      </c>
      <c r="D23" s="53">
        <v>0</v>
      </c>
      <c r="E23" s="53">
        <f t="shared" si="0"/>
        <v>5787000</v>
      </c>
      <c r="F23" s="50"/>
      <c r="G23" s="53"/>
      <c r="H23" s="53"/>
      <c r="I23" s="53"/>
    </row>
    <row r="24" spans="1:9" s="36" customFormat="1" ht="12.75">
      <c r="A24" s="94">
        <v>18</v>
      </c>
      <c r="B24" s="48" t="s">
        <v>105</v>
      </c>
      <c r="C24" s="53">
        <f>22781000+1276000+319000+78608+59000+26741</f>
        <v>24540349</v>
      </c>
      <c r="D24" s="53">
        <v>0</v>
      </c>
      <c r="E24" s="53">
        <f t="shared" si="0"/>
        <v>24540349</v>
      </c>
      <c r="F24" s="35"/>
      <c r="G24" s="53"/>
      <c r="H24" s="52"/>
      <c r="I24" s="52"/>
    </row>
    <row r="25" spans="1:9" s="36" customFormat="1" ht="12.75">
      <c r="A25" s="94">
        <v>19</v>
      </c>
      <c r="B25" s="48" t="s">
        <v>482</v>
      </c>
      <c r="C25" s="53">
        <v>0</v>
      </c>
      <c r="D25" s="53">
        <v>0</v>
      </c>
      <c r="E25" s="53">
        <f t="shared" si="0"/>
        <v>0</v>
      </c>
      <c r="F25" s="35"/>
      <c r="G25" s="53"/>
      <c r="H25" s="52"/>
      <c r="I25" s="52"/>
    </row>
    <row r="26" spans="1:9" s="36" customFormat="1" ht="12.75">
      <c r="A26" s="94">
        <v>20</v>
      </c>
      <c r="B26" s="48" t="s">
        <v>982</v>
      </c>
      <c r="C26" s="53">
        <f>130000+2000</f>
        <v>132000</v>
      </c>
      <c r="D26" s="53">
        <v>0</v>
      </c>
      <c r="E26" s="53">
        <f t="shared" si="0"/>
        <v>132000</v>
      </c>
      <c r="F26" s="35"/>
      <c r="G26" s="53"/>
      <c r="H26" s="52"/>
      <c r="I26" s="52"/>
    </row>
    <row r="27" spans="1:9" s="36" customFormat="1" ht="12.75">
      <c r="A27" s="94">
        <v>21</v>
      </c>
      <c r="B27" s="48" t="s">
        <v>983</v>
      </c>
      <c r="C27" s="53">
        <v>349000</v>
      </c>
      <c r="D27" s="53"/>
      <c r="E27" s="53">
        <f t="shared" si="0"/>
        <v>349000</v>
      </c>
      <c r="F27" s="35"/>
      <c r="G27" s="53"/>
      <c r="H27" s="52"/>
      <c r="I27" s="52"/>
    </row>
    <row r="28" spans="1:9" s="34" customFormat="1" ht="12.75">
      <c r="A28" s="91">
        <v>22</v>
      </c>
      <c r="B28" s="48" t="s">
        <v>984</v>
      </c>
      <c r="C28" s="53">
        <f>63000+2297317+402000</f>
        <v>2762317</v>
      </c>
      <c r="D28" s="53">
        <v>0</v>
      </c>
      <c r="E28" s="53">
        <f t="shared" si="0"/>
        <v>2762317</v>
      </c>
      <c r="F28" s="35"/>
      <c r="G28" s="52"/>
      <c r="H28" s="52"/>
      <c r="I28" s="52"/>
    </row>
    <row r="29" spans="1:9" s="34" customFormat="1" ht="12.75">
      <c r="A29" s="94">
        <v>23</v>
      </c>
      <c r="B29" s="70" t="s">
        <v>111</v>
      </c>
      <c r="C29" s="51">
        <f>SUM(C30:C31)</f>
        <v>17315985</v>
      </c>
      <c r="D29" s="51">
        <v>0</v>
      </c>
      <c r="E29" s="51">
        <f t="shared" si="0"/>
        <v>17315985</v>
      </c>
      <c r="F29" s="35"/>
      <c r="G29" s="52"/>
      <c r="H29" s="52"/>
      <c r="I29" s="52"/>
    </row>
    <row r="30" spans="1:9" s="34" customFormat="1" ht="12.75">
      <c r="A30" s="94">
        <v>24</v>
      </c>
      <c r="B30" s="48" t="s">
        <v>112</v>
      </c>
      <c r="C30" s="53">
        <v>14668000</v>
      </c>
      <c r="D30" s="53">
        <v>0</v>
      </c>
      <c r="E30" s="53">
        <f t="shared" si="0"/>
        <v>14668000</v>
      </c>
      <c r="F30" s="35"/>
      <c r="G30" s="52"/>
      <c r="H30" s="52"/>
      <c r="I30" s="52"/>
    </row>
    <row r="31" spans="1:9" s="34" customFormat="1" ht="12.75">
      <c r="A31" s="91">
        <v>25</v>
      </c>
      <c r="B31" s="48" t="s">
        <v>113</v>
      </c>
      <c r="C31" s="53">
        <f>1500000+1000000+147985</f>
        <v>2647985</v>
      </c>
      <c r="D31" s="53">
        <v>0</v>
      </c>
      <c r="E31" s="53">
        <f t="shared" si="0"/>
        <v>2647985</v>
      </c>
      <c r="F31" s="35"/>
      <c r="G31" s="52"/>
      <c r="H31" s="52"/>
      <c r="I31" s="52"/>
    </row>
    <row r="32" spans="1:9" s="34" customFormat="1" ht="12.75">
      <c r="A32" s="94">
        <v>26</v>
      </c>
      <c r="B32" s="48"/>
      <c r="C32" s="53"/>
      <c r="D32" s="53"/>
      <c r="E32" s="53"/>
      <c r="F32" s="35"/>
      <c r="G32" s="52"/>
      <c r="H32" s="52"/>
      <c r="I32" s="52"/>
    </row>
    <row r="33" spans="1:9" s="64" customFormat="1" ht="12.75">
      <c r="A33" s="94">
        <v>27</v>
      </c>
      <c r="B33" s="65" t="s">
        <v>654</v>
      </c>
      <c r="C33" s="62">
        <f>SUM(C42+C37+C34)</f>
        <v>0</v>
      </c>
      <c r="D33" s="62">
        <f>SUM(D42+D37+D34)</f>
        <v>228668559</v>
      </c>
      <c r="E33" s="62">
        <f>SUM(D33:D33)</f>
        <v>228668559</v>
      </c>
      <c r="F33" s="63" t="s">
        <v>522</v>
      </c>
      <c r="G33" s="62">
        <f>SUM(G34:G36)</f>
        <v>0</v>
      </c>
      <c r="H33" s="62">
        <f>SUM(H34:H36)</f>
        <v>183903883</v>
      </c>
      <c r="I33" s="62">
        <f aca="true" t="shared" si="3" ref="I33:I41">SUM(G33:H33)</f>
        <v>183903883</v>
      </c>
    </row>
    <row r="34" spans="1:9" s="34" customFormat="1" ht="12.75">
      <c r="A34" s="91">
        <v>28</v>
      </c>
      <c r="B34" s="70" t="s">
        <v>96</v>
      </c>
      <c r="C34" s="51">
        <f>SUM(C35:C36)</f>
        <v>0</v>
      </c>
      <c r="D34" s="51">
        <f>SUM(D35:D36)</f>
        <v>149375059</v>
      </c>
      <c r="E34" s="51">
        <f>SUM(D34:D34)</f>
        <v>149375059</v>
      </c>
      <c r="F34" s="71" t="s">
        <v>125</v>
      </c>
      <c r="G34" s="51">
        <v>0</v>
      </c>
      <c r="H34" s="51">
        <f>37803000-3000000-333000-10400000+5644000+114000+37000+112000+4299000+48710+13152+1811000+489000+6460000+15000000+1175381+68000+42000+79000-15000+153000+381000-8201000-4350000-1000000-200000-1094000+2603500+14000</f>
        <v>47753743</v>
      </c>
      <c r="I34" s="51">
        <f t="shared" si="3"/>
        <v>47753743</v>
      </c>
    </row>
    <row r="35" spans="1:9" s="34" customFormat="1" ht="12.75">
      <c r="A35" s="94">
        <v>29</v>
      </c>
      <c r="B35" s="48" t="s">
        <v>97</v>
      </c>
      <c r="C35" s="53">
        <v>0</v>
      </c>
      <c r="D35" s="53">
        <f>11772070+114000</f>
        <v>11886070</v>
      </c>
      <c r="E35" s="53">
        <f aca="true" t="shared" si="4" ref="E35:E44">SUM(D35:D35)</f>
        <v>11886070</v>
      </c>
      <c r="F35" s="71" t="s">
        <v>126</v>
      </c>
      <c r="G35" s="51">
        <v>0</v>
      </c>
      <c r="H35" s="51">
        <f>1252000+1588000+1006000+2200000+439150+118571+2082727+562336+10596689-2645063</f>
        <v>17200410</v>
      </c>
      <c r="I35" s="51">
        <f t="shared" si="3"/>
        <v>17200410</v>
      </c>
    </row>
    <row r="36" spans="1:9" s="34" customFormat="1" ht="12.75">
      <c r="A36" s="94">
        <v>30</v>
      </c>
      <c r="B36" s="48" t="s">
        <v>98</v>
      </c>
      <c r="C36" s="53">
        <v>0</v>
      </c>
      <c r="D36" s="53">
        <f>131327000+6161989</f>
        <v>137488989</v>
      </c>
      <c r="E36" s="53">
        <f t="shared" si="4"/>
        <v>137488989</v>
      </c>
      <c r="F36" s="71" t="s">
        <v>127</v>
      </c>
      <c r="G36" s="51">
        <f>SUM(G37:G41)</f>
        <v>0</v>
      </c>
      <c r="H36" s="51">
        <f>SUM(H37:H41)</f>
        <v>118949730</v>
      </c>
      <c r="I36" s="51">
        <f t="shared" si="3"/>
        <v>118949730</v>
      </c>
    </row>
    <row r="37" spans="1:9" s="34" customFormat="1" ht="12.75">
      <c r="A37" s="91">
        <v>31</v>
      </c>
      <c r="B37" s="70" t="s">
        <v>106</v>
      </c>
      <c r="C37" s="51">
        <f>SUM(C38:C41)</f>
        <v>0</v>
      </c>
      <c r="D37" s="51">
        <f>SUM(D38:D41)</f>
        <v>71690000</v>
      </c>
      <c r="E37" s="51">
        <f t="shared" si="4"/>
        <v>71690000</v>
      </c>
      <c r="F37" s="50" t="s">
        <v>128</v>
      </c>
      <c r="G37" s="53">
        <v>0</v>
      </c>
      <c r="H37" s="53">
        <v>0</v>
      </c>
      <c r="I37" s="53">
        <f t="shared" si="3"/>
        <v>0</v>
      </c>
    </row>
    <row r="38" spans="1:9" s="34" customFormat="1" ht="12.75">
      <c r="A38" s="94">
        <v>32</v>
      </c>
      <c r="B38" s="48" t="s">
        <v>107</v>
      </c>
      <c r="C38" s="53">
        <v>0</v>
      </c>
      <c r="D38" s="53">
        <v>0</v>
      </c>
      <c r="E38" s="53">
        <f t="shared" si="4"/>
        <v>0</v>
      </c>
      <c r="F38" s="50" t="s">
        <v>129</v>
      </c>
      <c r="G38" s="53">
        <v>0</v>
      </c>
      <c r="H38" s="53">
        <v>0</v>
      </c>
      <c r="I38" s="53">
        <f t="shared" si="3"/>
        <v>0</v>
      </c>
    </row>
    <row r="39" spans="1:9" s="36" customFormat="1" ht="12.75">
      <c r="A39" s="94">
        <v>33</v>
      </c>
      <c r="B39" s="48" t="s">
        <v>108</v>
      </c>
      <c r="C39" s="53">
        <f>SUM(C40:C41)</f>
        <v>0</v>
      </c>
      <c r="D39" s="53">
        <f>129510000-48820000-9000000</f>
        <v>71690000</v>
      </c>
      <c r="E39" s="53">
        <f t="shared" si="4"/>
        <v>71690000</v>
      </c>
      <c r="F39" s="50" t="s">
        <v>130</v>
      </c>
      <c r="G39" s="53">
        <v>0</v>
      </c>
      <c r="H39" s="53">
        <v>5768314</v>
      </c>
      <c r="I39" s="53">
        <f t="shared" si="3"/>
        <v>5768314</v>
      </c>
    </row>
    <row r="40" spans="1:9" s="36" customFormat="1" ht="12.75">
      <c r="A40" s="91">
        <v>34</v>
      </c>
      <c r="B40" s="48" t="s">
        <v>109</v>
      </c>
      <c r="C40" s="53">
        <v>0</v>
      </c>
      <c r="D40" s="53">
        <v>0</v>
      </c>
      <c r="E40" s="53">
        <f t="shared" si="4"/>
        <v>0</v>
      </c>
      <c r="F40" s="50" t="s">
        <v>132</v>
      </c>
      <c r="G40" s="53">
        <v>0</v>
      </c>
      <c r="H40" s="53">
        <v>0</v>
      </c>
      <c r="I40" s="53">
        <f t="shared" si="3"/>
        <v>0</v>
      </c>
    </row>
    <row r="41" spans="1:9" s="38" customFormat="1" ht="13.5">
      <c r="A41" s="94">
        <v>35</v>
      </c>
      <c r="B41" s="48" t="s">
        <v>110</v>
      </c>
      <c r="C41" s="53">
        <v>0</v>
      </c>
      <c r="D41" s="53">
        <v>0</v>
      </c>
      <c r="E41" s="53">
        <f t="shared" si="4"/>
        <v>0</v>
      </c>
      <c r="F41" s="50" t="s">
        <v>133</v>
      </c>
      <c r="G41" s="53">
        <v>0</v>
      </c>
      <c r="H41" s="53">
        <f>398000+1500000+64000000+39000+214000+46000000+200000+830416</f>
        <v>113181416</v>
      </c>
      <c r="I41" s="53">
        <f t="shared" si="3"/>
        <v>113181416</v>
      </c>
    </row>
    <row r="42" spans="1:9" s="38" customFormat="1" ht="13.5">
      <c r="A42" s="94">
        <v>36</v>
      </c>
      <c r="B42" s="70" t="s">
        <v>114</v>
      </c>
      <c r="C42" s="51">
        <f>SUM(C43:C44)</f>
        <v>0</v>
      </c>
      <c r="D42" s="51">
        <f>SUM(D43:D44)</f>
        <v>7603500</v>
      </c>
      <c r="E42" s="51">
        <f t="shared" si="4"/>
        <v>7603500</v>
      </c>
      <c r="F42" s="50"/>
      <c r="G42" s="53"/>
      <c r="H42" s="53"/>
      <c r="I42" s="53"/>
    </row>
    <row r="43" spans="1:9" s="38" customFormat="1" ht="13.5">
      <c r="A43" s="91">
        <v>37</v>
      </c>
      <c r="B43" s="48" t="s">
        <v>117</v>
      </c>
      <c r="C43" s="53">
        <v>0</v>
      </c>
      <c r="D43" s="53">
        <f>40540000-40540000</f>
        <v>0</v>
      </c>
      <c r="E43" s="53">
        <f t="shared" si="4"/>
        <v>0</v>
      </c>
      <c r="F43" s="39"/>
      <c r="G43" s="53"/>
      <c r="H43" s="53"/>
      <c r="I43" s="53"/>
    </row>
    <row r="44" spans="1:9" s="38" customFormat="1" ht="13.5">
      <c r="A44" s="94">
        <v>38</v>
      </c>
      <c r="B44" s="48" t="s">
        <v>118</v>
      </c>
      <c r="C44" s="53">
        <v>0</v>
      </c>
      <c r="D44" s="53">
        <f>3000000+2000000+2603500</f>
        <v>7603500</v>
      </c>
      <c r="E44" s="53">
        <f t="shared" si="4"/>
        <v>7603500</v>
      </c>
      <c r="F44" s="39"/>
      <c r="G44" s="53"/>
      <c r="H44" s="53"/>
      <c r="I44" s="53"/>
    </row>
    <row r="45" spans="1:9" s="40" customFormat="1" ht="6" customHeight="1">
      <c r="A45" s="853"/>
      <c r="B45" s="854"/>
      <c r="C45" s="854"/>
      <c r="D45" s="854"/>
      <c r="E45" s="854"/>
      <c r="F45" s="854"/>
      <c r="G45" s="854"/>
      <c r="H45" s="854"/>
      <c r="I45" s="855"/>
    </row>
    <row r="46" spans="1:9" s="40" customFormat="1" ht="15">
      <c r="A46" s="94">
        <v>39</v>
      </c>
      <c r="B46" s="856" t="s">
        <v>753</v>
      </c>
      <c r="C46" s="857"/>
      <c r="D46" s="857"/>
      <c r="E46" s="857"/>
      <c r="F46" s="857"/>
      <c r="G46" s="120">
        <f>C7-G7</f>
        <v>-132657531</v>
      </c>
      <c r="H46" s="120">
        <f>D7-H7</f>
        <v>40175676</v>
      </c>
      <c r="I46" s="120">
        <f>SUM(G46:H46)</f>
        <v>-92481855</v>
      </c>
    </row>
    <row r="47" spans="1:9" s="40" customFormat="1" ht="6" customHeight="1">
      <c r="A47" s="845"/>
      <c r="B47" s="846"/>
      <c r="C47" s="846"/>
      <c r="D47" s="846"/>
      <c r="E47" s="846"/>
      <c r="F47" s="846"/>
      <c r="G47" s="846"/>
      <c r="H47" s="846"/>
      <c r="I47" s="847"/>
    </row>
    <row r="48" spans="1:9" s="58" customFormat="1" ht="28.5">
      <c r="A48" s="94">
        <v>40</v>
      </c>
      <c r="B48" s="54" t="s">
        <v>523</v>
      </c>
      <c r="C48" s="56">
        <f>SUM(C49:C50)</f>
        <v>98174780</v>
      </c>
      <c r="D48" s="56">
        <f>SUM(D49:D50)</f>
        <v>11943000</v>
      </c>
      <c r="E48" s="56">
        <f aca="true" t="shared" si="5" ref="E48:E55">SUM(C48:D48)</f>
        <v>110117780</v>
      </c>
      <c r="F48" s="57"/>
      <c r="G48" s="56"/>
      <c r="H48" s="56"/>
      <c r="I48" s="56"/>
    </row>
    <row r="49" spans="1:9" s="67" customFormat="1" ht="13.5">
      <c r="A49" s="91">
        <v>41</v>
      </c>
      <c r="B49" s="68" t="s">
        <v>988</v>
      </c>
      <c r="C49" s="62">
        <f>470000+92780048+982756+39172</f>
        <v>94271976</v>
      </c>
      <c r="D49" s="62">
        <f>7683000+4260000</f>
        <v>11943000</v>
      </c>
      <c r="E49" s="62">
        <f t="shared" si="5"/>
        <v>106214976</v>
      </c>
      <c r="F49" s="63"/>
      <c r="G49" s="62"/>
      <c r="H49" s="62"/>
      <c r="I49" s="62"/>
    </row>
    <row r="50" spans="1:9" s="67" customFormat="1" ht="13.5">
      <c r="A50" s="91">
        <v>42</v>
      </c>
      <c r="B50" s="68" t="s">
        <v>989</v>
      </c>
      <c r="C50" s="62">
        <v>3902804</v>
      </c>
      <c r="D50" s="62">
        <v>0</v>
      </c>
      <c r="E50" s="62">
        <f t="shared" si="5"/>
        <v>3902804</v>
      </c>
      <c r="F50" s="63"/>
      <c r="G50" s="62"/>
      <c r="H50" s="62"/>
      <c r="I50" s="62"/>
    </row>
    <row r="51" spans="1:9" s="58" customFormat="1" ht="28.5">
      <c r="A51" s="94">
        <v>43</v>
      </c>
      <c r="B51" s="54" t="s">
        <v>524</v>
      </c>
      <c r="C51" s="56">
        <f>SUM(C52:C54)</f>
        <v>0</v>
      </c>
      <c r="D51" s="56">
        <f>SUM(D52:D54)</f>
        <v>0</v>
      </c>
      <c r="E51" s="56">
        <f t="shared" si="5"/>
        <v>0</v>
      </c>
      <c r="F51" s="73" t="s">
        <v>525</v>
      </c>
      <c r="G51" s="56">
        <f>SUM(G52:G54)</f>
        <v>17635925</v>
      </c>
      <c r="H51" s="56">
        <f>SUM(H52:H54)</f>
        <v>0</v>
      </c>
      <c r="I51" s="56">
        <f>SUM(G51:H51)</f>
        <v>17635925</v>
      </c>
    </row>
    <row r="52" spans="1:9" s="67" customFormat="1" ht="13.5">
      <c r="A52" s="94">
        <v>44</v>
      </c>
      <c r="B52" s="66" t="s">
        <v>990</v>
      </c>
      <c r="C52" s="62">
        <v>0</v>
      </c>
      <c r="D52" s="62">
        <v>0</v>
      </c>
      <c r="E52" s="62">
        <f t="shared" si="5"/>
        <v>0</v>
      </c>
      <c r="F52" s="63" t="s">
        <v>991</v>
      </c>
      <c r="G52" s="62">
        <v>0</v>
      </c>
      <c r="H52" s="62">
        <v>0</v>
      </c>
      <c r="I52" s="62">
        <f>SUM(G52:H52)</f>
        <v>0</v>
      </c>
    </row>
    <row r="53" spans="1:9" s="69" customFormat="1" ht="12.75">
      <c r="A53" s="94">
        <v>45</v>
      </c>
      <c r="B53" s="66" t="s">
        <v>992</v>
      </c>
      <c r="C53" s="62">
        <v>0</v>
      </c>
      <c r="D53" s="62">
        <v>0</v>
      </c>
      <c r="E53" s="62">
        <f t="shared" si="5"/>
        <v>0</v>
      </c>
      <c r="F53" s="63" t="s">
        <v>993</v>
      </c>
      <c r="G53" s="62">
        <v>0</v>
      </c>
      <c r="H53" s="62">
        <v>0</v>
      </c>
      <c r="I53" s="62">
        <f>SUM(G53:H53)</f>
        <v>0</v>
      </c>
    </row>
    <row r="54" spans="1:9" s="69" customFormat="1" ht="12.75">
      <c r="A54" s="94">
        <v>46</v>
      </c>
      <c r="B54" s="66" t="s">
        <v>994</v>
      </c>
      <c r="C54" s="62">
        <v>0</v>
      </c>
      <c r="D54" s="62">
        <v>0</v>
      </c>
      <c r="E54" s="62">
        <v>0</v>
      </c>
      <c r="F54" s="63" t="s">
        <v>995</v>
      </c>
      <c r="G54" s="62">
        <v>17635925</v>
      </c>
      <c r="H54" s="62"/>
      <c r="I54" s="62"/>
    </row>
    <row r="55" spans="1:9" s="60" customFormat="1" ht="15.75">
      <c r="A55" s="94">
        <v>47</v>
      </c>
      <c r="B55" s="59" t="s">
        <v>631</v>
      </c>
      <c r="C55" s="74">
        <f>SUM(C7,C48,C51)</f>
        <v>1041604060</v>
      </c>
      <c r="D55" s="74">
        <f>SUM(D7,D48,D51)</f>
        <v>240611559</v>
      </c>
      <c r="E55" s="74">
        <f t="shared" si="5"/>
        <v>1282215619</v>
      </c>
      <c r="F55" s="59" t="s">
        <v>535</v>
      </c>
      <c r="G55" s="74">
        <f>SUM(G7,G51)</f>
        <v>1093722736</v>
      </c>
      <c r="H55" s="74">
        <f>SUM(H7,H51)</f>
        <v>188492883</v>
      </c>
      <c r="I55" s="74">
        <f>SUM(G55:H55)</f>
        <v>1282215619</v>
      </c>
    </row>
    <row r="62" ht="15">
      <c r="B62" s="41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E60"/>
  <sheetViews>
    <sheetView zoomScale="95" zoomScaleNormal="95" zoomScalePageLayoutView="0" workbookViewId="0" topLeftCell="O1">
      <pane ySplit="7" topLeftCell="A41" activePane="bottomLeft" state="frozen"/>
      <selection pane="topLeft" activeCell="A1" sqref="A1"/>
      <selection pane="bottomLeft" activeCell="E2" sqref="E2:AB2"/>
    </sheetView>
  </sheetViews>
  <sheetFormatPr defaultColWidth="8.875" defaultRowHeight="12.75"/>
  <cols>
    <col min="1" max="1" width="1.37890625" style="631" hidden="1" customWidth="1"/>
    <col min="2" max="2" width="8.00390625" style="632" hidden="1" customWidth="1"/>
    <col min="3" max="3" width="8.00390625" style="632" customWidth="1"/>
    <col min="4" max="4" width="4.00390625" style="633" customWidth="1"/>
    <col min="5" max="5" width="31.625" style="631" customWidth="1"/>
    <col min="6" max="6" width="9.25390625" style="634" hidden="1" customWidth="1"/>
    <col min="7" max="7" width="12.125" style="631" customWidth="1"/>
    <col min="8" max="8" width="10.875" style="631" customWidth="1"/>
    <col min="9" max="9" width="11.375" style="631" customWidth="1"/>
    <col min="10" max="11" width="10.125" style="631" customWidth="1"/>
    <col min="12" max="12" width="11.375" style="631" customWidth="1"/>
    <col min="13" max="13" width="8.125" style="631" customWidth="1"/>
    <col min="14" max="14" width="9.25390625" style="631" customWidth="1"/>
    <col min="15" max="15" width="9.375" style="631" customWidth="1"/>
    <col min="16" max="16" width="8.25390625" style="631" customWidth="1"/>
    <col min="17" max="17" width="10.00390625" style="631" customWidth="1"/>
    <col min="18" max="18" width="11.00390625" style="631" customWidth="1"/>
    <col min="19" max="19" width="10.00390625" style="631" customWidth="1"/>
    <col min="20" max="20" width="9.625" style="631" bestFit="1" customWidth="1"/>
    <col min="21" max="21" width="8.75390625" style="631" customWidth="1"/>
    <col min="22" max="22" width="10.375" style="631" customWidth="1"/>
    <col min="23" max="23" width="11.00390625" style="631" customWidth="1"/>
    <col min="24" max="24" width="11.625" style="631" customWidth="1"/>
    <col min="25" max="26" width="11.25390625" style="631" customWidth="1"/>
    <col min="27" max="27" width="11.125" style="631" customWidth="1"/>
    <col min="28" max="28" width="12.25390625" style="685" customWidth="1"/>
    <col min="29" max="29" width="14.375" style="631" customWidth="1"/>
    <col min="30" max="16384" width="8.875" style="631" customWidth="1"/>
  </cols>
  <sheetData>
    <row r="1" spans="3:28" ht="15">
      <c r="C1" s="875"/>
      <c r="M1" s="635"/>
      <c r="N1" s="635"/>
      <c r="O1" s="635"/>
      <c r="P1" s="635"/>
      <c r="Q1" s="635"/>
      <c r="R1" s="635"/>
      <c r="S1" s="635"/>
      <c r="T1" s="879" t="s">
        <v>1183</v>
      </c>
      <c r="U1" s="879"/>
      <c r="V1" s="880"/>
      <c r="W1" s="880"/>
      <c r="X1" s="880"/>
      <c r="Y1" s="880"/>
      <c r="Z1" s="880"/>
      <c r="AA1" s="880"/>
      <c r="AB1" s="880"/>
    </row>
    <row r="2" spans="1:28" ht="15.75">
      <c r="A2" s="637"/>
      <c r="B2" s="638"/>
      <c r="C2" s="875"/>
      <c r="D2" s="638"/>
      <c r="E2" s="858" t="s">
        <v>859</v>
      </c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</row>
    <row r="3" ht="12.75" thickBot="1">
      <c r="AB3" s="272" t="s">
        <v>965</v>
      </c>
    </row>
    <row r="4" spans="2:28" s="639" customFormat="1" ht="12.75" customHeight="1">
      <c r="B4" s="640"/>
      <c r="C4" s="640"/>
      <c r="D4" s="882" t="s">
        <v>623</v>
      </c>
      <c r="E4" s="864" t="s">
        <v>537</v>
      </c>
      <c r="F4" s="859" t="s">
        <v>544</v>
      </c>
      <c r="G4" s="876" t="s">
        <v>545</v>
      </c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8"/>
      <c r="AB4" s="867" t="s">
        <v>546</v>
      </c>
    </row>
    <row r="5" spans="2:28" s="641" customFormat="1" ht="12" customHeight="1">
      <c r="B5" s="642"/>
      <c r="C5" s="642"/>
      <c r="D5" s="883"/>
      <c r="E5" s="865"/>
      <c r="F5" s="860"/>
      <c r="G5" s="862" t="s">
        <v>534</v>
      </c>
      <c r="H5" s="862" t="s">
        <v>533</v>
      </c>
      <c r="I5" s="862" t="s">
        <v>539</v>
      </c>
      <c r="J5" s="862" t="s">
        <v>84</v>
      </c>
      <c r="K5" s="862" t="s">
        <v>241</v>
      </c>
      <c r="L5" s="862" t="s">
        <v>242</v>
      </c>
      <c r="M5" s="862" t="s">
        <v>616</v>
      </c>
      <c r="N5" s="862" t="s">
        <v>629</v>
      </c>
      <c r="O5" s="862" t="s">
        <v>658</v>
      </c>
      <c r="P5" s="862" t="s">
        <v>930</v>
      </c>
      <c r="Q5" s="862" t="s">
        <v>931</v>
      </c>
      <c r="R5" s="862" t="s">
        <v>970</v>
      </c>
      <c r="S5" s="862" t="s">
        <v>974</v>
      </c>
      <c r="T5" s="862" t="s">
        <v>134</v>
      </c>
      <c r="U5" s="862" t="s">
        <v>793</v>
      </c>
      <c r="V5" s="870" t="s">
        <v>531</v>
      </c>
      <c r="W5" s="870" t="s">
        <v>549</v>
      </c>
      <c r="X5" s="862" t="s">
        <v>980</v>
      </c>
      <c r="Y5" s="862" t="s">
        <v>249</v>
      </c>
      <c r="Z5" s="862" t="s">
        <v>1179</v>
      </c>
      <c r="AA5" s="862" t="s">
        <v>243</v>
      </c>
      <c r="AB5" s="868"/>
    </row>
    <row r="6" spans="2:28" s="641" customFormat="1" ht="53.25" customHeight="1">
      <c r="B6" s="642"/>
      <c r="C6" s="642"/>
      <c r="D6" s="883"/>
      <c r="E6" s="866"/>
      <c r="F6" s="861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71"/>
      <c r="W6" s="871"/>
      <c r="X6" s="863"/>
      <c r="Y6" s="863"/>
      <c r="Z6" s="863"/>
      <c r="AA6" s="863"/>
      <c r="AB6" s="869"/>
    </row>
    <row r="7" spans="2:28" s="643" customFormat="1" ht="12">
      <c r="B7" s="644"/>
      <c r="C7" s="644"/>
      <c r="D7" s="884"/>
      <c r="E7" s="645" t="s">
        <v>617</v>
      </c>
      <c r="F7" s="646" t="s">
        <v>618</v>
      </c>
      <c r="G7" s="647" t="s">
        <v>618</v>
      </c>
      <c r="H7" s="647" t="s">
        <v>619</v>
      </c>
      <c r="I7" s="648" t="s">
        <v>620</v>
      </c>
      <c r="J7" s="645" t="s">
        <v>621</v>
      </c>
      <c r="K7" s="645" t="s">
        <v>622</v>
      </c>
      <c r="L7" s="648" t="s">
        <v>625</v>
      </c>
      <c r="M7" s="648" t="s">
        <v>626</v>
      </c>
      <c r="N7" s="648" t="s">
        <v>569</v>
      </c>
      <c r="O7" s="648" t="s">
        <v>570</v>
      </c>
      <c r="P7" s="648" t="s">
        <v>571</v>
      </c>
      <c r="Q7" s="647" t="s">
        <v>572</v>
      </c>
      <c r="R7" s="647"/>
      <c r="S7" s="647"/>
      <c r="T7" s="647" t="s">
        <v>573</v>
      </c>
      <c r="U7" s="649" t="s">
        <v>574</v>
      </c>
      <c r="V7" s="648" t="s">
        <v>575</v>
      </c>
      <c r="W7" s="648" t="s">
        <v>576</v>
      </c>
      <c r="X7" s="650"/>
      <c r="Y7" s="650"/>
      <c r="Z7" s="650"/>
      <c r="AA7" s="650" t="s">
        <v>932</v>
      </c>
      <c r="AB7" s="651" t="s">
        <v>606</v>
      </c>
    </row>
    <row r="8" spans="1:28" s="659" customFormat="1" ht="24">
      <c r="A8" s="631"/>
      <c r="B8" s="632"/>
      <c r="C8" s="632" t="s">
        <v>146</v>
      </c>
      <c r="D8" s="652" t="s">
        <v>577</v>
      </c>
      <c r="E8" s="653" t="s">
        <v>147</v>
      </c>
      <c r="F8" s="654"/>
      <c r="G8" s="655">
        <f>20775000+916000</f>
        <v>21691000</v>
      </c>
      <c r="H8" s="655">
        <f>7549000+608000+247000</f>
        <v>8404000</v>
      </c>
      <c r="I8" s="656">
        <f>12108000+1276000+21000-4277000-200261</f>
        <v>8927739</v>
      </c>
      <c r="J8" s="656">
        <v>0</v>
      </c>
      <c r="K8" s="656">
        <f>687000+3430000</f>
        <v>4117000</v>
      </c>
      <c r="L8" s="656">
        <f>128451000-6000000-5308000+350000-64000000</f>
        <v>53493000</v>
      </c>
      <c r="M8" s="656">
        <v>0</v>
      </c>
      <c r="N8" s="656">
        <v>0</v>
      </c>
      <c r="O8" s="656">
        <v>0</v>
      </c>
      <c r="P8" s="656">
        <v>0</v>
      </c>
      <c r="Q8" s="656">
        <v>0</v>
      </c>
      <c r="R8" s="656">
        <v>0</v>
      </c>
      <c r="S8" s="656">
        <v>0</v>
      </c>
      <c r="T8" s="656">
        <v>0</v>
      </c>
      <c r="U8" s="657">
        <v>0</v>
      </c>
      <c r="V8" s="655">
        <v>6460000</v>
      </c>
      <c r="W8" s="656">
        <v>0</v>
      </c>
      <c r="X8" s="656">
        <v>0</v>
      </c>
      <c r="Y8" s="656">
        <v>0</v>
      </c>
      <c r="Z8" s="656">
        <v>0</v>
      </c>
      <c r="AA8" s="656">
        <f>64000000+46000000</f>
        <v>110000000</v>
      </c>
      <c r="AB8" s="658">
        <f aca="true" t="shared" si="0" ref="AB8:AB54">SUM(G8:AA8)</f>
        <v>213092739</v>
      </c>
    </row>
    <row r="9" spans="1:28" s="659" customFormat="1" ht="21" customHeight="1">
      <c r="A9" s="631"/>
      <c r="B9" s="632"/>
      <c r="C9" s="632" t="s">
        <v>1157</v>
      </c>
      <c r="D9" s="652" t="s">
        <v>578</v>
      </c>
      <c r="E9" s="653" t="s">
        <v>1160</v>
      </c>
      <c r="F9" s="654"/>
      <c r="G9" s="655">
        <v>0</v>
      </c>
      <c r="H9" s="655">
        <v>0</v>
      </c>
      <c r="I9" s="656">
        <v>0</v>
      </c>
      <c r="J9" s="656">
        <v>0</v>
      </c>
      <c r="K9" s="656">
        <v>0</v>
      </c>
      <c r="L9" s="656">
        <v>0</v>
      </c>
      <c r="M9" s="656">
        <v>0</v>
      </c>
      <c r="N9" s="656">
        <v>0</v>
      </c>
      <c r="O9" s="656">
        <v>0</v>
      </c>
      <c r="P9" s="656">
        <v>0</v>
      </c>
      <c r="Q9" s="656">
        <v>0</v>
      </c>
      <c r="R9" s="656">
        <v>0</v>
      </c>
      <c r="S9" s="656">
        <v>0</v>
      </c>
      <c r="T9" s="656">
        <v>0</v>
      </c>
      <c r="U9" s="657">
        <v>0</v>
      </c>
      <c r="V9" s="655">
        <v>0</v>
      </c>
      <c r="W9" s="656">
        <v>0</v>
      </c>
      <c r="X9" s="656">
        <v>0</v>
      </c>
      <c r="Y9" s="656">
        <v>0</v>
      </c>
      <c r="Z9" s="656">
        <v>0</v>
      </c>
      <c r="AA9" s="656">
        <v>200000</v>
      </c>
      <c r="AB9" s="658">
        <f t="shared" si="0"/>
        <v>200000</v>
      </c>
    </row>
    <row r="10" spans="1:28" s="659" customFormat="1" ht="24">
      <c r="A10" s="631"/>
      <c r="B10" s="632" t="s">
        <v>138</v>
      </c>
      <c r="C10" s="632" t="s">
        <v>141</v>
      </c>
      <c r="D10" s="660" t="s">
        <v>579</v>
      </c>
      <c r="E10" s="661" t="s">
        <v>142</v>
      </c>
      <c r="F10" s="662"/>
      <c r="G10" s="663">
        <v>0</v>
      </c>
      <c r="H10" s="663">
        <v>0</v>
      </c>
      <c r="I10" s="657">
        <f>23414000+5924000+49000+37000</f>
        <v>29424000</v>
      </c>
      <c r="J10" s="657">
        <v>0</v>
      </c>
      <c r="K10" s="657">
        <v>0</v>
      </c>
      <c r="L10" s="657">
        <f>40055000-2200000</f>
        <v>37855000</v>
      </c>
      <c r="M10" s="657">
        <v>0</v>
      </c>
      <c r="N10" s="657">
        <v>0</v>
      </c>
      <c r="O10" s="657">
        <v>0</v>
      </c>
      <c r="P10" s="657">
        <v>0</v>
      </c>
      <c r="Q10" s="657">
        <v>0</v>
      </c>
      <c r="R10" s="657">
        <v>0</v>
      </c>
      <c r="S10" s="657">
        <v>0</v>
      </c>
      <c r="T10" s="657">
        <v>0</v>
      </c>
      <c r="U10" s="657">
        <v>0</v>
      </c>
      <c r="V10" s="663">
        <f>4913000+68000+2603500</f>
        <v>7584500</v>
      </c>
      <c r="W10" s="657">
        <f>300000+2200000</f>
        <v>2500000</v>
      </c>
      <c r="X10" s="657">
        <v>0</v>
      </c>
      <c r="Y10" s="657">
        <v>0</v>
      </c>
      <c r="Z10" s="657">
        <v>0</v>
      </c>
      <c r="AA10" s="657">
        <f>398000+1500000+39000</f>
        <v>1937000</v>
      </c>
      <c r="AB10" s="658">
        <f t="shared" si="0"/>
        <v>79300500</v>
      </c>
    </row>
    <row r="11" spans="1:28" s="659" customFormat="1" ht="36">
      <c r="A11" s="631"/>
      <c r="B11" s="632" t="s">
        <v>139</v>
      </c>
      <c r="C11" s="632" t="s">
        <v>143</v>
      </c>
      <c r="D11" s="660" t="s">
        <v>580</v>
      </c>
      <c r="E11" s="661" t="s">
        <v>784</v>
      </c>
      <c r="F11" s="662"/>
      <c r="G11" s="663">
        <f>16414000+27100+282000</f>
        <v>16723100</v>
      </c>
      <c r="H11" s="663">
        <f>4432000+7317+76000</f>
        <v>4515317</v>
      </c>
      <c r="I11" s="657">
        <v>17390000</v>
      </c>
      <c r="J11" s="657">
        <v>0</v>
      </c>
      <c r="K11" s="657">
        <v>0</v>
      </c>
      <c r="L11" s="657">
        <v>0</v>
      </c>
      <c r="M11" s="657">
        <v>0</v>
      </c>
      <c r="N11" s="657">
        <v>0</v>
      </c>
      <c r="O11" s="657">
        <v>0</v>
      </c>
      <c r="P11" s="657">
        <v>0</v>
      </c>
      <c r="Q11" s="657">
        <v>0</v>
      </c>
      <c r="R11" s="657">
        <v>0</v>
      </c>
      <c r="S11" s="657">
        <v>0</v>
      </c>
      <c r="T11" s="657">
        <v>0</v>
      </c>
      <c r="U11" s="657">
        <v>0</v>
      </c>
      <c r="V11" s="663">
        <f>3363000-3000000-333000</f>
        <v>30000</v>
      </c>
      <c r="W11" s="657">
        <v>0</v>
      </c>
      <c r="X11" s="657">
        <v>0</v>
      </c>
      <c r="Y11" s="657">
        <v>0</v>
      </c>
      <c r="Z11" s="657">
        <v>0</v>
      </c>
      <c r="AA11" s="657">
        <v>0</v>
      </c>
      <c r="AB11" s="658">
        <f t="shared" si="0"/>
        <v>38658417</v>
      </c>
    </row>
    <row r="12" spans="1:28" s="659" customFormat="1" ht="24">
      <c r="A12" s="631"/>
      <c r="B12" s="632" t="s">
        <v>140</v>
      </c>
      <c r="C12" s="632" t="s">
        <v>148</v>
      </c>
      <c r="D12" s="660" t="s">
        <v>581</v>
      </c>
      <c r="E12" s="661" t="s">
        <v>556</v>
      </c>
      <c r="F12" s="662"/>
      <c r="G12" s="663">
        <v>1100000</v>
      </c>
      <c r="H12" s="663">
        <v>524000</v>
      </c>
      <c r="I12" s="657">
        <f>5819000-350000+64000+1500000+1000000</f>
        <v>8033000</v>
      </c>
      <c r="J12" s="657">
        <v>0</v>
      </c>
      <c r="K12" s="657">
        <v>0</v>
      </c>
      <c r="L12" s="657">
        <v>0</v>
      </c>
      <c r="M12" s="657">
        <v>0</v>
      </c>
      <c r="N12" s="657">
        <v>0</v>
      </c>
      <c r="O12" s="657">
        <v>0</v>
      </c>
      <c r="P12" s="657">
        <v>0</v>
      </c>
      <c r="Q12" s="657">
        <v>0</v>
      </c>
      <c r="R12" s="657">
        <v>0</v>
      </c>
      <c r="S12" s="657">
        <v>0</v>
      </c>
      <c r="T12" s="657">
        <v>0</v>
      </c>
      <c r="U12" s="657">
        <v>0</v>
      </c>
      <c r="V12" s="663">
        <v>0</v>
      </c>
      <c r="W12" s="657">
        <v>0</v>
      </c>
      <c r="X12" s="657">
        <v>0</v>
      </c>
      <c r="Y12" s="657">
        <v>0</v>
      </c>
      <c r="Z12" s="657">
        <v>0</v>
      </c>
      <c r="AA12" s="657">
        <v>0</v>
      </c>
      <c r="AB12" s="658">
        <f t="shared" si="0"/>
        <v>9657000</v>
      </c>
    </row>
    <row r="13" spans="1:28" s="659" customFormat="1" ht="17.25" customHeight="1">
      <c r="A13" s="631"/>
      <c r="B13" s="632"/>
      <c r="C13" s="632" t="s">
        <v>978</v>
      </c>
      <c r="D13" s="660" t="s">
        <v>582</v>
      </c>
      <c r="E13" s="661" t="s">
        <v>979</v>
      </c>
      <c r="F13" s="662"/>
      <c r="G13" s="663">
        <v>0</v>
      </c>
      <c r="H13" s="663">
        <v>0</v>
      </c>
      <c r="I13" s="657">
        <v>0</v>
      </c>
      <c r="J13" s="657">
        <v>0</v>
      </c>
      <c r="K13" s="657">
        <v>0</v>
      </c>
      <c r="L13" s="657">
        <v>0</v>
      </c>
      <c r="M13" s="657">
        <v>0</v>
      </c>
      <c r="N13" s="657">
        <v>0</v>
      </c>
      <c r="O13" s="657">
        <v>0</v>
      </c>
      <c r="P13" s="657">
        <v>0</v>
      </c>
      <c r="Q13" s="657">
        <v>0</v>
      </c>
      <c r="R13" s="657">
        <v>0</v>
      </c>
      <c r="S13" s="657">
        <v>0</v>
      </c>
      <c r="T13" s="657">
        <v>0</v>
      </c>
      <c r="U13" s="657">
        <v>0</v>
      </c>
      <c r="V13" s="663">
        <v>0</v>
      </c>
      <c r="W13" s="657">
        <v>0</v>
      </c>
      <c r="X13" s="657">
        <f>25143529+467520</f>
        <v>25611049</v>
      </c>
      <c r="Y13" s="657">
        <v>0</v>
      </c>
      <c r="Z13" s="657">
        <v>0</v>
      </c>
      <c r="AA13" s="657">
        <v>0</v>
      </c>
      <c r="AB13" s="658">
        <f t="shared" si="0"/>
        <v>25611049</v>
      </c>
    </row>
    <row r="14" spans="1:28" s="659" customFormat="1" ht="15.75" customHeight="1">
      <c r="A14" s="631"/>
      <c r="B14" s="632"/>
      <c r="C14" s="632" t="s">
        <v>977</v>
      </c>
      <c r="D14" s="660" t="s">
        <v>583</v>
      </c>
      <c r="E14" s="661" t="s">
        <v>976</v>
      </c>
      <c r="F14" s="662"/>
      <c r="G14" s="663">
        <v>0</v>
      </c>
      <c r="H14" s="663">
        <v>0</v>
      </c>
      <c r="I14" s="657">
        <f>46443+200261</f>
        <v>246704</v>
      </c>
      <c r="J14" s="657">
        <v>0</v>
      </c>
      <c r="K14" s="657">
        <v>0</v>
      </c>
      <c r="L14" s="657">
        <v>0</v>
      </c>
      <c r="M14" s="657">
        <v>0</v>
      </c>
      <c r="N14" s="657">
        <v>0</v>
      </c>
      <c r="O14" s="657">
        <v>0</v>
      </c>
      <c r="P14" s="657">
        <v>0</v>
      </c>
      <c r="Q14" s="657">
        <v>0</v>
      </c>
      <c r="R14" s="657">
        <v>0</v>
      </c>
      <c r="S14" s="657">
        <v>0</v>
      </c>
      <c r="T14" s="657">
        <v>0</v>
      </c>
      <c r="U14" s="657">
        <v>0</v>
      </c>
      <c r="V14" s="663">
        <v>0</v>
      </c>
      <c r="W14" s="657">
        <v>0</v>
      </c>
      <c r="X14" s="657">
        <v>0</v>
      </c>
      <c r="Y14" s="657">
        <v>17635925</v>
      </c>
      <c r="Z14" s="657">
        <v>0</v>
      </c>
      <c r="AA14" s="657">
        <v>0</v>
      </c>
      <c r="AB14" s="658">
        <f t="shared" si="0"/>
        <v>17882629</v>
      </c>
    </row>
    <row r="15" spans="1:28" s="659" customFormat="1" ht="24">
      <c r="A15" s="631">
        <v>20215</v>
      </c>
      <c r="B15" s="632" t="s">
        <v>141</v>
      </c>
      <c r="C15" s="632" t="s">
        <v>152</v>
      </c>
      <c r="D15" s="660" t="s">
        <v>584</v>
      </c>
      <c r="E15" s="661" t="s">
        <v>153</v>
      </c>
      <c r="F15" s="662"/>
      <c r="G15" s="663">
        <f>27749000-417000+17900+72000</f>
        <v>27421900</v>
      </c>
      <c r="H15" s="663">
        <f>7477000-113000+4833+19000</f>
        <v>7387833</v>
      </c>
      <c r="I15" s="657">
        <f>7474000-127000+29000-114000-42000-14000</f>
        <v>7206000</v>
      </c>
      <c r="J15" s="657">
        <v>0</v>
      </c>
      <c r="K15" s="657">
        <v>0</v>
      </c>
      <c r="L15" s="657">
        <v>0</v>
      </c>
      <c r="M15" s="657">
        <v>0</v>
      </c>
      <c r="N15" s="657">
        <v>0</v>
      </c>
      <c r="O15" s="657">
        <v>0</v>
      </c>
      <c r="P15" s="657">
        <v>0</v>
      </c>
      <c r="Q15" s="657">
        <v>0</v>
      </c>
      <c r="R15" s="657">
        <v>0</v>
      </c>
      <c r="S15" s="657">
        <v>0</v>
      </c>
      <c r="T15" s="657">
        <v>0</v>
      </c>
      <c r="U15" s="657">
        <v>0</v>
      </c>
      <c r="V15" s="663">
        <f>114000+42000+14000</f>
        <v>170000</v>
      </c>
      <c r="W15" s="657">
        <v>1006000</v>
      </c>
      <c r="X15" s="657">
        <v>0</v>
      </c>
      <c r="Y15" s="657">
        <v>0</v>
      </c>
      <c r="Z15" s="657">
        <v>0</v>
      </c>
      <c r="AA15" s="657">
        <v>0</v>
      </c>
      <c r="AB15" s="658">
        <f t="shared" si="0"/>
        <v>43191733</v>
      </c>
    </row>
    <row r="16" spans="1:28" s="659" customFormat="1" ht="12">
      <c r="A16" s="631"/>
      <c r="B16" s="632"/>
      <c r="C16" s="632" t="s">
        <v>1111</v>
      </c>
      <c r="D16" s="660" t="s">
        <v>585</v>
      </c>
      <c r="E16" s="661" t="s">
        <v>1112</v>
      </c>
      <c r="F16" s="662"/>
      <c r="G16" s="663">
        <v>0</v>
      </c>
      <c r="H16" s="663">
        <v>0</v>
      </c>
      <c r="I16" s="657">
        <v>0</v>
      </c>
      <c r="J16" s="657">
        <v>0</v>
      </c>
      <c r="K16" s="657">
        <v>0</v>
      </c>
      <c r="L16" s="657">
        <v>0</v>
      </c>
      <c r="M16" s="657">
        <v>0</v>
      </c>
      <c r="N16" s="657">
        <v>0</v>
      </c>
      <c r="O16" s="657">
        <v>0</v>
      </c>
      <c r="P16" s="657">
        <v>0</v>
      </c>
      <c r="Q16" s="657">
        <v>0</v>
      </c>
      <c r="R16" s="657">
        <v>0</v>
      </c>
      <c r="S16" s="657">
        <v>0</v>
      </c>
      <c r="T16" s="657">
        <v>0</v>
      </c>
      <c r="U16" s="657">
        <v>0</v>
      </c>
      <c r="V16" s="663">
        <v>15000000</v>
      </c>
      <c r="W16" s="657">
        <v>0</v>
      </c>
      <c r="X16" s="657">
        <v>0</v>
      </c>
      <c r="Y16" s="657">
        <v>0</v>
      </c>
      <c r="Z16" s="657">
        <v>0</v>
      </c>
      <c r="AA16" s="657">
        <v>0</v>
      </c>
      <c r="AB16" s="658">
        <f t="shared" si="0"/>
        <v>15000000</v>
      </c>
    </row>
    <row r="17" spans="2:28" ht="24">
      <c r="B17" s="632" t="s">
        <v>146</v>
      </c>
      <c r="C17" s="632" t="s">
        <v>139</v>
      </c>
      <c r="D17" s="660" t="s">
        <v>586</v>
      </c>
      <c r="E17" s="661" t="s">
        <v>785</v>
      </c>
      <c r="F17" s="662"/>
      <c r="G17" s="663">
        <v>0</v>
      </c>
      <c r="H17" s="663">
        <v>0</v>
      </c>
      <c r="I17" s="657">
        <v>0</v>
      </c>
      <c r="J17" s="657">
        <v>0</v>
      </c>
      <c r="K17" s="657">
        <v>0</v>
      </c>
      <c r="L17" s="657">
        <v>10040000</v>
      </c>
      <c r="M17" s="657">
        <v>0</v>
      </c>
      <c r="N17" s="657">
        <v>0</v>
      </c>
      <c r="O17" s="657">
        <v>0</v>
      </c>
      <c r="P17" s="657">
        <v>0</v>
      </c>
      <c r="Q17" s="657">
        <v>0</v>
      </c>
      <c r="R17" s="657">
        <v>0</v>
      </c>
      <c r="S17" s="657">
        <v>0</v>
      </c>
      <c r="T17" s="657">
        <v>0</v>
      </c>
      <c r="U17" s="657">
        <v>0</v>
      </c>
      <c r="V17" s="657">
        <v>0</v>
      </c>
      <c r="W17" s="657">
        <f>2082727+562336-2645063</f>
        <v>0</v>
      </c>
      <c r="X17" s="657">
        <v>0</v>
      </c>
      <c r="Y17" s="657">
        <v>0</v>
      </c>
      <c r="Z17" s="657">
        <v>0</v>
      </c>
      <c r="AA17" s="657">
        <v>0</v>
      </c>
      <c r="AB17" s="658">
        <f t="shared" si="0"/>
        <v>10040000</v>
      </c>
    </row>
    <row r="18" spans="2:28" ht="24">
      <c r="B18" s="632" t="s">
        <v>148</v>
      </c>
      <c r="C18" s="632" t="s">
        <v>154</v>
      </c>
      <c r="D18" s="660" t="s">
        <v>587</v>
      </c>
      <c r="E18" s="661" t="s">
        <v>155</v>
      </c>
      <c r="F18" s="662"/>
      <c r="G18" s="663">
        <v>0</v>
      </c>
      <c r="H18" s="663">
        <v>0</v>
      </c>
      <c r="I18" s="657">
        <f>1000000-1000000</f>
        <v>0</v>
      </c>
      <c r="J18" s="657">
        <v>0</v>
      </c>
      <c r="K18" s="657">
        <v>0</v>
      </c>
      <c r="L18" s="657">
        <v>0</v>
      </c>
      <c r="M18" s="657">
        <v>0</v>
      </c>
      <c r="N18" s="657">
        <v>0</v>
      </c>
      <c r="O18" s="657">
        <v>0</v>
      </c>
      <c r="P18" s="657">
        <v>0</v>
      </c>
      <c r="Q18" s="657">
        <v>0</v>
      </c>
      <c r="R18" s="657">
        <v>0</v>
      </c>
      <c r="S18" s="657">
        <v>0</v>
      </c>
      <c r="T18" s="657">
        <v>0</v>
      </c>
      <c r="U18" s="657">
        <v>0</v>
      </c>
      <c r="V18" s="657">
        <f>1000000-1000000</f>
        <v>0</v>
      </c>
      <c r="W18" s="657">
        <v>0</v>
      </c>
      <c r="X18" s="657">
        <v>0</v>
      </c>
      <c r="Y18" s="657">
        <v>0</v>
      </c>
      <c r="Z18" s="657">
        <v>0</v>
      </c>
      <c r="AA18" s="657">
        <v>0</v>
      </c>
      <c r="AB18" s="658">
        <f t="shared" si="0"/>
        <v>0</v>
      </c>
    </row>
    <row r="19" spans="3:28" ht="12">
      <c r="C19" s="632" t="s">
        <v>1113</v>
      </c>
      <c r="D19" s="660" t="s">
        <v>588</v>
      </c>
      <c r="E19" s="661" t="s">
        <v>1114</v>
      </c>
      <c r="F19" s="664"/>
      <c r="G19" s="663">
        <v>0</v>
      </c>
      <c r="H19" s="663">
        <v>0</v>
      </c>
      <c r="I19" s="657">
        <v>0</v>
      </c>
      <c r="J19" s="657">
        <v>0</v>
      </c>
      <c r="K19" s="657">
        <v>0</v>
      </c>
      <c r="L19" s="657">
        <v>2720131</v>
      </c>
      <c r="M19" s="657">
        <v>0</v>
      </c>
      <c r="N19" s="657">
        <v>0</v>
      </c>
      <c r="O19" s="657">
        <v>0</v>
      </c>
      <c r="P19" s="657">
        <v>0</v>
      </c>
      <c r="Q19" s="657">
        <v>0</v>
      </c>
      <c r="R19" s="657">
        <v>0</v>
      </c>
      <c r="S19" s="657">
        <v>0</v>
      </c>
      <c r="T19" s="657">
        <v>0</v>
      </c>
      <c r="U19" s="657">
        <v>0</v>
      </c>
      <c r="V19" s="657">
        <v>0</v>
      </c>
      <c r="W19" s="657">
        <v>0</v>
      </c>
      <c r="X19" s="657">
        <v>0</v>
      </c>
      <c r="Y19" s="657">
        <v>0</v>
      </c>
      <c r="Z19" s="657"/>
      <c r="AA19" s="657">
        <v>0</v>
      </c>
      <c r="AB19" s="658">
        <f t="shared" si="0"/>
        <v>2720131</v>
      </c>
    </row>
    <row r="20" spans="1:28" ht="24">
      <c r="A20" s="631">
        <v>751791</v>
      </c>
      <c r="B20" s="632" t="s">
        <v>149</v>
      </c>
      <c r="C20" s="632" t="s">
        <v>135</v>
      </c>
      <c r="D20" s="660" t="s">
        <v>589</v>
      </c>
      <c r="E20" s="661" t="s">
        <v>136</v>
      </c>
      <c r="F20" s="664"/>
      <c r="G20" s="657">
        <v>0</v>
      </c>
      <c r="H20" s="663">
        <v>0</v>
      </c>
      <c r="I20" s="657">
        <f>760000+125781</f>
        <v>885781</v>
      </c>
      <c r="J20" s="657">
        <v>0</v>
      </c>
      <c r="K20" s="657">
        <v>0</v>
      </c>
      <c r="L20" s="657">
        <v>1500000</v>
      </c>
      <c r="M20" s="657">
        <v>0</v>
      </c>
      <c r="N20" s="657">
        <v>0</v>
      </c>
      <c r="O20" s="657">
        <v>0</v>
      </c>
      <c r="P20" s="657">
        <v>0</v>
      </c>
      <c r="Q20" s="657">
        <v>0</v>
      </c>
      <c r="R20" s="657">
        <v>0</v>
      </c>
      <c r="S20" s="657">
        <v>0</v>
      </c>
      <c r="T20" s="657">
        <v>0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8">
        <f t="shared" si="0"/>
        <v>2385781</v>
      </c>
    </row>
    <row r="21" spans="1:28" ht="24">
      <c r="A21" s="631">
        <v>751834</v>
      </c>
      <c r="B21" s="632" t="s">
        <v>150</v>
      </c>
      <c r="C21" s="632" t="s">
        <v>137</v>
      </c>
      <c r="D21" s="660" t="s">
        <v>590</v>
      </c>
      <c r="E21" s="661" t="s">
        <v>553</v>
      </c>
      <c r="F21" s="662"/>
      <c r="G21" s="663">
        <v>0</v>
      </c>
      <c r="H21" s="663">
        <v>0</v>
      </c>
      <c r="I21" s="657">
        <v>11708000</v>
      </c>
      <c r="J21" s="657">
        <v>0</v>
      </c>
      <c r="K21" s="657">
        <v>0</v>
      </c>
      <c r="L21" s="657">
        <v>0</v>
      </c>
      <c r="M21" s="657">
        <v>0</v>
      </c>
      <c r="N21" s="657">
        <v>0</v>
      </c>
      <c r="O21" s="657">
        <v>0</v>
      </c>
      <c r="P21" s="657">
        <v>0</v>
      </c>
      <c r="Q21" s="657">
        <v>0</v>
      </c>
      <c r="R21" s="657">
        <v>0</v>
      </c>
      <c r="S21" s="657">
        <v>0</v>
      </c>
      <c r="T21" s="657">
        <v>0</v>
      </c>
      <c r="U21" s="657">
        <v>0</v>
      </c>
      <c r="V21" s="657">
        <v>0</v>
      </c>
      <c r="W21" s="657">
        <v>0</v>
      </c>
      <c r="X21" s="657">
        <v>0</v>
      </c>
      <c r="Y21" s="657">
        <v>0</v>
      </c>
      <c r="Z21" s="657">
        <v>0</v>
      </c>
      <c r="AA21" s="657">
        <v>0</v>
      </c>
      <c r="AB21" s="658">
        <f t="shared" si="0"/>
        <v>11708000</v>
      </c>
    </row>
    <row r="22" spans="3:28" ht="24">
      <c r="C22" s="632" t="s">
        <v>138</v>
      </c>
      <c r="D22" s="660" t="s">
        <v>591</v>
      </c>
      <c r="E22" s="661" t="s">
        <v>1115</v>
      </c>
      <c r="F22" s="662"/>
      <c r="G22" s="663">
        <v>0</v>
      </c>
      <c r="H22" s="663">
        <v>0</v>
      </c>
      <c r="I22" s="657">
        <v>15000</v>
      </c>
      <c r="J22" s="657">
        <v>0</v>
      </c>
      <c r="K22" s="657">
        <v>0</v>
      </c>
      <c r="L22" s="657">
        <v>0</v>
      </c>
      <c r="M22" s="657">
        <v>0</v>
      </c>
      <c r="N22" s="657">
        <v>0</v>
      </c>
      <c r="O22" s="657">
        <v>0</v>
      </c>
      <c r="P22" s="657">
        <v>0</v>
      </c>
      <c r="Q22" s="657">
        <v>0</v>
      </c>
      <c r="R22" s="657">
        <v>0</v>
      </c>
      <c r="S22" s="657">
        <v>0</v>
      </c>
      <c r="T22" s="657">
        <v>0</v>
      </c>
      <c r="U22" s="657">
        <v>0</v>
      </c>
      <c r="V22" s="663">
        <v>0</v>
      </c>
      <c r="W22" s="657">
        <v>0</v>
      </c>
      <c r="X22" s="657">
        <v>0</v>
      </c>
      <c r="Y22" s="657">
        <v>0</v>
      </c>
      <c r="Z22" s="657">
        <v>0</v>
      </c>
      <c r="AA22" s="657">
        <v>0</v>
      </c>
      <c r="AB22" s="658">
        <f t="shared" si="0"/>
        <v>15000</v>
      </c>
    </row>
    <row r="23" spans="3:28" ht="15.75" customHeight="1">
      <c r="C23" s="632" t="s">
        <v>973</v>
      </c>
      <c r="D23" s="660" t="s">
        <v>592</v>
      </c>
      <c r="E23" s="661" t="s">
        <v>972</v>
      </c>
      <c r="F23" s="662"/>
      <c r="G23" s="663">
        <v>0</v>
      </c>
      <c r="H23" s="663">
        <v>0</v>
      </c>
      <c r="I23" s="657">
        <v>0</v>
      </c>
      <c r="J23" s="657">
        <v>0</v>
      </c>
      <c r="K23" s="657">
        <v>73000</v>
      </c>
      <c r="L23" s="657">
        <v>0</v>
      </c>
      <c r="M23" s="657">
        <v>0</v>
      </c>
      <c r="N23" s="657">
        <v>0</v>
      </c>
      <c r="O23" s="657">
        <v>0</v>
      </c>
      <c r="P23" s="657">
        <v>0</v>
      </c>
      <c r="Q23" s="657">
        <v>0</v>
      </c>
      <c r="R23" s="657">
        <v>0</v>
      </c>
      <c r="S23" s="657">
        <v>0</v>
      </c>
      <c r="T23" s="657">
        <v>0</v>
      </c>
      <c r="U23" s="657">
        <v>0</v>
      </c>
      <c r="V23" s="663">
        <v>0</v>
      </c>
      <c r="W23" s="657">
        <v>0</v>
      </c>
      <c r="X23" s="657">
        <v>0</v>
      </c>
      <c r="Y23" s="657">
        <v>0</v>
      </c>
      <c r="Z23" s="657">
        <v>0</v>
      </c>
      <c r="AA23" s="657">
        <v>0</v>
      </c>
      <c r="AB23" s="658">
        <f t="shared" si="0"/>
        <v>73000</v>
      </c>
    </row>
    <row r="24" spans="1:28" ht="24" customHeight="1">
      <c r="A24" s="631">
        <v>751966</v>
      </c>
      <c r="B24" s="632" t="s">
        <v>152</v>
      </c>
      <c r="C24" s="632" t="s">
        <v>149</v>
      </c>
      <c r="D24" s="660" t="s">
        <v>593</v>
      </c>
      <c r="E24" s="661" t="s">
        <v>557</v>
      </c>
      <c r="F24" s="662"/>
      <c r="G24" s="663">
        <v>0</v>
      </c>
      <c r="H24" s="657">
        <v>0</v>
      </c>
      <c r="I24" s="657">
        <v>24384000</v>
      </c>
      <c r="J24" s="657">
        <v>0</v>
      </c>
      <c r="K24" s="657">
        <v>0</v>
      </c>
      <c r="L24" s="657">
        <v>0</v>
      </c>
      <c r="M24" s="657">
        <v>0</v>
      </c>
      <c r="N24" s="657">
        <v>0</v>
      </c>
      <c r="O24" s="657">
        <v>0</v>
      </c>
      <c r="P24" s="657">
        <v>0</v>
      </c>
      <c r="Q24" s="657">
        <v>0</v>
      </c>
      <c r="R24" s="657">
        <v>0</v>
      </c>
      <c r="S24" s="657">
        <v>0</v>
      </c>
      <c r="T24" s="657">
        <v>0</v>
      </c>
      <c r="U24" s="657">
        <v>0</v>
      </c>
      <c r="V24" s="663">
        <v>0</v>
      </c>
      <c r="W24" s="657">
        <v>0</v>
      </c>
      <c r="X24" s="657">
        <v>0</v>
      </c>
      <c r="Y24" s="657">
        <v>0</v>
      </c>
      <c r="Z24" s="657">
        <v>0</v>
      </c>
      <c r="AA24" s="657">
        <v>0</v>
      </c>
      <c r="AB24" s="658">
        <f t="shared" si="0"/>
        <v>24384000</v>
      </c>
    </row>
    <row r="25" spans="1:28" ht="24" customHeight="1">
      <c r="A25" s="631">
        <v>751999</v>
      </c>
      <c r="B25" s="632" t="s">
        <v>154</v>
      </c>
      <c r="C25" s="632" t="s">
        <v>145</v>
      </c>
      <c r="D25" s="660" t="s">
        <v>594</v>
      </c>
      <c r="E25" s="661" t="s">
        <v>786</v>
      </c>
      <c r="F25" s="662"/>
      <c r="G25" s="663">
        <v>0</v>
      </c>
      <c r="H25" s="663">
        <v>0</v>
      </c>
      <c r="I25" s="657">
        <v>170000</v>
      </c>
      <c r="J25" s="657">
        <v>0</v>
      </c>
      <c r="K25" s="657">
        <v>0</v>
      </c>
      <c r="L25" s="657">
        <f>31195000-2380000</f>
        <v>28815000</v>
      </c>
      <c r="M25" s="657">
        <v>0</v>
      </c>
      <c r="N25" s="657">
        <v>0</v>
      </c>
      <c r="O25" s="657">
        <v>0</v>
      </c>
      <c r="P25" s="657">
        <v>0</v>
      </c>
      <c r="Q25" s="657">
        <v>0</v>
      </c>
      <c r="R25" s="657">
        <v>0</v>
      </c>
      <c r="S25" s="657">
        <v>0</v>
      </c>
      <c r="T25" s="657">
        <v>0</v>
      </c>
      <c r="U25" s="657">
        <v>0</v>
      </c>
      <c r="V25" s="663">
        <v>0</v>
      </c>
      <c r="W25" s="657">
        <v>0</v>
      </c>
      <c r="X25" s="657">
        <v>0</v>
      </c>
      <c r="Y25" s="657">
        <v>0</v>
      </c>
      <c r="Z25" s="657">
        <v>0</v>
      </c>
      <c r="AA25" s="657">
        <v>0</v>
      </c>
      <c r="AB25" s="658">
        <f t="shared" si="0"/>
        <v>28985000</v>
      </c>
    </row>
    <row r="26" spans="2:29" ht="24">
      <c r="B26" s="632" t="s">
        <v>156</v>
      </c>
      <c r="C26" s="632" t="s">
        <v>150</v>
      </c>
      <c r="D26" s="660" t="s">
        <v>595</v>
      </c>
      <c r="E26" s="661" t="s">
        <v>787</v>
      </c>
      <c r="F26" s="662"/>
      <c r="G26" s="663">
        <v>217000</v>
      </c>
      <c r="H26" s="663">
        <v>53000</v>
      </c>
      <c r="I26" s="657">
        <f>7969000-10000+361000+215000-68000-19000-153000+279000</f>
        <v>8574000</v>
      </c>
      <c r="J26" s="657">
        <v>0</v>
      </c>
      <c r="K26" s="657">
        <v>0</v>
      </c>
      <c r="L26" s="657">
        <v>14725000</v>
      </c>
      <c r="M26" s="657">
        <v>0</v>
      </c>
      <c r="N26" s="657">
        <v>0</v>
      </c>
      <c r="O26" s="657">
        <v>0</v>
      </c>
      <c r="P26" s="657">
        <v>0</v>
      </c>
      <c r="Q26" s="657">
        <v>0</v>
      </c>
      <c r="R26" s="657">
        <v>0</v>
      </c>
      <c r="S26" s="657">
        <v>0</v>
      </c>
      <c r="T26" s="657">
        <v>0</v>
      </c>
      <c r="U26" s="657">
        <v>0</v>
      </c>
      <c r="V26" s="663">
        <v>153000</v>
      </c>
      <c r="W26" s="657">
        <v>0</v>
      </c>
      <c r="X26" s="657">
        <v>0</v>
      </c>
      <c r="Y26" s="657">
        <v>0</v>
      </c>
      <c r="Z26" s="657">
        <v>5768314</v>
      </c>
      <c r="AA26" s="631">
        <v>0</v>
      </c>
      <c r="AB26" s="658">
        <f>SUM(G26:AA26)</f>
        <v>29490314</v>
      </c>
      <c r="AC26" s="665"/>
    </row>
    <row r="27" spans="2:29" ht="24" customHeight="1">
      <c r="B27" s="632" t="s">
        <v>157</v>
      </c>
      <c r="C27" s="632" t="s">
        <v>157</v>
      </c>
      <c r="D27" s="881" t="s">
        <v>1158</v>
      </c>
      <c r="E27" s="661" t="s">
        <v>559</v>
      </c>
      <c r="F27" s="666"/>
      <c r="G27" s="657">
        <v>0</v>
      </c>
      <c r="H27" s="657">
        <v>0</v>
      </c>
      <c r="I27" s="657">
        <v>360000</v>
      </c>
      <c r="J27" s="657">
        <v>0</v>
      </c>
      <c r="K27" s="657">
        <v>0</v>
      </c>
      <c r="L27" s="657">
        <v>0</v>
      </c>
      <c r="M27" s="657">
        <v>0</v>
      </c>
      <c r="N27" s="657">
        <v>0</v>
      </c>
      <c r="O27" s="657">
        <v>0</v>
      </c>
      <c r="P27" s="657">
        <v>0</v>
      </c>
      <c r="Q27" s="657">
        <v>0</v>
      </c>
      <c r="R27" s="657">
        <v>0</v>
      </c>
      <c r="S27" s="657">
        <v>0</v>
      </c>
      <c r="T27" s="657">
        <v>0</v>
      </c>
      <c r="U27" s="657">
        <v>0</v>
      </c>
      <c r="V27" s="657">
        <v>0</v>
      </c>
      <c r="W27" s="657">
        <v>0</v>
      </c>
      <c r="X27" s="657">
        <v>0</v>
      </c>
      <c r="Y27" s="657">
        <v>0</v>
      </c>
      <c r="Z27" s="657">
        <v>0</v>
      </c>
      <c r="AA27" s="657">
        <v>0</v>
      </c>
      <c r="AB27" s="658">
        <f t="shared" si="0"/>
        <v>360000</v>
      </c>
      <c r="AC27" s="665"/>
    </row>
    <row r="28" spans="2:28" ht="24" customHeight="1">
      <c r="B28" s="632" t="s">
        <v>158</v>
      </c>
      <c r="C28" s="632" t="s">
        <v>158</v>
      </c>
      <c r="D28" s="881"/>
      <c r="E28" s="661" t="s">
        <v>560</v>
      </c>
      <c r="F28" s="666"/>
      <c r="G28" s="657">
        <f>14204000-2346000+60400+511000+1052000</f>
        <v>13481400</v>
      </c>
      <c r="H28" s="657">
        <f>3836000-634000+16308+138000+284000</f>
        <v>3640308</v>
      </c>
      <c r="I28" s="657">
        <f>15250000+2980000+963000-37000-79000</f>
        <v>19077000</v>
      </c>
      <c r="J28" s="657">
        <v>0</v>
      </c>
      <c r="K28" s="657">
        <v>0</v>
      </c>
      <c r="L28" s="657">
        <v>0</v>
      </c>
      <c r="M28" s="657">
        <v>0</v>
      </c>
      <c r="N28" s="657">
        <v>0</v>
      </c>
      <c r="O28" s="657">
        <v>0</v>
      </c>
      <c r="P28" s="657">
        <v>0</v>
      </c>
      <c r="Q28" s="657">
        <v>0</v>
      </c>
      <c r="R28" s="657">
        <v>0</v>
      </c>
      <c r="S28" s="657">
        <v>0</v>
      </c>
      <c r="T28" s="657">
        <v>0</v>
      </c>
      <c r="U28" s="657">
        <v>0</v>
      </c>
      <c r="V28" s="657">
        <f>25000+37000+79000</f>
        <v>141000</v>
      </c>
      <c r="W28" s="657">
        <v>0</v>
      </c>
      <c r="X28" s="657">
        <v>0</v>
      </c>
      <c r="Y28" s="657">
        <v>0</v>
      </c>
      <c r="Z28" s="657">
        <v>0</v>
      </c>
      <c r="AA28" s="657">
        <v>0</v>
      </c>
      <c r="AB28" s="658">
        <f t="shared" si="0"/>
        <v>36339708</v>
      </c>
    </row>
    <row r="29" spans="1:28" ht="24" customHeight="1">
      <c r="A29" s="631">
        <v>851286</v>
      </c>
      <c r="B29" s="632" t="s">
        <v>159</v>
      </c>
      <c r="C29" s="632" t="s">
        <v>159</v>
      </c>
      <c r="D29" s="881"/>
      <c r="E29" s="661" t="s">
        <v>561</v>
      </c>
      <c r="F29" s="666"/>
      <c r="G29" s="657">
        <v>0</v>
      </c>
      <c r="H29" s="657">
        <v>0</v>
      </c>
      <c r="I29" s="657">
        <v>120000</v>
      </c>
      <c r="J29" s="657">
        <v>0</v>
      </c>
      <c r="K29" s="657">
        <v>0</v>
      </c>
      <c r="L29" s="657">
        <v>0</v>
      </c>
      <c r="M29" s="657">
        <v>0</v>
      </c>
      <c r="N29" s="657">
        <v>0</v>
      </c>
      <c r="O29" s="657">
        <v>0</v>
      </c>
      <c r="P29" s="657">
        <v>0</v>
      </c>
      <c r="Q29" s="657">
        <v>0</v>
      </c>
      <c r="R29" s="657">
        <v>0</v>
      </c>
      <c r="S29" s="657">
        <v>0</v>
      </c>
      <c r="T29" s="657">
        <v>0</v>
      </c>
      <c r="U29" s="657">
        <v>0</v>
      </c>
      <c r="V29" s="657">
        <v>0</v>
      </c>
      <c r="W29" s="657">
        <v>0</v>
      </c>
      <c r="X29" s="657">
        <v>0</v>
      </c>
      <c r="Y29" s="657">
        <v>0</v>
      </c>
      <c r="Z29" s="657">
        <v>0</v>
      </c>
      <c r="AA29" s="657">
        <v>0</v>
      </c>
      <c r="AB29" s="658">
        <f t="shared" si="0"/>
        <v>120000</v>
      </c>
    </row>
    <row r="30" spans="1:28" s="659" customFormat="1" ht="24">
      <c r="A30" s="631">
        <v>851297</v>
      </c>
      <c r="B30" s="632" t="s">
        <v>160</v>
      </c>
      <c r="C30" s="632" t="s">
        <v>160</v>
      </c>
      <c r="D30" s="881"/>
      <c r="E30" s="661" t="s">
        <v>628</v>
      </c>
      <c r="F30" s="666"/>
      <c r="G30" s="657">
        <f>11410000+38500+216000+936850+350937</f>
        <v>12952287</v>
      </c>
      <c r="H30" s="657">
        <f>3080000+10395+58000+252950+94749</f>
        <v>3496094</v>
      </c>
      <c r="I30" s="657">
        <f>2490000+17000</f>
        <v>2507000</v>
      </c>
      <c r="J30" s="657">
        <v>0</v>
      </c>
      <c r="K30" s="657">
        <v>0</v>
      </c>
      <c r="L30" s="657">
        <v>0</v>
      </c>
      <c r="M30" s="657">
        <v>0</v>
      </c>
      <c r="N30" s="657">
        <v>0</v>
      </c>
      <c r="O30" s="657">
        <v>0</v>
      </c>
      <c r="P30" s="657">
        <v>0</v>
      </c>
      <c r="Q30" s="657">
        <v>0</v>
      </c>
      <c r="R30" s="657">
        <v>0</v>
      </c>
      <c r="S30" s="657">
        <v>0</v>
      </c>
      <c r="T30" s="657">
        <v>0</v>
      </c>
      <c r="U30" s="657">
        <v>0</v>
      </c>
      <c r="V30" s="657">
        <f>1490000+4299000</f>
        <v>5789000</v>
      </c>
      <c r="W30" s="657">
        <v>0</v>
      </c>
      <c r="X30" s="657">
        <v>0</v>
      </c>
      <c r="Y30" s="657">
        <v>0</v>
      </c>
      <c r="Z30" s="657">
        <v>0</v>
      </c>
      <c r="AA30" s="657">
        <v>0</v>
      </c>
      <c r="AB30" s="658">
        <f t="shared" si="0"/>
        <v>24744381</v>
      </c>
    </row>
    <row r="31" spans="1:28" s="659" customFormat="1" ht="24" customHeight="1">
      <c r="A31" s="631">
        <v>853322</v>
      </c>
      <c r="B31" s="632" t="s">
        <v>161</v>
      </c>
      <c r="C31" s="632" t="s">
        <v>179</v>
      </c>
      <c r="D31" s="660" t="s">
        <v>597</v>
      </c>
      <c r="E31" s="661" t="s">
        <v>180</v>
      </c>
      <c r="F31" s="667"/>
      <c r="G31" s="657">
        <v>0</v>
      </c>
      <c r="H31" s="657">
        <v>0</v>
      </c>
      <c r="I31" s="657">
        <v>19000</v>
      </c>
      <c r="J31" s="657">
        <v>0</v>
      </c>
      <c r="K31" s="657">
        <v>0</v>
      </c>
      <c r="L31" s="657">
        <f>29886000-5400000</f>
        <v>24486000</v>
      </c>
      <c r="M31" s="657">
        <v>0</v>
      </c>
      <c r="N31" s="657">
        <v>0</v>
      </c>
      <c r="O31" s="657">
        <v>0</v>
      </c>
      <c r="P31" s="657">
        <v>0</v>
      </c>
      <c r="Q31" s="657">
        <v>0</v>
      </c>
      <c r="R31" s="657">
        <v>0</v>
      </c>
      <c r="S31" s="657">
        <v>0</v>
      </c>
      <c r="T31" s="657">
        <v>0</v>
      </c>
      <c r="U31" s="657">
        <v>0</v>
      </c>
      <c r="V31" s="657">
        <f>11201000-8201000</f>
        <v>3000000</v>
      </c>
      <c r="W31" s="657">
        <v>0</v>
      </c>
      <c r="X31" s="657">
        <v>0</v>
      </c>
      <c r="Y31" s="657">
        <v>0</v>
      </c>
      <c r="Z31" s="657">
        <v>0</v>
      </c>
      <c r="AA31" s="657">
        <v>0</v>
      </c>
      <c r="AB31" s="658">
        <f t="shared" si="0"/>
        <v>27505000</v>
      </c>
    </row>
    <row r="32" spans="1:28" s="659" customFormat="1" ht="24">
      <c r="A32" s="631"/>
      <c r="B32" s="632" t="s">
        <v>162</v>
      </c>
      <c r="C32" s="632" t="s">
        <v>140</v>
      </c>
      <c r="D32" s="660" t="s">
        <v>598</v>
      </c>
      <c r="E32" s="668" t="s">
        <v>788</v>
      </c>
      <c r="F32" s="667"/>
      <c r="G32" s="657">
        <v>0</v>
      </c>
      <c r="H32" s="657">
        <v>0</v>
      </c>
      <c r="I32" s="657">
        <v>0</v>
      </c>
      <c r="J32" s="657">
        <v>0</v>
      </c>
      <c r="K32" s="657">
        <v>250000</v>
      </c>
      <c r="L32" s="657">
        <v>0</v>
      </c>
      <c r="M32" s="657">
        <v>0</v>
      </c>
      <c r="N32" s="657">
        <v>0</v>
      </c>
      <c r="O32" s="657">
        <v>0</v>
      </c>
      <c r="P32" s="657">
        <v>0</v>
      </c>
      <c r="Q32" s="657">
        <v>0</v>
      </c>
      <c r="R32" s="657">
        <v>0</v>
      </c>
      <c r="S32" s="657">
        <v>0</v>
      </c>
      <c r="T32" s="657">
        <v>0</v>
      </c>
      <c r="U32" s="657">
        <v>0</v>
      </c>
      <c r="V32" s="657">
        <v>0</v>
      </c>
      <c r="W32" s="657">
        <v>0</v>
      </c>
      <c r="X32" s="657">
        <v>0</v>
      </c>
      <c r="Y32" s="657">
        <v>0</v>
      </c>
      <c r="Z32" s="657">
        <v>0</v>
      </c>
      <c r="AA32" s="657">
        <v>0</v>
      </c>
      <c r="AB32" s="658">
        <f t="shared" si="0"/>
        <v>250000</v>
      </c>
    </row>
    <row r="33" spans="1:28" s="659" customFormat="1" ht="24">
      <c r="A33" s="631"/>
      <c r="B33" s="632" t="s">
        <v>164</v>
      </c>
      <c r="C33" s="632" t="s">
        <v>781</v>
      </c>
      <c r="D33" s="660" t="s">
        <v>695</v>
      </c>
      <c r="E33" s="668" t="s">
        <v>929</v>
      </c>
      <c r="F33" s="667"/>
      <c r="G33" s="657">
        <f>9000+33000</f>
        <v>42000</v>
      </c>
      <c r="H33" s="657">
        <f>5000+17000</f>
        <v>22000</v>
      </c>
      <c r="I33" s="657">
        <f>1186000-14000-50000</f>
        <v>1122000</v>
      </c>
      <c r="J33" s="657">
        <v>0</v>
      </c>
      <c r="K33" s="657">
        <v>0</v>
      </c>
      <c r="L33" s="657">
        <v>0</v>
      </c>
      <c r="M33" s="657">
        <v>0</v>
      </c>
      <c r="N33" s="657">
        <v>0</v>
      </c>
      <c r="O33" s="657">
        <v>0</v>
      </c>
      <c r="P33" s="657">
        <v>0</v>
      </c>
      <c r="Q33" s="657">
        <v>0</v>
      </c>
      <c r="R33" s="657">
        <v>0</v>
      </c>
      <c r="S33" s="657">
        <v>0</v>
      </c>
      <c r="T33" s="657">
        <v>0</v>
      </c>
      <c r="U33" s="657">
        <v>0</v>
      </c>
      <c r="V33" s="657">
        <v>394000</v>
      </c>
      <c r="W33" s="657">
        <f>1588000</f>
        <v>1588000</v>
      </c>
      <c r="X33" s="657">
        <v>0</v>
      </c>
      <c r="Y33" s="657">
        <v>0</v>
      </c>
      <c r="Z33" s="657">
        <v>0</v>
      </c>
      <c r="AA33" s="657">
        <v>0</v>
      </c>
      <c r="AB33" s="658">
        <f t="shared" si="0"/>
        <v>3168000</v>
      </c>
    </row>
    <row r="34" spans="1:28" s="659" customFormat="1" ht="24" customHeight="1">
      <c r="A34" s="631"/>
      <c r="B34" s="632" t="s">
        <v>166</v>
      </c>
      <c r="C34" s="632" t="s">
        <v>782</v>
      </c>
      <c r="D34" s="660" t="s">
        <v>696</v>
      </c>
      <c r="E34" s="668" t="s">
        <v>789</v>
      </c>
      <c r="F34" s="667"/>
      <c r="G34" s="657">
        <v>0</v>
      </c>
      <c r="H34" s="657">
        <v>0</v>
      </c>
      <c r="I34" s="657">
        <v>0</v>
      </c>
      <c r="J34" s="657">
        <v>0</v>
      </c>
      <c r="K34" s="657">
        <v>0</v>
      </c>
      <c r="L34" s="657">
        <v>1100000</v>
      </c>
      <c r="M34" s="657">
        <v>0</v>
      </c>
      <c r="N34" s="657">
        <v>0</v>
      </c>
      <c r="O34" s="657">
        <v>0</v>
      </c>
      <c r="P34" s="657">
        <v>0</v>
      </c>
      <c r="Q34" s="657">
        <v>0</v>
      </c>
      <c r="R34" s="657">
        <v>0</v>
      </c>
      <c r="S34" s="657">
        <v>0</v>
      </c>
      <c r="T34" s="657">
        <v>0</v>
      </c>
      <c r="U34" s="657">
        <v>0</v>
      </c>
      <c r="V34" s="657">
        <v>0</v>
      </c>
      <c r="W34" s="657">
        <v>0</v>
      </c>
      <c r="X34" s="657">
        <v>0</v>
      </c>
      <c r="Y34" s="657">
        <v>0</v>
      </c>
      <c r="Z34" s="657">
        <v>0</v>
      </c>
      <c r="AA34" s="657">
        <v>0</v>
      </c>
      <c r="AB34" s="658">
        <f t="shared" si="0"/>
        <v>1100000</v>
      </c>
    </row>
    <row r="35" spans="1:28" s="659" customFormat="1" ht="23.25" customHeight="1">
      <c r="A35" s="631"/>
      <c r="B35" s="632" t="s">
        <v>168</v>
      </c>
      <c r="C35" s="632" t="s">
        <v>175</v>
      </c>
      <c r="D35" s="660" t="s">
        <v>697</v>
      </c>
      <c r="E35" s="668" t="s">
        <v>562</v>
      </c>
      <c r="F35" s="667"/>
      <c r="G35" s="657">
        <v>0</v>
      </c>
      <c r="H35" s="657">
        <v>0</v>
      </c>
      <c r="I35" s="657">
        <v>0</v>
      </c>
      <c r="J35" s="657">
        <v>0</v>
      </c>
      <c r="K35" s="657">
        <v>0</v>
      </c>
      <c r="L35" s="657">
        <f>2359000+1563000-500000</f>
        <v>3422000</v>
      </c>
      <c r="M35" s="657">
        <v>0</v>
      </c>
      <c r="N35" s="657">
        <v>0</v>
      </c>
      <c r="O35" s="657">
        <v>0</v>
      </c>
      <c r="P35" s="657">
        <v>0</v>
      </c>
      <c r="Q35" s="657">
        <v>0</v>
      </c>
      <c r="R35" s="657">
        <v>0</v>
      </c>
      <c r="S35" s="657">
        <v>0</v>
      </c>
      <c r="T35" s="657">
        <v>0</v>
      </c>
      <c r="U35" s="657">
        <v>0</v>
      </c>
      <c r="V35" s="657">
        <v>0</v>
      </c>
      <c r="W35" s="657">
        <v>0</v>
      </c>
      <c r="X35" s="657">
        <v>0</v>
      </c>
      <c r="Y35" s="657">
        <v>0</v>
      </c>
      <c r="Z35" s="657">
        <v>0</v>
      </c>
      <c r="AA35" s="657">
        <v>0</v>
      </c>
      <c r="AB35" s="658">
        <f t="shared" si="0"/>
        <v>3422000</v>
      </c>
    </row>
    <row r="36" spans="1:28" ht="25.5" customHeight="1">
      <c r="A36" s="631">
        <v>853333</v>
      </c>
      <c r="B36" s="632" t="s">
        <v>170</v>
      </c>
      <c r="C36" s="632" t="s">
        <v>176</v>
      </c>
      <c r="D36" s="660" t="s">
        <v>657</v>
      </c>
      <c r="E36" s="668" t="s">
        <v>184</v>
      </c>
      <c r="F36" s="666"/>
      <c r="G36" s="657">
        <v>0</v>
      </c>
      <c r="H36" s="657">
        <v>0</v>
      </c>
      <c r="I36" s="657">
        <v>50000</v>
      </c>
      <c r="J36" s="657">
        <v>0</v>
      </c>
      <c r="K36" s="657">
        <v>0</v>
      </c>
      <c r="L36" s="669">
        <v>0</v>
      </c>
      <c r="M36" s="657">
        <v>0</v>
      </c>
      <c r="N36" s="657">
        <v>0</v>
      </c>
      <c r="O36" s="657">
        <v>0</v>
      </c>
      <c r="P36" s="657">
        <v>0</v>
      </c>
      <c r="Q36" s="657">
        <v>0</v>
      </c>
      <c r="R36" s="657">
        <v>0</v>
      </c>
      <c r="S36" s="657">
        <v>0</v>
      </c>
      <c r="T36" s="657">
        <v>0</v>
      </c>
      <c r="U36" s="657">
        <v>0</v>
      </c>
      <c r="V36" s="657">
        <v>0</v>
      </c>
      <c r="W36" s="657">
        <v>0</v>
      </c>
      <c r="X36" s="657">
        <v>0</v>
      </c>
      <c r="Y36" s="657">
        <v>0</v>
      </c>
      <c r="Z36" s="657">
        <v>0</v>
      </c>
      <c r="AA36" s="657">
        <v>0</v>
      </c>
      <c r="AB36" s="658">
        <f t="shared" si="0"/>
        <v>50000</v>
      </c>
    </row>
    <row r="37" spans="2:28" ht="24">
      <c r="B37" s="632" t="s">
        <v>171</v>
      </c>
      <c r="C37" s="632" t="s">
        <v>177</v>
      </c>
      <c r="D37" s="660" t="s">
        <v>698</v>
      </c>
      <c r="E37" s="661" t="s">
        <v>790</v>
      </c>
      <c r="F37" s="666"/>
      <c r="G37" s="657">
        <v>0</v>
      </c>
      <c r="H37" s="657">
        <v>0</v>
      </c>
      <c r="I37" s="657">
        <v>0</v>
      </c>
      <c r="J37" s="657">
        <v>0</v>
      </c>
      <c r="K37" s="657">
        <v>0</v>
      </c>
      <c r="L37" s="669">
        <f>8502000-405000-500000-100000+2709200</f>
        <v>10206200</v>
      </c>
      <c r="M37" s="657">
        <v>0</v>
      </c>
      <c r="N37" s="657">
        <v>0</v>
      </c>
      <c r="O37" s="657">
        <v>0</v>
      </c>
      <c r="P37" s="657">
        <v>0</v>
      </c>
      <c r="Q37" s="657">
        <v>0</v>
      </c>
      <c r="R37" s="657">
        <v>0</v>
      </c>
      <c r="S37" s="657">
        <v>0</v>
      </c>
      <c r="T37" s="657">
        <v>0</v>
      </c>
      <c r="U37" s="657">
        <v>0</v>
      </c>
      <c r="V37" s="657">
        <v>920000</v>
      </c>
      <c r="W37" s="657">
        <v>0</v>
      </c>
      <c r="X37" s="657">
        <v>0</v>
      </c>
      <c r="Y37" s="657">
        <v>0</v>
      </c>
      <c r="Z37" s="657">
        <v>0</v>
      </c>
      <c r="AA37" s="657">
        <f>214000+830416</f>
        <v>1044416</v>
      </c>
      <c r="AB37" s="658">
        <f t="shared" si="0"/>
        <v>12170616</v>
      </c>
    </row>
    <row r="38" spans="3:28" ht="24">
      <c r="C38" s="632" t="s">
        <v>156</v>
      </c>
      <c r="D38" s="660" t="s">
        <v>599</v>
      </c>
      <c r="E38" s="661" t="s">
        <v>1105</v>
      </c>
      <c r="F38" s="666"/>
      <c r="G38" s="657">
        <v>0</v>
      </c>
      <c r="H38" s="657">
        <v>0</v>
      </c>
      <c r="I38" s="657">
        <v>0</v>
      </c>
      <c r="J38" s="657">
        <v>0</v>
      </c>
      <c r="K38" s="657">
        <v>0</v>
      </c>
      <c r="L38" s="669">
        <v>0</v>
      </c>
      <c r="M38" s="657">
        <v>0</v>
      </c>
      <c r="N38" s="657">
        <v>0</v>
      </c>
      <c r="O38" s="657">
        <v>0</v>
      </c>
      <c r="P38" s="657">
        <v>0</v>
      </c>
      <c r="Q38" s="657">
        <v>0</v>
      </c>
      <c r="R38" s="657">
        <v>0</v>
      </c>
      <c r="S38" s="657">
        <v>0</v>
      </c>
      <c r="T38" s="657">
        <v>0</v>
      </c>
      <c r="U38" s="657">
        <v>0</v>
      </c>
      <c r="V38" s="657">
        <f>48710+13152+1175381</f>
        <v>1237243</v>
      </c>
      <c r="W38" s="657">
        <f>439150+118571+10596689</f>
        <v>11154410</v>
      </c>
      <c r="X38" s="657">
        <v>0</v>
      </c>
      <c r="Y38" s="657">
        <v>0</v>
      </c>
      <c r="Z38" s="657">
        <v>0</v>
      </c>
      <c r="AA38" s="657">
        <v>0</v>
      </c>
      <c r="AB38" s="658">
        <f t="shared" si="0"/>
        <v>12391653</v>
      </c>
    </row>
    <row r="39" spans="2:28" ht="24">
      <c r="B39" s="632" t="s">
        <v>172</v>
      </c>
      <c r="C39" s="632" t="s">
        <v>920</v>
      </c>
      <c r="D39" s="660" t="s">
        <v>600</v>
      </c>
      <c r="E39" s="661" t="s">
        <v>921</v>
      </c>
      <c r="F39" s="666"/>
      <c r="G39" s="657">
        <v>0</v>
      </c>
      <c r="H39" s="657">
        <v>0</v>
      </c>
      <c r="I39" s="657">
        <v>0</v>
      </c>
      <c r="J39" s="657">
        <v>0</v>
      </c>
      <c r="K39" s="657">
        <v>0</v>
      </c>
      <c r="L39" s="669">
        <f>5082000-2870000-1200000</f>
        <v>1012000</v>
      </c>
      <c r="M39" s="657">
        <v>0</v>
      </c>
      <c r="N39" s="657">
        <v>0</v>
      </c>
      <c r="O39" s="657">
        <v>0</v>
      </c>
      <c r="P39" s="657">
        <v>0</v>
      </c>
      <c r="Q39" s="657">
        <v>0</v>
      </c>
      <c r="R39" s="657">
        <v>0</v>
      </c>
      <c r="S39" s="657">
        <v>0</v>
      </c>
      <c r="T39" s="657">
        <v>0</v>
      </c>
      <c r="U39" s="657">
        <v>0</v>
      </c>
      <c r="V39" s="657">
        <v>0</v>
      </c>
      <c r="W39" s="657">
        <v>0</v>
      </c>
      <c r="X39" s="657">
        <v>0</v>
      </c>
      <c r="Y39" s="657">
        <v>0</v>
      </c>
      <c r="Z39" s="657">
        <v>0</v>
      </c>
      <c r="AA39" s="657">
        <v>0</v>
      </c>
      <c r="AB39" s="658">
        <f t="shared" si="0"/>
        <v>1012000</v>
      </c>
    </row>
    <row r="40" spans="3:28" ht="24">
      <c r="C40" s="632" t="s">
        <v>922</v>
      </c>
      <c r="D40" s="670" t="s">
        <v>601</v>
      </c>
      <c r="E40" s="661" t="s">
        <v>923</v>
      </c>
      <c r="F40" s="666"/>
      <c r="G40" s="657">
        <v>10000</v>
      </c>
      <c r="H40" s="657">
        <v>5000</v>
      </c>
      <c r="I40" s="657">
        <v>81000</v>
      </c>
      <c r="J40" s="657">
        <v>0</v>
      </c>
      <c r="K40" s="657">
        <v>0</v>
      </c>
      <c r="L40" s="669">
        <v>0</v>
      </c>
      <c r="M40" s="657">
        <v>0</v>
      </c>
      <c r="N40" s="657">
        <v>0</v>
      </c>
      <c r="O40" s="657">
        <v>0</v>
      </c>
      <c r="P40" s="657">
        <v>0</v>
      </c>
      <c r="Q40" s="657">
        <v>0</v>
      </c>
      <c r="R40" s="657">
        <v>0</v>
      </c>
      <c r="S40" s="657">
        <v>0</v>
      </c>
      <c r="T40" s="657">
        <v>0</v>
      </c>
      <c r="U40" s="657">
        <v>0</v>
      </c>
      <c r="V40" s="657">
        <f>172000-15000</f>
        <v>157000</v>
      </c>
      <c r="W40" s="657">
        <v>0</v>
      </c>
      <c r="X40" s="657">
        <v>0</v>
      </c>
      <c r="Y40" s="657">
        <v>0</v>
      </c>
      <c r="Z40" s="657">
        <v>0</v>
      </c>
      <c r="AA40" s="657">
        <v>0</v>
      </c>
      <c r="AB40" s="658">
        <f t="shared" si="0"/>
        <v>253000</v>
      </c>
    </row>
    <row r="41" spans="2:28" ht="24" customHeight="1">
      <c r="B41" s="632" t="s">
        <v>173</v>
      </c>
      <c r="C41" s="632" t="s">
        <v>975</v>
      </c>
      <c r="D41" s="872" t="s">
        <v>1159</v>
      </c>
      <c r="E41" s="661" t="s">
        <v>791</v>
      </c>
      <c r="F41" s="666"/>
      <c r="G41" s="657">
        <v>0</v>
      </c>
      <c r="H41" s="657">
        <v>0</v>
      </c>
      <c r="I41" s="657">
        <f>16500000-1500000+1177000</f>
        <v>16177000</v>
      </c>
      <c r="J41" s="657">
        <v>0</v>
      </c>
      <c r="K41" s="657">
        <v>0</v>
      </c>
      <c r="L41" s="657">
        <f>26513000-9441000</f>
        <v>17072000</v>
      </c>
      <c r="M41" s="657">
        <v>0</v>
      </c>
      <c r="N41" s="657">
        <v>0</v>
      </c>
      <c r="O41" s="657">
        <v>0</v>
      </c>
      <c r="P41" s="657">
        <v>0</v>
      </c>
      <c r="Q41" s="657">
        <v>0</v>
      </c>
      <c r="R41" s="657">
        <v>0</v>
      </c>
      <c r="S41" s="657">
        <v>0</v>
      </c>
      <c r="T41" s="657">
        <v>0</v>
      </c>
      <c r="U41" s="657">
        <v>0</v>
      </c>
      <c r="V41" s="657">
        <v>0</v>
      </c>
      <c r="W41" s="657">
        <v>0</v>
      </c>
      <c r="X41" s="657">
        <v>0</v>
      </c>
      <c r="Y41" s="657">
        <v>0</v>
      </c>
      <c r="Z41" s="657">
        <v>0</v>
      </c>
      <c r="AA41" s="657">
        <v>0</v>
      </c>
      <c r="AB41" s="658">
        <f t="shared" si="0"/>
        <v>33249000</v>
      </c>
    </row>
    <row r="42" spans="2:28" ht="24" customHeight="1">
      <c r="B42" s="632" t="s">
        <v>174</v>
      </c>
      <c r="C42" s="632" t="s">
        <v>164</v>
      </c>
      <c r="D42" s="873"/>
      <c r="E42" s="661" t="s">
        <v>165</v>
      </c>
      <c r="F42" s="666"/>
      <c r="G42" s="657">
        <v>0</v>
      </c>
      <c r="H42" s="657">
        <v>0</v>
      </c>
      <c r="I42" s="657">
        <v>0</v>
      </c>
      <c r="J42" s="657">
        <v>0</v>
      </c>
      <c r="K42" s="657">
        <v>0</v>
      </c>
      <c r="L42" s="669">
        <f>5580000+3820000</f>
        <v>9400000</v>
      </c>
      <c r="M42" s="657">
        <v>0</v>
      </c>
      <c r="N42" s="657">
        <v>0</v>
      </c>
      <c r="O42" s="657">
        <v>0</v>
      </c>
      <c r="P42" s="657">
        <v>0</v>
      </c>
      <c r="Q42" s="657">
        <v>0</v>
      </c>
      <c r="R42" s="657">
        <v>0</v>
      </c>
      <c r="S42" s="657">
        <v>0</v>
      </c>
      <c r="T42" s="657">
        <v>0</v>
      </c>
      <c r="U42" s="657">
        <v>0</v>
      </c>
      <c r="V42" s="657">
        <v>0</v>
      </c>
      <c r="W42" s="657">
        <v>0</v>
      </c>
      <c r="X42" s="657">
        <v>0</v>
      </c>
      <c r="Y42" s="657">
        <v>0</v>
      </c>
      <c r="Z42" s="657">
        <v>0</v>
      </c>
      <c r="AA42" s="657">
        <v>0</v>
      </c>
      <c r="AB42" s="658">
        <f t="shared" si="0"/>
        <v>9400000</v>
      </c>
    </row>
    <row r="43" spans="3:28" ht="24" customHeight="1">
      <c r="C43" s="632" t="s">
        <v>166</v>
      </c>
      <c r="D43" s="873"/>
      <c r="E43" s="661" t="s">
        <v>167</v>
      </c>
      <c r="F43" s="666"/>
      <c r="G43" s="657">
        <v>0</v>
      </c>
      <c r="H43" s="657">
        <v>0</v>
      </c>
      <c r="I43" s="657">
        <v>0</v>
      </c>
      <c r="J43" s="657">
        <v>0</v>
      </c>
      <c r="K43" s="657">
        <v>0</v>
      </c>
      <c r="L43" s="669">
        <v>217000</v>
      </c>
      <c r="M43" s="657">
        <v>0</v>
      </c>
      <c r="N43" s="657">
        <v>0</v>
      </c>
      <c r="O43" s="657">
        <v>0</v>
      </c>
      <c r="P43" s="657">
        <v>0</v>
      </c>
      <c r="Q43" s="657">
        <v>0</v>
      </c>
      <c r="R43" s="657">
        <v>0</v>
      </c>
      <c r="S43" s="657">
        <v>0</v>
      </c>
      <c r="T43" s="657">
        <v>0</v>
      </c>
      <c r="U43" s="657">
        <v>0</v>
      </c>
      <c r="V43" s="657">
        <v>0</v>
      </c>
      <c r="W43" s="657">
        <v>0</v>
      </c>
      <c r="X43" s="657">
        <v>0</v>
      </c>
      <c r="Y43" s="657">
        <v>0</v>
      </c>
      <c r="Z43" s="657">
        <v>0</v>
      </c>
      <c r="AA43" s="657">
        <v>0</v>
      </c>
      <c r="AB43" s="658">
        <f t="shared" si="0"/>
        <v>217000</v>
      </c>
    </row>
    <row r="44" spans="3:28" ht="24" customHeight="1">
      <c r="C44" s="632" t="s">
        <v>173</v>
      </c>
      <c r="D44" s="873"/>
      <c r="E44" s="661" t="s">
        <v>981</v>
      </c>
      <c r="F44" s="666"/>
      <c r="G44" s="657">
        <v>4235000</v>
      </c>
      <c r="H44" s="657">
        <v>1079000</v>
      </c>
      <c r="I44" s="657">
        <v>1786000</v>
      </c>
      <c r="J44" s="657"/>
      <c r="K44" s="657"/>
      <c r="L44" s="669">
        <v>0</v>
      </c>
      <c r="M44" s="657">
        <v>0</v>
      </c>
      <c r="N44" s="657">
        <v>0</v>
      </c>
      <c r="O44" s="657">
        <v>0</v>
      </c>
      <c r="P44" s="657">
        <v>0</v>
      </c>
      <c r="Q44" s="657">
        <v>0</v>
      </c>
      <c r="R44" s="657">
        <v>0</v>
      </c>
      <c r="S44" s="657">
        <v>0</v>
      </c>
      <c r="T44" s="657">
        <v>0</v>
      </c>
      <c r="U44" s="657">
        <v>0</v>
      </c>
      <c r="V44" s="657">
        <v>0</v>
      </c>
      <c r="W44" s="657">
        <v>0</v>
      </c>
      <c r="X44" s="657">
        <v>0</v>
      </c>
      <c r="Y44" s="657">
        <v>0</v>
      </c>
      <c r="Z44" s="657">
        <v>0</v>
      </c>
      <c r="AA44" s="657">
        <v>0</v>
      </c>
      <c r="AB44" s="658">
        <f t="shared" si="0"/>
        <v>7100000</v>
      </c>
    </row>
    <row r="45" spans="3:28" ht="24" customHeight="1">
      <c r="C45" s="632" t="s">
        <v>162</v>
      </c>
      <c r="D45" s="873"/>
      <c r="E45" s="661" t="s">
        <v>163</v>
      </c>
      <c r="F45" s="666"/>
      <c r="G45" s="657">
        <v>0</v>
      </c>
      <c r="H45" s="657">
        <v>0</v>
      </c>
      <c r="I45" s="657">
        <v>0</v>
      </c>
      <c r="J45" s="657">
        <v>0</v>
      </c>
      <c r="K45" s="657">
        <v>0</v>
      </c>
      <c r="L45" s="657">
        <f>1711000+1272000</f>
        <v>2983000</v>
      </c>
      <c r="M45" s="657">
        <v>0</v>
      </c>
      <c r="N45" s="657">
        <v>0</v>
      </c>
      <c r="O45" s="657">
        <v>0</v>
      </c>
      <c r="P45" s="657">
        <v>0</v>
      </c>
      <c r="Q45" s="657">
        <v>0</v>
      </c>
      <c r="R45" s="657">
        <v>0</v>
      </c>
      <c r="S45" s="657">
        <v>0</v>
      </c>
      <c r="T45" s="657">
        <v>0</v>
      </c>
      <c r="U45" s="657">
        <v>0</v>
      </c>
      <c r="V45" s="657">
        <v>0</v>
      </c>
      <c r="W45" s="657">
        <v>0</v>
      </c>
      <c r="X45" s="657">
        <v>0</v>
      </c>
      <c r="Y45" s="657">
        <v>0</v>
      </c>
      <c r="Z45" s="657">
        <v>0</v>
      </c>
      <c r="AA45" s="657">
        <v>0</v>
      </c>
      <c r="AB45" s="658">
        <f t="shared" si="0"/>
        <v>2983000</v>
      </c>
    </row>
    <row r="46" spans="3:28" ht="24" customHeight="1">
      <c r="C46" s="632" t="s">
        <v>168</v>
      </c>
      <c r="D46" s="873"/>
      <c r="E46" s="661" t="s">
        <v>169</v>
      </c>
      <c r="F46" s="666"/>
      <c r="G46" s="657">
        <v>0</v>
      </c>
      <c r="H46" s="657">
        <v>0</v>
      </c>
      <c r="I46" s="657">
        <v>0</v>
      </c>
      <c r="J46" s="657">
        <v>0</v>
      </c>
      <c r="K46" s="657">
        <v>0</v>
      </c>
      <c r="L46" s="657">
        <f>4155000+1666000</f>
        <v>5821000</v>
      </c>
      <c r="M46" s="657">
        <v>0</v>
      </c>
      <c r="N46" s="657">
        <v>0</v>
      </c>
      <c r="O46" s="657">
        <v>0</v>
      </c>
      <c r="P46" s="657">
        <v>0</v>
      </c>
      <c r="Q46" s="657">
        <v>0</v>
      </c>
      <c r="R46" s="657">
        <v>0</v>
      </c>
      <c r="S46" s="657">
        <v>0</v>
      </c>
      <c r="T46" s="657">
        <v>0</v>
      </c>
      <c r="U46" s="657">
        <v>0</v>
      </c>
      <c r="V46" s="657">
        <v>0</v>
      </c>
      <c r="W46" s="657">
        <v>0</v>
      </c>
      <c r="X46" s="657">
        <v>0</v>
      </c>
      <c r="Y46" s="657">
        <v>0</v>
      </c>
      <c r="Z46" s="657">
        <v>0</v>
      </c>
      <c r="AA46" s="657">
        <v>0</v>
      </c>
      <c r="AB46" s="658">
        <f t="shared" si="0"/>
        <v>5821000</v>
      </c>
    </row>
    <row r="47" spans="2:28" ht="24" customHeight="1">
      <c r="B47" s="632" t="s">
        <v>175</v>
      </c>
      <c r="C47" s="632" t="s">
        <v>170</v>
      </c>
      <c r="D47" s="873"/>
      <c r="E47" s="661" t="s">
        <v>652</v>
      </c>
      <c r="F47" s="666"/>
      <c r="G47" s="657">
        <v>0</v>
      </c>
      <c r="H47" s="657">
        <v>0</v>
      </c>
      <c r="I47" s="657">
        <f>2050000-150000+210000</f>
        <v>2110000</v>
      </c>
      <c r="J47" s="657">
        <v>0</v>
      </c>
      <c r="K47" s="657">
        <v>0</v>
      </c>
      <c r="L47" s="657">
        <f>3326000+1552000</f>
        <v>4878000</v>
      </c>
      <c r="M47" s="657">
        <v>0</v>
      </c>
      <c r="N47" s="657">
        <v>0</v>
      </c>
      <c r="O47" s="657">
        <v>0</v>
      </c>
      <c r="P47" s="657">
        <v>0</v>
      </c>
      <c r="Q47" s="657">
        <v>0</v>
      </c>
      <c r="R47" s="657">
        <v>0</v>
      </c>
      <c r="S47" s="657">
        <v>0</v>
      </c>
      <c r="T47" s="657">
        <v>0</v>
      </c>
      <c r="U47" s="657">
        <v>0</v>
      </c>
      <c r="V47" s="657">
        <v>0</v>
      </c>
      <c r="W47" s="657">
        <v>0</v>
      </c>
      <c r="X47" s="657">
        <v>0</v>
      </c>
      <c r="Y47" s="657">
        <v>0</v>
      </c>
      <c r="Z47" s="657">
        <v>0</v>
      </c>
      <c r="AA47" s="657">
        <v>0</v>
      </c>
      <c r="AB47" s="658">
        <f t="shared" si="0"/>
        <v>6988000</v>
      </c>
    </row>
    <row r="48" spans="2:28" ht="24" customHeight="1">
      <c r="B48" s="632" t="s">
        <v>176</v>
      </c>
      <c r="C48" s="632" t="s">
        <v>171</v>
      </c>
      <c r="D48" s="874"/>
      <c r="E48" s="661" t="s">
        <v>653</v>
      </c>
      <c r="F48" s="666"/>
      <c r="G48" s="657">
        <v>0</v>
      </c>
      <c r="H48" s="657">
        <v>0</v>
      </c>
      <c r="I48" s="657">
        <v>0</v>
      </c>
      <c r="J48" s="657">
        <v>0</v>
      </c>
      <c r="K48" s="657">
        <v>0</v>
      </c>
      <c r="L48" s="657">
        <f>2839000-4000</f>
        <v>2835000</v>
      </c>
      <c r="M48" s="657">
        <v>0</v>
      </c>
      <c r="N48" s="657">
        <v>0</v>
      </c>
      <c r="O48" s="657">
        <v>0</v>
      </c>
      <c r="P48" s="657">
        <v>0</v>
      </c>
      <c r="Q48" s="657">
        <v>0</v>
      </c>
      <c r="R48" s="657">
        <v>0</v>
      </c>
      <c r="S48" s="657">
        <v>0</v>
      </c>
      <c r="T48" s="657">
        <v>0</v>
      </c>
      <c r="U48" s="657">
        <v>0</v>
      </c>
      <c r="V48" s="657">
        <v>0</v>
      </c>
      <c r="W48" s="657">
        <v>0</v>
      </c>
      <c r="X48" s="657">
        <v>0</v>
      </c>
      <c r="Y48" s="657">
        <v>0</v>
      </c>
      <c r="Z48" s="657">
        <v>0</v>
      </c>
      <c r="AA48" s="657">
        <v>0</v>
      </c>
      <c r="AB48" s="658">
        <f t="shared" si="0"/>
        <v>2835000</v>
      </c>
    </row>
    <row r="49" spans="3:28" ht="24" customHeight="1">
      <c r="C49" s="632" t="s">
        <v>924</v>
      </c>
      <c r="D49" s="670" t="s">
        <v>602</v>
      </c>
      <c r="E49" s="661" t="s">
        <v>925</v>
      </c>
      <c r="F49" s="666"/>
      <c r="G49" s="657">
        <v>0</v>
      </c>
      <c r="H49" s="657">
        <v>0</v>
      </c>
      <c r="I49" s="657">
        <v>24000</v>
      </c>
      <c r="J49" s="657">
        <v>0</v>
      </c>
      <c r="K49" s="657">
        <v>0</v>
      </c>
      <c r="L49" s="669">
        <v>0</v>
      </c>
      <c r="M49" s="657">
        <v>0</v>
      </c>
      <c r="N49" s="657">
        <v>0</v>
      </c>
      <c r="O49" s="657">
        <v>0</v>
      </c>
      <c r="P49" s="657">
        <v>0</v>
      </c>
      <c r="Q49" s="657">
        <v>0</v>
      </c>
      <c r="R49" s="657">
        <v>0</v>
      </c>
      <c r="S49" s="657">
        <v>0</v>
      </c>
      <c r="T49" s="657">
        <v>0</v>
      </c>
      <c r="U49" s="657">
        <v>0</v>
      </c>
      <c r="V49" s="657">
        <v>0</v>
      </c>
      <c r="W49" s="657">
        <v>0</v>
      </c>
      <c r="X49" s="657">
        <v>0</v>
      </c>
      <c r="Y49" s="657">
        <v>0</v>
      </c>
      <c r="Z49" s="657">
        <v>0</v>
      </c>
      <c r="AA49" s="657">
        <v>0</v>
      </c>
      <c r="AB49" s="658">
        <f t="shared" si="0"/>
        <v>24000</v>
      </c>
    </row>
    <row r="50" spans="3:28" ht="24" customHeight="1">
      <c r="C50" s="632" t="s">
        <v>926</v>
      </c>
      <c r="D50" s="670" t="s">
        <v>627</v>
      </c>
      <c r="E50" s="661" t="s">
        <v>927</v>
      </c>
      <c r="F50" s="666"/>
      <c r="G50" s="657">
        <v>0</v>
      </c>
      <c r="H50" s="657">
        <v>0</v>
      </c>
      <c r="I50" s="657">
        <v>24000</v>
      </c>
      <c r="J50" s="657">
        <v>0</v>
      </c>
      <c r="K50" s="657">
        <v>0</v>
      </c>
      <c r="L50" s="669">
        <v>0</v>
      </c>
      <c r="M50" s="657">
        <v>0</v>
      </c>
      <c r="N50" s="657">
        <v>0</v>
      </c>
      <c r="O50" s="657">
        <v>0</v>
      </c>
      <c r="P50" s="657">
        <v>0</v>
      </c>
      <c r="Q50" s="657">
        <v>0</v>
      </c>
      <c r="R50" s="657">
        <v>0</v>
      </c>
      <c r="S50" s="657">
        <v>0</v>
      </c>
      <c r="T50" s="657">
        <v>0</v>
      </c>
      <c r="U50" s="657">
        <v>0</v>
      </c>
      <c r="V50" s="657">
        <v>0</v>
      </c>
      <c r="W50" s="657">
        <v>0</v>
      </c>
      <c r="X50" s="657">
        <v>0</v>
      </c>
      <c r="Y50" s="657">
        <v>0</v>
      </c>
      <c r="Z50" s="657">
        <v>0</v>
      </c>
      <c r="AA50" s="657">
        <v>0</v>
      </c>
      <c r="AB50" s="658">
        <f t="shared" si="0"/>
        <v>24000</v>
      </c>
    </row>
    <row r="51" spans="2:28" ht="24">
      <c r="B51" s="632" t="s">
        <v>179</v>
      </c>
      <c r="C51" s="632" t="s">
        <v>174</v>
      </c>
      <c r="D51" s="670" t="s">
        <v>704</v>
      </c>
      <c r="E51" s="661" t="s">
        <v>792</v>
      </c>
      <c r="F51" s="666"/>
      <c r="G51" s="657">
        <v>0</v>
      </c>
      <c r="H51" s="657">
        <v>0</v>
      </c>
      <c r="I51" s="657">
        <v>0</v>
      </c>
      <c r="J51" s="657">
        <f>4506000+49000-1414600</f>
        <v>3140400</v>
      </c>
      <c r="K51" s="657">
        <v>0</v>
      </c>
      <c r="L51" s="657">
        <v>0</v>
      </c>
      <c r="M51" s="657">
        <v>0</v>
      </c>
      <c r="N51" s="657">
        <v>0</v>
      </c>
      <c r="O51" s="657">
        <v>0</v>
      </c>
      <c r="P51" s="657">
        <v>0</v>
      </c>
      <c r="Q51" s="657">
        <v>0</v>
      </c>
      <c r="R51" s="657">
        <v>0</v>
      </c>
      <c r="S51" s="657">
        <v>0</v>
      </c>
      <c r="T51" s="657">
        <v>0</v>
      </c>
      <c r="U51" s="671">
        <v>0</v>
      </c>
      <c r="V51" s="657">
        <v>0</v>
      </c>
      <c r="W51" s="657">
        <v>0</v>
      </c>
      <c r="X51" s="657">
        <v>0</v>
      </c>
      <c r="Y51" s="657">
        <v>0</v>
      </c>
      <c r="Z51" s="657">
        <v>0</v>
      </c>
      <c r="AA51" s="657">
        <v>0</v>
      </c>
      <c r="AB51" s="658">
        <f t="shared" si="0"/>
        <v>3140400</v>
      </c>
    </row>
    <row r="52" spans="3:28" ht="24">
      <c r="C52" s="632" t="s">
        <v>151</v>
      </c>
      <c r="D52" s="670" t="s">
        <v>705</v>
      </c>
      <c r="E52" s="661" t="s">
        <v>558</v>
      </c>
      <c r="F52" s="672"/>
      <c r="G52" s="673">
        <v>0</v>
      </c>
      <c r="H52" s="671">
        <v>0</v>
      </c>
      <c r="I52" s="671">
        <v>0</v>
      </c>
      <c r="J52" s="671">
        <v>0</v>
      </c>
      <c r="K52" s="671">
        <v>0</v>
      </c>
      <c r="L52" s="671">
        <v>0</v>
      </c>
      <c r="M52" s="671">
        <f>1000000-1000000</f>
        <v>0</v>
      </c>
      <c r="N52" s="671">
        <f>200000+3472000-3672000</f>
        <v>0</v>
      </c>
      <c r="O52" s="671">
        <f>1000000-73000-64000+728928+1275000+4214000-112000-2300000-619583-2645063-21000-13000-39000-1331282</f>
        <v>0</v>
      </c>
      <c r="P52" s="671">
        <f>4299000-4299000</f>
        <v>0</v>
      </c>
      <c r="Q52" s="671">
        <f>3700000-1500000-588000-1336000-276000</f>
        <v>0</v>
      </c>
      <c r="R52" s="671">
        <f>97040048-5924000-3472000-4299000-4477000-49000-608000-4260000-17635925-25143529-513963-200000-6460000-15000000-8997631</f>
        <v>0</v>
      </c>
      <c r="S52" s="671">
        <f>3902804-3902804</f>
        <v>0</v>
      </c>
      <c r="T52" s="671">
        <f>329000+4260000</f>
        <v>4589000</v>
      </c>
      <c r="U52" s="673">
        <f>40540000-40540000</f>
        <v>0</v>
      </c>
      <c r="V52" s="671">
        <v>0</v>
      </c>
      <c r="W52" s="671">
        <v>0</v>
      </c>
      <c r="X52" s="671">
        <v>0</v>
      </c>
      <c r="Y52" s="671">
        <v>0</v>
      </c>
      <c r="Z52" s="671">
        <v>0</v>
      </c>
      <c r="AA52" s="671">
        <v>0</v>
      </c>
      <c r="AB52" s="658">
        <f t="shared" si="0"/>
        <v>4589000</v>
      </c>
    </row>
    <row r="53" spans="3:28" ht="24" customHeight="1">
      <c r="C53" s="674" t="s">
        <v>783</v>
      </c>
      <c r="D53" s="670" t="s">
        <v>706</v>
      </c>
      <c r="E53" s="675" t="s">
        <v>536</v>
      </c>
      <c r="F53" s="672"/>
      <c r="G53" s="673">
        <f>29577000+2500+199000</f>
        <v>29778500</v>
      </c>
      <c r="H53" s="671">
        <f>7976000+675+54000</f>
        <v>8030675</v>
      </c>
      <c r="I53" s="671">
        <f>95155000+1720000</f>
        <v>96875000</v>
      </c>
      <c r="J53" s="671">
        <v>0</v>
      </c>
      <c r="K53" s="671">
        <v>0</v>
      </c>
      <c r="L53" s="671">
        <v>0</v>
      </c>
      <c r="M53" s="671">
        <v>0</v>
      </c>
      <c r="N53" s="673">
        <v>0</v>
      </c>
      <c r="O53" s="673">
        <v>0</v>
      </c>
      <c r="P53" s="673">
        <v>0</v>
      </c>
      <c r="Q53" s="673">
        <v>0</v>
      </c>
      <c r="R53" s="673">
        <v>0</v>
      </c>
      <c r="S53" s="673">
        <v>0</v>
      </c>
      <c r="T53" s="673">
        <v>0</v>
      </c>
      <c r="U53" s="671">
        <v>0</v>
      </c>
      <c r="V53" s="671">
        <f>216000+5644000+112000-4350000-200000-1094000</f>
        <v>328000</v>
      </c>
      <c r="W53" s="671">
        <v>0</v>
      </c>
      <c r="X53" s="671">
        <v>0</v>
      </c>
      <c r="Y53" s="671">
        <v>0</v>
      </c>
      <c r="Z53" s="671">
        <v>0</v>
      </c>
      <c r="AA53" s="671">
        <v>0</v>
      </c>
      <c r="AB53" s="658">
        <f t="shared" si="0"/>
        <v>135012175</v>
      </c>
    </row>
    <row r="54" spans="3:28" ht="24">
      <c r="C54" s="674"/>
      <c r="D54" s="670" t="s">
        <v>707</v>
      </c>
      <c r="E54" s="675" t="s">
        <v>928</v>
      </c>
      <c r="F54" s="672"/>
      <c r="G54" s="673">
        <v>0</v>
      </c>
      <c r="H54" s="673">
        <v>0</v>
      </c>
      <c r="I54" s="673">
        <f>6530000+24000</f>
        <v>6554000</v>
      </c>
      <c r="J54" s="673">
        <v>0</v>
      </c>
      <c r="K54" s="673">
        <v>0</v>
      </c>
      <c r="L54" s="673">
        <v>0</v>
      </c>
      <c r="M54" s="673">
        <v>0</v>
      </c>
      <c r="N54" s="673">
        <v>0</v>
      </c>
      <c r="O54" s="673">
        <v>0</v>
      </c>
      <c r="P54" s="673">
        <v>0</v>
      </c>
      <c r="Q54" s="673">
        <v>0</v>
      </c>
      <c r="R54" s="673">
        <v>0</v>
      </c>
      <c r="S54" s="673">
        <v>0</v>
      </c>
      <c r="T54" s="673">
        <v>0</v>
      </c>
      <c r="U54" s="673">
        <v>0</v>
      </c>
      <c r="V54" s="673">
        <v>0</v>
      </c>
      <c r="W54" s="673">
        <v>0</v>
      </c>
      <c r="X54" s="673">
        <v>0</v>
      </c>
      <c r="Y54" s="673">
        <v>0</v>
      </c>
      <c r="Z54" s="673">
        <v>0</v>
      </c>
      <c r="AA54" s="673">
        <v>0</v>
      </c>
      <c r="AB54" s="658">
        <f t="shared" si="0"/>
        <v>6554000</v>
      </c>
    </row>
    <row r="55" spans="1:31" s="676" customFormat="1" ht="24" customHeight="1" thickBot="1">
      <c r="A55" s="676">
        <v>999997</v>
      </c>
      <c r="B55" s="674"/>
      <c r="D55" s="677" t="s">
        <v>708</v>
      </c>
      <c r="E55" s="678" t="s">
        <v>541</v>
      </c>
      <c r="F55" s="679">
        <f>SUM(F8:F51)</f>
        <v>0</v>
      </c>
      <c r="G55" s="680">
        <f aca="true" t="shared" si="1" ref="G55:AB55">SUM(G8:G54)</f>
        <v>127652187</v>
      </c>
      <c r="H55" s="680">
        <f t="shared" si="1"/>
        <v>37157227</v>
      </c>
      <c r="I55" s="680">
        <f t="shared" si="1"/>
        <v>263850224</v>
      </c>
      <c r="J55" s="680">
        <f t="shared" si="1"/>
        <v>3140400</v>
      </c>
      <c r="K55" s="680">
        <f t="shared" si="1"/>
        <v>4440000</v>
      </c>
      <c r="L55" s="680">
        <f t="shared" si="1"/>
        <v>232580331</v>
      </c>
      <c r="M55" s="680">
        <f t="shared" si="1"/>
        <v>0</v>
      </c>
      <c r="N55" s="680">
        <f t="shared" si="1"/>
        <v>0</v>
      </c>
      <c r="O55" s="680">
        <f t="shared" si="1"/>
        <v>0</v>
      </c>
      <c r="P55" s="680">
        <f t="shared" si="1"/>
        <v>0</v>
      </c>
      <c r="Q55" s="680">
        <f t="shared" si="1"/>
        <v>0</v>
      </c>
      <c r="R55" s="680">
        <f t="shared" si="1"/>
        <v>0</v>
      </c>
      <c r="S55" s="680">
        <f t="shared" si="1"/>
        <v>0</v>
      </c>
      <c r="T55" s="680">
        <f t="shared" si="1"/>
        <v>4589000</v>
      </c>
      <c r="U55" s="680">
        <f t="shared" si="1"/>
        <v>0</v>
      </c>
      <c r="V55" s="680">
        <f t="shared" si="1"/>
        <v>41363743</v>
      </c>
      <c r="W55" s="680">
        <f t="shared" si="1"/>
        <v>16248410</v>
      </c>
      <c r="X55" s="680">
        <f t="shared" si="1"/>
        <v>25611049</v>
      </c>
      <c r="Y55" s="680">
        <f t="shared" si="1"/>
        <v>17635925</v>
      </c>
      <c r="Z55" s="680">
        <f t="shared" si="1"/>
        <v>5768314</v>
      </c>
      <c r="AA55" s="680">
        <f t="shared" si="1"/>
        <v>113181416</v>
      </c>
      <c r="AB55" s="681">
        <f t="shared" si="1"/>
        <v>893218226</v>
      </c>
      <c r="AC55" s="682">
        <f>SUM(G55:AA55)</f>
        <v>893218226</v>
      </c>
      <c r="AD55" s="683"/>
      <c r="AE55" s="683"/>
    </row>
    <row r="56" ht="12.75">
      <c r="E56" s="684"/>
    </row>
    <row r="60" ht="12">
      <c r="F60" s="686"/>
    </row>
  </sheetData>
  <sheetProtection/>
  <mergeCells count="31">
    <mergeCell ref="D27:D30"/>
    <mergeCell ref="D4:D7"/>
    <mergeCell ref="G5:G6"/>
    <mergeCell ref="H5:H6"/>
    <mergeCell ref="AB4:AB6"/>
    <mergeCell ref="V5:V6"/>
    <mergeCell ref="W5:W6"/>
    <mergeCell ref="P5:P6"/>
    <mergeCell ref="D41:D48"/>
    <mergeCell ref="C1:C2"/>
    <mergeCell ref="Q5:Q6"/>
    <mergeCell ref="U5:U6"/>
    <mergeCell ref="G4:AA4"/>
    <mergeCell ref="T1:AB1"/>
    <mergeCell ref="O5:O6"/>
    <mergeCell ref="N5:N6"/>
    <mergeCell ref="R5:R6"/>
    <mergeCell ref="S5:S6"/>
    <mergeCell ref="K5:K6"/>
    <mergeCell ref="I5:I6"/>
    <mergeCell ref="L5:L6"/>
    <mergeCell ref="E2:AB2"/>
    <mergeCell ref="F4:F6"/>
    <mergeCell ref="AA5:AA6"/>
    <mergeCell ref="M5:M6"/>
    <mergeCell ref="T5:T6"/>
    <mergeCell ref="E4:E6"/>
    <mergeCell ref="J5:J6"/>
    <mergeCell ref="Y5:Y6"/>
    <mergeCell ref="Z5:Z6"/>
    <mergeCell ref="X5:X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55" r:id="rId1"/>
  <rowBreaks count="1" manualBreakCount="1">
    <brk id="33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9"/>
  <sheetViews>
    <sheetView workbookViewId="0" topLeftCell="G1">
      <selection activeCell="G2" sqref="G2"/>
    </sheetView>
  </sheetViews>
  <sheetFormatPr defaultColWidth="9.00390625" defaultRowHeight="12.75"/>
  <cols>
    <col min="1" max="1" width="7.75390625" style="168" customWidth="1"/>
    <col min="2" max="2" width="31.75390625" style="168" customWidth="1"/>
    <col min="3" max="3" width="14.375" style="168" customWidth="1"/>
    <col min="4" max="4" width="18.00390625" style="168" customWidth="1"/>
    <col min="5" max="5" width="14.875" style="168" customWidth="1"/>
    <col min="6" max="6" width="18.75390625" style="168" customWidth="1"/>
    <col min="7" max="8" width="14.25390625" style="168" customWidth="1"/>
    <col min="9" max="9" width="14.75390625" style="168" customWidth="1"/>
    <col min="10" max="10" width="14.25390625" style="168" customWidth="1"/>
    <col min="11" max="11" width="13.625" style="168" customWidth="1"/>
    <col min="12" max="12" width="15.00390625" style="168" customWidth="1"/>
    <col min="13" max="13" width="20.125" style="168" customWidth="1"/>
    <col min="14" max="16384" width="9.125" style="168" customWidth="1"/>
  </cols>
  <sheetData>
    <row r="1" spans="1:21" ht="12.75">
      <c r="A1" s="265"/>
      <c r="B1" s="266"/>
      <c r="C1" s="267"/>
      <c r="D1" s="267"/>
      <c r="E1" s="267"/>
      <c r="F1" s="267"/>
      <c r="G1" s="885" t="s">
        <v>1184</v>
      </c>
      <c r="H1" s="885"/>
      <c r="I1" s="886"/>
      <c r="J1" s="886"/>
      <c r="K1" s="886"/>
      <c r="L1" s="886"/>
      <c r="M1" s="886"/>
      <c r="N1" s="266"/>
      <c r="O1" s="266"/>
      <c r="P1" s="266"/>
      <c r="Q1" s="266"/>
      <c r="R1" s="268"/>
      <c r="S1" s="268"/>
      <c r="T1" s="268"/>
      <c r="U1" s="266"/>
    </row>
    <row r="2" spans="1:21" ht="12.75">
      <c r="A2" s="265"/>
      <c r="B2" s="266"/>
      <c r="C2" s="267"/>
      <c r="D2" s="267"/>
      <c r="E2" s="267"/>
      <c r="F2" s="267"/>
      <c r="G2" s="270"/>
      <c r="H2" s="270"/>
      <c r="I2" s="271"/>
      <c r="J2" s="271"/>
      <c r="K2" s="271"/>
      <c r="L2" s="271"/>
      <c r="M2" s="271"/>
      <c r="N2" s="266"/>
      <c r="O2" s="266"/>
      <c r="P2" s="266"/>
      <c r="Q2" s="266"/>
      <c r="R2" s="268"/>
      <c r="S2" s="268"/>
      <c r="T2" s="268"/>
      <c r="U2" s="266"/>
    </row>
    <row r="3" spans="1:27" ht="15.75" customHeight="1">
      <c r="A3" s="890" t="s">
        <v>966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</row>
    <row r="4" spans="1:27" ht="13.5" thickBot="1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</row>
    <row r="5" spans="1:27" ht="16.5" thickBot="1">
      <c r="A5" s="912" t="s">
        <v>623</v>
      </c>
      <c r="B5" s="909" t="s">
        <v>537</v>
      </c>
      <c r="C5" s="915" t="s">
        <v>685</v>
      </c>
      <c r="D5" s="915"/>
      <c r="E5" s="915"/>
      <c r="F5" s="915"/>
      <c r="G5" s="915"/>
      <c r="H5" s="915"/>
      <c r="I5" s="915"/>
      <c r="J5" s="915"/>
      <c r="K5" s="915"/>
      <c r="L5" s="915"/>
      <c r="M5" s="91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559"/>
    </row>
    <row r="6" spans="1:13" ht="12.75" customHeight="1">
      <c r="A6" s="913"/>
      <c r="B6" s="910"/>
      <c r="C6" s="891" t="s">
        <v>686</v>
      </c>
      <c r="D6" s="894" t="s">
        <v>687</v>
      </c>
      <c r="E6" s="895"/>
      <c r="F6" s="896"/>
      <c r="G6" s="894" t="s">
        <v>688</v>
      </c>
      <c r="H6" s="895"/>
      <c r="I6" s="896"/>
      <c r="J6" s="894" t="s">
        <v>689</v>
      </c>
      <c r="K6" s="895"/>
      <c r="L6" s="896"/>
      <c r="M6" s="887" t="s">
        <v>546</v>
      </c>
    </row>
    <row r="7" spans="1:13" ht="12.75" customHeight="1">
      <c r="A7" s="913"/>
      <c r="B7" s="910"/>
      <c r="C7" s="892"/>
      <c r="D7" s="897"/>
      <c r="E7" s="898"/>
      <c r="F7" s="899"/>
      <c r="G7" s="897"/>
      <c r="H7" s="898"/>
      <c r="I7" s="899"/>
      <c r="J7" s="897"/>
      <c r="K7" s="898"/>
      <c r="L7" s="899"/>
      <c r="M7" s="888"/>
    </row>
    <row r="8" spans="1:13" ht="24" customHeight="1" thickBot="1">
      <c r="A8" s="914"/>
      <c r="B8" s="911"/>
      <c r="C8" s="893"/>
      <c r="D8" s="560" t="s">
        <v>185</v>
      </c>
      <c r="E8" s="561" t="s">
        <v>186</v>
      </c>
      <c r="F8" s="562" t="s">
        <v>187</v>
      </c>
      <c r="G8" s="563" t="s">
        <v>185</v>
      </c>
      <c r="H8" s="561" t="s">
        <v>186</v>
      </c>
      <c r="I8" s="562" t="s">
        <v>187</v>
      </c>
      <c r="J8" s="563" t="s">
        <v>185</v>
      </c>
      <c r="K8" s="561" t="s">
        <v>186</v>
      </c>
      <c r="L8" s="562" t="s">
        <v>187</v>
      </c>
      <c r="M8" s="889"/>
    </row>
    <row r="9" spans="1:13" ht="13.5" thickBot="1">
      <c r="A9" s="564"/>
      <c r="B9" s="917" t="s">
        <v>863</v>
      </c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9"/>
    </row>
    <row r="10" spans="1:13" ht="29.25" customHeight="1">
      <c r="A10" s="565" t="s">
        <v>577</v>
      </c>
      <c r="B10" s="566" t="s">
        <v>147</v>
      </c>
      <c r="C10" s="567" t="s">
        <v>693</v>
      </c>
      <c r="D10" s="568">
        <f>169570000+1276000-6000000-5308000+3430000+350000+608000-64000000-4277000-200261</f>
        <v>95448739</v>
      </c>
      <c r="E10" s="569">
        <f>64000000+6460000+46000000</f>
        <v>116460000</v>
      </c>
      <c r="F10" s="570">
        <f aca="true" t="shared" si="0" ref="F10:F43">SUM(D10:E10)</f>
        <v>211908739</v>
      </c>
      <c r="G10" s="571">
        <f>916000+247000+21000</f>
        <v>1184000</v>
      </c>
      <c r="H10" s="569"/>
      <c r="I10" s="570">
        <f>SUM(G10:H10)</f>
        <v>1184000</v>
      </c>
      <c r="J10" s="572"/>
      <c r="K10" s="573"/>
      <c r="L10" s="570">
        <f aca="true" t="shared" si="1" ref="L10:L43">SUM(J10:K10)</f>
        <v>0</v>
      </c>
      <c r="M10" s="574">
        <f>SUM(F10+I10+L10)</f>
        <v>213092739</v>
      </c>
    </row>
    <row r="11" spans="1:13" ht="29.25" customHeight="1">
      <c r="A11" s="575" t="s">
        <v>578</v>
      </c>
      <c r="B11" s="801" t="s">
        <v>1160</v>
      </c>
      <c r="C11" s="591" t="s">
        <v>691</v>
      </c>
      <c r="D11" s="568"/>
      <c r="E11" s="569">
        <v>200000</v>
      </c>
      <c r="F11" s="570">
        <f t="shared" si="0"/>
        <v>200000</v>
      </c>
      <c r="G11" s="571"/>
      <c r="H11" s="569"/>
      <c r="I11" s="570">
        <f>SUM(G11:H11)</f>
        <v>0</v>
      </c>
      <c r="J11" s="572"/>
      <c r="K11" s="573"/>
      <c r="L11" s="570">
        <f t="shared" si="1"/>
        <v>0</v>
      </c>
      <c r="M11" s="574">
        <f>SUM(F11+I11+L11)</f>
        <v>200000</v>
      </c>
    </row>
    <row r="12" spans="1:13" ht="29.25" customHeight="1">
      <c r="A12" s="575" t="s">
        <v>579</v>
      </c>
      <c r="B12" s="576" t="s">
        <v>142</v>
      </c>
      <c r="C12" s="577" t="s">
        <v>692</v>
      </c>
      <c r="D12" s="568">
        <f>63469000-2200000+5924000+49000+37000</f>
        <v>67279000</v>
      </c>
      <c r="E12" s="569">
        <f>5611000+2200000+1500000+68000+39000+2603500</f>
        <v>12021500</v>
      </c>
      <c r="F12" s="570">
        <f t="shared" si="0"/>
        <v>79300500</v>
      </c>
      <c r="G12" s="571"/>
      <c r="H12" s="569"/>
      <c r="I12" s="570">
        <f aca="true" t="shared" si="2" ref="I12:I43">SUM(G12:H12)</f>
        <v>0</v>
      </c>
      <c r="J12" s="572"/>
      <c r="K12" s="573"/>
      <c r="L12" s="570">
        <f t="shared" si="1"/>
        <v>0</v>
      </c>
      <c r="M12" s="574">
        <f aca="true" t="shared" si="3" ref="M12:M21">SUM(F12+I12+L12)</f>
        <v>79300500</v>
      </c>
    </row>
    <row r="13" spans="1:13" ht="29.25" customHeight="1">
      <c r="A13" s="575" t="s">
        <v>580</v>
      </c>
      <c r="B13" s="576" t="s">
        <v>144</v>
      </c>
      <c r="C13" s="577" t="s">
        <v>692</v>
      </c>
      <c r="D13" s="568">
        <f>38236000+27100+282000+7317+76000</f>
        <v>38628417</v>
      </c>
      <c r="E13" s="569">
        <f>3363000-3000000-333000</f>
        <v>30000</v>
      </c>
      <c r="F13" s="570">
        <f t="shared" si="0"/>
        <v>38658417</v>
      </c>
      <c r="G13" s="571"/>
      <c r="H13" s="569"/>
      <c r="I13" s="570">
        <f t="shared" si="2"/>
        <v>0</v>
      </c>
      <c r="J13" s="572"/>
      <c r="K13" s="573"/>
      <c r="L13" s="570">
        <f t="shared" si="1"/>
        <v>0</v>
      </c>
      <c r="M13" s="574">
        <f t="shared" si="3"/>
        <v>38658417</v>
      </c>
    </row>
    <row r="14" spans="1:13" ht="29.25" customHeight="1">
      <c r="A14" s="575" t="s">
        <v>581</v>
      </c>
      <c r="B14" s="576" t="s">
        <v>556</v>
      </c>
      <c r="C14" s="578"/>
      <c r="D14" s="568"/>
      <c r="E14" s="569"/>
      <c r="F14" s="570">
        <f t="shared" si="0"/>
        <v>0</v>
      </c>
      <c r="G14" s="571">
        <f>7443000-350000+64000+1500000+1000000</f>
        <v>9657000</v>
      </c>
      <c r="H14" s="569"/>
      <c r="I14" s="570">
        <f t="shared" si="2"/>
        <v>9657000</v>
      </c>
      <c r="J14" s="572"/>
      <c r="K14" s="573"/>
      <c r="L14" s="570">
        <f t="shared" si="1"/>
        <v>0</v>
      </c>
      <c r="M14" s="574">
        <f t="shared" si="3"/>
        <v>9657000</v>
      </c>
    </row>
    <row r="15" spans="1:13" ht="29.25" customHeight="1">
      <c r="A15" s="575" t="s">
        <v>582</v>
      </c>
      <c r="B15" s="576" t="s">
        <v>979</v>
      </c>
      <c r="C15" s="577" t="s">
        <v>997</v>
      </c>
      <c r="D15" s="568">
        <f>25143529+467520</f>
        <v>25611049</v>
      </c>
      <c r="E15" s="569"/>
      <c r="F15" s="570">
        <f t="shared" si="0"/>
        <v>25611049</v>
      </c>
      <c r="G15" s="571"/>
      <c r="H15" s="569"/>
      <c r="I15" s="570">
        <f t="shared" si="2"/>
        <v>0</v>
      </c>
      <c r="J15" s="572"/>
      <c r="K15" s="573"/>
      <c r="L15" s="570">
        <f t="shared" si="1"/>
        <v>0</v>
      </c>
      <c r="M15" s="574">
        <f t="shared" si="3"/>
        <v>25611049</v>
      </c>
    </row>
    <row r="16" spans="1:13" ht="29.25" customHeight="1">
      <c r="A16" s="575" t="s">
        <v>583</v>
      </c>
      <c r="B16" s="576" t="s">
        <v>976</v>
      </c>
      <c r="C16" s="577" t="s">
        <v>997</v>
      </c>
      <c r="D16" s="568">
        <f>17635925+46443+200261</f>
        <v>17882629</v>
      </c>
      <c r="E16" s="569"/>
      <c r="F16" s="570">
        <f t="shared" si="0"/>
        <v>17882629</v>
      </c>
      <c r="G16" s="571"/>
      <c r="H16" s="569"/>
      <c r="I16" s="570">
        <f t="shared" si="2"/>
        <v>0</v>
      </c>
      <c r="J16" s="572"/>
      <c r="K16" s="573"/>
      <c r="L16" s="570">
        <f t="shared" si="1"/>
        <v>0</v>
      </c>
      <c r="M16" s="574">
        <f t="shared" si="3"/>
        <v>17882629</v>
      </c>
    </row>
    <row r="17" spans="1:13" ht="29.25" customHeight="1">
      <c r="A17" s="575" t="s">
        <v>584</v>
      </c>
      <c r="B17" s="576" t="s">
        <v>153</v>
      </c>
      <c r="C17" s="577" t="s">
        <v>190</v>
      </c>
      <c r="D17" s="568"/>
      <c r="E17" s="569"/>
      <c r="F17" s="570">
        <f t="shared" si="0"/>
        <v>0</v>
      </c>
      <c r="G17" s="571"/>
      <c r="H17" s="569"/>
      <c r="I17" s="570">
        <f t="shared" si="2"/>
        <v>0</v>
      </c>
      <c r="J17" s="572">
        <f>42700000-417000-113000-127000+29000+17900+72000+4833+19000-114000-42000-14000</f>
        <v>42015733</v>
      </c>
      <c r="K17" s="573">
        <f>1006000+114000+42000+14000</f>
        <v>1176000</v>
      </c>
      <c r="L17" s="570">
        <f t="shared" si="1"/>
        <v>43191733</v>
      </c>
      <c r="M17" s="574">
        <f t="shared" si="3"/>
        <v>43191733</v>
      </c>
    </row>
    <row r="18" spans="1:13" ht="29.25" customHeight="1">
      <c r="A18" s="575" t="s">
        <v>585</v>
      </c>
      <c r="B18" s="576" t="s">
        <v>1112</v>
      </c>
      <c r="C18" s="577" t="s">
        <v>691</v>
      </c>
      <c r="D18" s="568"/>
      <c r="E18" s="569">
        <v>0</v>
      </c>
      <c r="F18" s="570">
        <f t="shared" si="0"/>
        <v>0</v>
      </c>
      <c r="G18" s="571"/>
      <c r="H18" s="569">
        <v>15000000</v>
      </c>
      <c r="I18" s="570">
        <f t="shared" si="2"/>
        <v>15000000</v>
      </c>
      <c r="J18" s="572"/>
      <c r="K18" s="573"/>
      <c r="L18" s="570">
        <f t="shared" si="1"/>
        <v>0</v>
      </c>
      <c r="M18" s="574">
        <f t="shared" si="3"/>
        <v>15000000</v>
      </c>
    </row>
    <row r="19" spans="1:13" ht="29.25" customHeight="1">
      <c r="A19" s="575" t="s">
        <v>586</v>
      </c>
      <c r="B19" s="576" t="s">
        <v>532</v>
      </c>
      <c r="C19" s="577" t="s">
        <v>691</v>
      </c>
      <c r="D19" s="568">
        <f>10040000</f>
        <v>10040000</v>
      </c>
      <c r="E19" s="569">
        <f>2082727+562336-2645063</f>
        <v>0</v>
      </c>
      <c r="F19" s="570">
        <f t="shared" si="0"/>
        <v>10040000</v>
      </c>
      <c r="G19" s="571"/>
      <c r="H19" s="569"/>
      <c r="I19" s="570">
        <f t="shared" si="2"/>
        <v>0</v>
      </c>
      <c r="J19" s="572"/>
      <c r="K19" s="573"/>
      <c r="L19" s="570">
        <f t="shared" si="1"/>
        <v>0</v>
      </c>
      <c r="M19" s="574">
        <f t="shared" si="3"/>
        <v>10040000</v>
      </c>
    </row>
    <row r="20" spans="1:13" ht="29.25" customHeight="1">
      <c r="A20" s="575" t="s">
        <v>587</v>
      </c>
      <c r="B20" s="576" t="s">
        <v>155</v>
      </c>
      <c r="C20" s="577" t="s">
        <v>694</v>
      </c>
      <c r="D20" s="568">
        <f>1000000-1000000</f>
        <v>0</v>
      </c>
      <c r="E20" s="569">
        <f>1000000-1000000</f>
        <v>0</v>
      </c>
      <c r="F20" s="570">
        <f t="shared" si="0"/>
        <v>0</v>
      </c>
      <c r="G20" s="571"/>
      <c r="H20" s="569"/>
      <c r="I20" s="570">
        <f t="shared" si="2"/>
        <v>0</v>
      </c>
      <c r="J20" s="572"/>
      <c r="K20" s="573"/>
      <c r="L20" s="570">
        <f t="shared" si="1"/>
        <v>0</v>
      </c>
      <c r="M20" s="574">
        <f t="shared" si="3"/>
        <v>0</v>
      </c>
    </row>
    <row r="21" spans="1:13" ht="29.25" customHeight="1">
      <c r="A21" s="579" t="s">
        <v>588</v>
      </c>
      <c r="B21" s="576" t="s">
        <v>1114</v>
      </c>
      <c r="C21" s="577" t="s">
        <v>691</v>
      </c>
      <c r="D21" s="568">
        <v>2720131</v>
      </c>
      <c r="E21" s="569"/>
      <c r="F21" s="570">
        <f t="shared" si="0"/>
        <v>2720131</v>
      </c>
      <c r="G21" s="571"/>
      <c r="H21" s="569"/>
      <c r="I21" s="570">
        <f t="shared" si="2"/>
        <v>0</v>
      </c>
      <c r="J21" s="572"/>
      <c r="K21" s="573"/>
      <c r="L21" s="570">
        <f t="shared" si="1"/>
        <v>0</v>
      </c>
      <c r="M21" s="574">
        <f t="shared" si="3"/>
        <v>2720131</v>
      </c>
    </row>
    <row r="22" spans="1:13" ht="39.75" customHeight="1">
      <c r="A22" s="579" t="s">
        <v>589</v>
      </c>
      <c r="B22" s="576" t="s">
        <v>136</v>
      </c>
      <c r="C22" s="577" t="s">
        <v>690</v>
      </c>
      <c r="D22" s="580">
        <f>2260000+125781</f>
        <v>2385781</v>
      </c>
      <c r="E22" s="581"/>
      <c r="F22" s="570">
        <f t="shared" si="0"/>
        <v>2385781</v>
      </c>
      <c r="G22" s="582"/>
      <c r="H22" s="581"/>
      <c r="I22" s="570">
        <f t="shared" si="2"/>
        <v>0</v>
      </c>
      <c r="J22" s="583"/>
      <c r="K22" s="584"/>
      <c r="L22" s="570">
        <f t="shared" si="1"/>
        <v>0</v>
      </c>
      <c r="M22" s="574">
        <f>SUM(F22+I22+L22)</f>
        <v>2385781</v>
      </c>
    </row>
    <row r="23" spans="1:13" ht="31.5" customHeight="1">
      <c r="A23" s="579" t="s">
        <v>590</v>
      </c>
      <c r="B23" s="576" t="s">
        <v>553</v>
      </c>
      <c r="C23" s="577" t="s">
        <v>940</v>
      </c>
      <c r="D23" s="580">
        <v>11708000</v>
      </c>
      <c r="E23" s="581"/>
      <c r="F23" s="570">
        <f t="shared" si="0"/>
        <v>11708000</v>
      </c>
      <c r="G23" s="582"/>
      <c r="H23" s="581"/>
      <c r="I23" s="570">
        <f t="shared" si="2"/>
        <v>0</v>
      </c>
      <c r="J23" s="583"/>
      <c r="K23" s="584"/>
      <c r="L23" s="570">
        <f t="shared" si="1"/>
        <v>0</v>
      </c>
      <c r="M23" s="574">
        <f aca="true" t="shared" si="4" ref="M23:M55">SUM(F23+I23+L23)</f>
        <v>11708000</v>
      </c>
    </row>
    <row r="24" spans="1:13" ht="31.5" customHeight="1">
      <c r="A24" s="579" t="s">
        <v>591</v>
      </c>
      <c r="B24" s="576" t="s">
        <v>1115</v>
      </c>
      <c r="C24" s="577" t="s">
        <v>1116</v>
      </c>
      <c r="D24" s="580">
        <v>15000</v>
      </c>
      <c r="E24" s="581"/>
      <c r="F24" s="570">
        <f t="shared" si="0"/>
        <v>15000</v>
      </c>
      <c r="G24" s="582"/>
      <c r="H24" s="581"/>
      <c r="I24" s="570">
        <f t="shared" si="2"/>
        <v>0</v>
      </c>
      <c r="J24" s="583"/>
      <c r="K24" s="584"/>
      <c r="L24" s="570"/>
      <c r="M24" s="574">
        <f t="shared" si="4"/>
        <v>15000</v>
      </c>
    </row>
    <row r="25" spans="1:13" ht="31.5" customHeight="1">
      <c r="A25" s="579" t="s">
        <v>592</v>
      </c>
      <c r="B25" s="576" t="s">
        <v>972</v>
      </c>
      <c r="C25" s="577" t="s">
        <v>996</v>
      </c>
      <c r="D25" s="580">
        <v>73000</v>
      </c>
      <c r="E25" s="581"/>
      <c r="F25" s="570">
        <f t="shared" si="0"/>
        <v>73000</v>
      </c>
      <c r="G25" s="582"/>
      <c r="H25" s="581"/>
      <c r="I25" s="570">
        <f t="shared" si="2"/>
        <v>0</v>
      </c>
      <c r="J25" s="583"/>
      <c r="K25" s="584"/>
      <c r="L25" s="570">
        <f t="shared" si="1"/>
        <v>0</v>
      </c>
      <c r="M25" s="574">
        <f t="shared" si="4"/>
        <v>73000</v>
      </c>
    </row>
    <row r="26" spans="1:13" ht="29.25" customHeight="1">
      <c r="A26" s="579" t="s">
        <v>593</v>
      </c>
      <c r="B26" s="576" t="s">
        <v>557</v>
      </c>
      <c r="C26" s="577" t="s">
        <v>691</v>
      </c>
      <c r="D26" s="580">
        <v>24384000</v>
      </c>
      <c r="E26" s="581"/>
      <c r="F26" s="570">
        <f t="shared" si="0"/>
        <v>24384000</v>
      </c>
      <c r="G26" s="582"/>
      <c r="H26" s="581"/>
      <c r="I26" s="570">
        <f t="shared" si="2"/>
        <v>0</v>
      </c>
      <c r="J26" s="583"/>
      <c r="K26" s="584"/>
      <c r="L26" s="570">
        <f t="shared" si="1"/>
        <v>0</v>
      </c>
      <c r="M26" s="574">
        <f t="shared" si="4"/>
        <v>24384000</v>
      </c>
    </row>
    <row r="27" spans="1:13" ht="29.25" customHeight="1">
      <c r="A27" s="579" t="s">
        <v>594</v>
      </c>
      <c r="B27" s="576" t="s">
        <v>555</v>
      </c>
      <c r="C27" s="577" t="s">
        <v>691</v>
      </c>
      <c r="D27" s="580">
        <f>31365000-2380000</f>
        <v>28985000</v>
      </c>
      <c r="E27" s="581"/>
      <c r="F27" s="570">
        <f t="shared" si="0"/>
        <v>28985000</v>
      </c>
      <c r="G27" s="582"/>
      <c r="H27" s="581"/>
      <c r="I27" s="570">
        <f t="shared" si="2"/>
        <v>0</v>
      </c>
      <c r="J27" s="583"/>
      <c r="K27" s="584"/>
      <c r="L27" s="570">
        <f t="shared" si="1"/>
        <v>0</v>
      </c>
      <c r="M27" s="574">
        <f t="shared" si="4"/>
        <v>28985000</v>
      </c>
    </row>
    <row r="28" spans="1:13" ht="29.25" customHeight="1">
      <c r="A28" s="579" t="s">
        <v>595</v>
      </c>
      <c r="B28" s="576" t="s">
        <v>181</v>
      </c>
      <c r="C28" s="577" t="s">
        <v>188</v>
      </c>
      <c r="D28" s="580">
        <f>20326000-10000+359000+215000-68000-19000-153000</f>
        <v>20650000</v>
      </c>
      <c r="E28" s="581">
        <v>153000</v>
      </c>
      <c r="F28" s="570">
        <f t="shared" si="0"/>
        <v>20803000</v>
      </c>
      <c r="G28" s="585">
        <f>2638000+2000+279000</f>
        <v>2919000</v>
      </c>
      <c r="H28" s="586">
        <v>5768314</v>
      </c>
      <c r="I28" s="587">
        <f t="shared" si="2"/>
        <v>8687314</v>
      </c>
      <c r="J28" s="583"/>
      <c r="K28" s="584"/>
      <c r="L28" s="570">
        <f t="shared" si="1"/>
        <v>0</v>
      </c>
      <c r="M28" s="574">
        <f t="shared" si="4"/>
        <v>29490314</v>
      </c>
    </row>
    <row r="29" spans="1:13" ht="29.25" customHeight="1">
      <c r="A29" s="579" t="s">
        <v>596</v>
      </c>
      <c r="B29" s="588" t="s">
        <v>559</v>
      </c>
      <c r="C29" s="577" t="s">
        <v>936</v>
      </c>
      <c r="D29" s="580">
        <v>360000</v>
      </c>
      <c r="E29" s="581"/>
      <c r="F29" s="570">
        <f t="shared" si="0"/>
        <v>360000</v>
      </c>
      <c r="G29" s="582"/>
      <c r="H29" s="581"/>
      <c r="I29" s="570">
        <f t="shared" si="2"/>
        <v>0</v>
      </c>
      <c r="J29" s="583"/>
      <c r="K29" s="584"/>
      <c r="L29" s="570">
        <f t="shared" si="1"/>
        <v>0</v>
      </c>
      <c r="M29" s="574">
        <f t="shared" si="4"/>
        <v>360000</v>
      </c>
    </row>
    <row r="30" spans="1:13" ht="29.25" customHeight="1">
      <c r="A30" s="579" t="s">
        <v>597</v>
      </c>
      <c r="B30" s="576" t="s">
        <v>560</v>
      </c>
      <c r="C30" s="577" t="s">
        <v>936</v>
      </c>
      <c r="D30" s="580">
        <f>33290000+963000+60400+511000+138000+16308+1052000+284000-37000-79000</f>
        <v>36198708</v>
      </c>
      <c r="E30" s="581">
        <f>25000+37000+79000</f>
        <v>141000</v>
      </c>
      <c r="F30" s="570">
        <f t="shared" si="0"/>
        <v>36339708</v>
      </c>
      <c r="G30" s="582"/>
      <c r="H30" s="581"/>
      <c r="I30" s="570">
        <f t="shared" si="2"/>
        <v>0</v>
      </c>
      <c r="J30" s="583"/>
      <c r="K30" s="584"/>
      <c r="L30" s="570">
        <f t="shared" si="1"/>
        <v>0</v>
      </c>
      <c r="M30" s="574">
        <f t="shared" si="4"/>
        <v>36339708</v>
      </c>
    </row>
    <row r="31" spans="1:13" ht="29.25" customHeight="1">
      <c r="A31" s="579" t="s">
        <v>598</v>
      </c>
      <c r="B31" s="576" t="s">
        <v>561</v>
      </c>
      <c r="C31" s="577" t="s">
        <v>936</v>
      </c>
      <c r="D31" s="580">
        <v>120000</v>
      </c>
      <c r="E31" s="581"/>
      <c r="F31" s="570">
        <f t="shared" si="0"/>
        <v>120000</v>
      </c>
      <c r="G31" s="582"/>
      <c r="H31" s="581"/>
      <c r="I31" s="570">
        <f t="shared" si="2"/>
        <v>0</v>
      </c>
      <c r="J31" s="583"/>
      <c r="K31" s="584"/>
      <c r="L31" s="570">
        <f t="shared" si="1"/>
        <v>0</v>
      </c>
      <c r="M31" s="574">
        <f t="shared" si="4"/>
        <v>120000</v>
      </c>
    </row>
    <row r="32" spans="1:13" ht="29.25" customHeight="1">
      <c r="A32" s="579" t="s">
        <v>695</v>
      </c>
      <c r="B32" s="576" t="s">
        <v>628</v>
      </c>
      <c r="C32" s="577" t="s">
        <v>936</v>
      </c>
      <c r="D32" s="580">
        <f>16980000+17000+38500+216000+10395+58000+936850+252950+350937+94749</f>
        <v>18955381</v>
      </c>
      <c r="E32" s="581">
        <f>1490000+4299000</f>
        <v>5789000</v>
      </c>
      <c r="F32" s="570">
        <f t="shared" si="0"/>
        <v>24744381</v>
      </c>
      <c r="G32" s="582"/>
      <c r="H32" s="581"/>
      <c r="I32" s="570">
        <f t="shared" si="2"/>
        <v>0</v>
      </c>
      <c r="J32" s="583"/>
      <c r="K32" s="584"/>
      <c r="L32" s="570">
        <f t="shared" si="1"/>
        <v>0</v>
      </c>
      <c r="M32" s="574">
        <f t="shared" si="4"/>
        <v>24744381</v>
      </c>
    </row>
    <row r="33" spans="1:13" ht="29.25" customHeight="1">
      <c r="A33" s="579" t="s">
        <v>696</v>
      </c>
      <c r="B33" s="588" t="s">
        <v>180</v>
      </c>
      <c r="C33" s="570" t="s">
        <v>711</v>
      </c>
      <c r="D33" s="580">
        <f>29886000-5400000+19000</f>
        <v>24505000</v>
      </c>
      <c r="E33" s="581"/>
      <c r="F33" s="570">
        <f t="shared" si="0"/>
        <v>24505000</v>
      </c>
      <c r="G33" s="585"/>
      <c r="H33" s="581">
        <f>11201000-8201000</f>
        <v>3000000</v>
      </c>
      <c r="I33" s="587">
        <f t="shared" si="2"/>
        <v>3000000</v>
      </c>
      <c r="J33" s="583"/>
      <c r="K33" s="584"/>
      <c r="L33" s="570">
        <f t="shared" si="1"/>
        <v>0</v>
      </c>
      <c r="M33" s="574">
        <f t="shared" si="4"/>
        <v>27505000</v>
      </c>
    </row>
    <row r="34" spans="1:13" ht="29.25" customHeight="1">
      <c r="A34" s="579" t="s">
        <v>697</v>
      </c>
      <c r="B34" s="576" t="s">
        <v>554</v>
      </c>
      <c r="C34" s="589"/>
      <c r="D34" s="580"/>
      <c r="E34" s="581"/>
      <c r="F34" s="570">
        <f t="shared" si="0"/>
        <v>0</v>
      </c>
      <c r="G34" s="582">
        <v>250000</v>
      </c>
      <c r="H34" s="581"/>
      <c r="I34" s="570">
        <f t="shared" si="2"/>
        <v>250000</v>
      </c>
      <c r="J34" s="583"/>
      <c r="K34" s="584"/>
      <c r="L34" s="570">
        <f t="shared" si="1"/>
        <v>0</v>
      </c>
      <c r="M34" s="574">
        <f t="shared" si="4"/>
        <v>250000</v>
      </c>
    </row>
    <row r="35" spans="1:13" ht="36.75" customHeight="1">
      <c r="A35" s="579" t="s">
        <v>657</v>
      </c>
      <c r="B35" s="588" t="s">
        <v>933</v>
      </c>
      <c r="C35" s="570"/>
      <c r="D35" s="580"/>
      <c r="E35" s="581"/>
      <c r="F35" s="570">
        <f t="shared" si="0"/>
        <v>0</v>
      </c>
      <c r="G35" s="590">
        <f>1186000+9000+5000-14000+33000+17000-50000</f>
        <v>1186000</v>
      </c>
      <c r="H35" s="581">
        <f>394000+1588000</f>
        <v>1982000</v>
      </c>
      <c r="I35" s="570">
        <f t="shared" si="2"/>
        <v>3168000</v>
      </c>
      <c r="J35" s="583"/>
      <c r="K35" s="584"/>
      <c r="L35" s="570">
        <f t="shared" si="1"/>
        <v>0</v>
      </c>
      <c r="M35" s="574">
        <f t="shared" si="4"/>
        <v>3168000</v>
      </c>
    </row>
    <row r="36" spans="1:13" ht="29.25" customHeight="1">
      <c r="A36" s="579" t="s">
        <v>698</v>
      </c>
      <c r="B36" s="588" t="s">
        <v>789</v>
      </c>
      <c r="C36" s="577" t="s">
        <v>709</v>
      </c>
      <c r="D36" s="580">
        <v>1100000</v>
      </c>
      <c r="E36" s="581"/>
      <c r="F36" s="570">
        <f t="shared" si="0"/>
        <v>1100000</v>
      </c>
      <c r="G36" s="582"/>
      <c r="H36" s="581"/>
      <c r="I36" s="570">
        <f t="shared" si="2"/>
        <v>0</v>
      </c>
      <c r="J36" s="583"/>
      <c r="K36" s="584"/>
      <c r="L36" s="570">
        <f t="shared" si="1"/>
        <v>0</v>
      </c>
      <c r="M36" s="574">
        <f t="shared" si="4"/>
        <v>1100000</v>
      </c>
    </row>
    <row r="37" spans="1:13" ht="29.25" customHeight="1">
      <c r="A37" s="579" t="s">
        <v>599</v>
      </c>
      <c r="B37" s="576" t="s">
        <v>562</v>
      </c>
      <c r="C37" s="577" t="s">
        <v>709</v>
      </c>
      <c r="D37" s="580">
        <f>2359000+1563000-500000</f>
        <v>3422000</v>
      </c>
      <c r="E37" s="581"/>
      <c r="F37" s="570">
        <f t="shared" si="0"/>
        <v>3422000</v>
      </c>
      <c r="G37" s="582"/>
      <c r="H37" s="581"/>
      <c r="I37" s="570">
        <f t="shared" si="2"/>
        <v>0</v>
      </c>
      <c r="J37" s="583"/>
      <c r="K37" s="584"/>
      <c r="L37" s="570">
        <f t="shared" si="1"/>
        <v>0</v>
      </c>
      <c r="M37" s="574">
        <f t="shared" si="4"/>
        <v>3422000</v>
      </c>
    </row>
    <row r="38" spans="1:13" ht="29.25" customHeight="1">
      <c r="A38" s="579" t="s">
        <v>600</v>
      </c>
      <c r="B38" s="576" t="s">
        <v>184</v>
      </c>
      <c r="C38" s="591" t="s">
        <v>192</v>
      </c>
      <c r="D38" s="580"/>
      <c r="E38" s="581"/>
      <c r="F38" s="570">
        <f t="shared" si="0"/>
        <v>0</v>
      </c>
      <c r="G38" s="590">
        <v>50000</v>
      </c>
      <c r="H38" s="581"/>
      <c r="I38" s="570">
        <f t="shared" si="2"/>
        <v>50000</v>
      </c>
      <c r="J38" s="583"/>
      <c r="K38" s="584"/>
      <c r="L38" s="570">
        <f t="shared" si="1"/>
        <v>0</v>
      </c>
      <c r="M38" s="574">
        <f t="shared" si="4"/>
        <v>50000</v>
      </c>
    </row>
    <row r="39" spans="1:13" ht="33.75">
      <c r="A39" s="579" t="s">
        <v>601</v>
      </c>
      <c r="B39" s="576" t="s">
        <v>178</v>
      </c>
      <c r="C39" s="577" t="s">
        <v>710</v>
      </c>
      <c r="D39" s="592">
        <f>8502000-405000-500000-100000+2709200</f>
        <v>10206200</v>
      </c>
      <c r="E39" s="593">
        <f>920000+214000+830416</f>
        <v>1964416</v>
      </c>
      <c r="F39" s="570">
        <f t="shared" si="0"/>
        <v>12170616</v>
      </c>
      <c r="G39" s="594"/>
      <c r="H39" s="593"/>
      <c r="I39" s="570">
        <f t="shared" si="2"/>
        <v>0</v>
      </c>
      <c r="J39" s="583"/>
      <c r="K39" s="584"/>
      <c r="L39" s="570">
        <f t="shared" si="1"/>
        <v>0</v>
      </c>
      <c r="M39" s="574">
        <f t="shared" si="4"/>
        <v>12170616</v>
      </c>
    </row>
    <row r="40" spans="1:13" ht="24">
      <c r="A40" s="579" t="s">
        <v>700</v>
      </c>
      <c r="B40" s="576" t="s">
        <v>1105</v>
      </c>
      <c r="C40" s="591" t="s">
        <v>715</v>
      </c>
      <c r="E40" s="581">
        <f>439150+118571+48710+13152+1175381+10596689</f>
        <v>12391653</v>
      </c>
      <c r="F40" s="570">
        <f>SUM(E40:E40)</f>
        <v>12391653</v>
      </c>
      <c r="G40" s="594"/>
      <c r="H40" s="593"/>
      <c r="I40" s="570"/>
      <c r="J40" s="583"/>
      <c r="K40" s="584"/>
      <c r="L40" s="570"/>
      <c r="M40" s="574">
        <f t="shared" si="4"/>
        <v>12391653</v>
      </c>
    </row>
    <row r="41" spans="1:13" ht="24">
      <c r="A41" s="579" t="s">
        <v>602</v>
      </c>
      <c r="B41" s="576" t="s">
        <v>921</v>
      </c>
      <c r="C41" s="595"/>
      <c r="D41" s="592"/>
      <c r="E41" s="593"/>
      <c r="F41" s="570"/>
      <c r="G41" s="594">
        <f>5082000-2870000-1200000</f>
        <v>1012000</v>
      </c>
      <c r="H41" s="593"/>
      <c r="I41" s="570">
        <f t="shared" si="2"/>
        <v>1012000</v>
      </c>
      <c r="J41" s="583"/>
      <c r="K41" s="584"/>
      <c r="L41" s="570"/>
      <c r="M41" s="574">
        <f t="shared" si="4"/>
        <v>1012000</v>
      </c>
    </row>
    <row r="42" spans="1:13" ht="24">
      <c r="A42" s="579" t="s">
        <v>627</v>
      </c>
      <c r="B42" s="576" t="s">
        <v>923</v>
      </c>
      <c r="C42" s="577" t="s">
        <v>942</v>
      </c>
      <c r="D42" s="592">
        <f>81000+10000+5000</f>
        <v>96000</v>
      </c>
      <c r="E42" s="593">
        <f>172000-15000</f>
        <v>157000</v>
      </c>
      <c r="F42" s="570">
        <f t="shared" si="0"/>
        <v>253000</v>
      </c>
      <c r="G42" s="594"/>
      <c r="H42" s="593"/>
      <c r="I42" s="570">
        <f t="shared" si="2"/>
        <v>0</v>
      </c>
      <c r="J42" s="583"/>
      <c r="K42" s="584"/>
      <c r="L42" s="570">
        <f t="shared" si="1"/>
        <v>0</v>
      </c>
      <c r="M42" s="574">
        <f t="shared" si="4"/>
        <v>253000</v>
      </c>
    </row>
    <row r="43" spans="1:13" ht="24">
      <c r="A43" s="579" t="s">
        <v>704</v>
      </c>
      <c r="B43" s="576" t="s">
        <v>182</v>
      </c>
      <c r="C43" s="591"/>
      <c r="D43" s="592"/>
      <c r="E43" s="593"/>
      <c r="F43" s="570">
        <f t="shared" si="0"/>
        <v>0</v>
      </c>
      <c r="G43" s="594">
        <f>43013000-9441000-1500000+1177000</f>
        <v>33249000</v>
      </c>
      <c r="H43" s="593"/>
      <c r="I43" s="570">
        <f t="shared" si="2"/>
        <v>33249000</v>
      </c>
      <c r="J43" s="583"/>
      <c r="K43" s="584"/>
      <c r="L43" s="570">
        <f t="shared" si="1"/>
        <v>0</v>
      </c>
      <c r="M43" s="574">
        <f t="shared" si="4"/>
        <v>33249000</v>
      </c>
    </row>
    <row r="44" spans="1:13" ht="27" customHeight="1">
      <c r="A44" s="579" t="s">
        <v>705</v>
      </c>
      <c r="B44" s="576" t="s">
        <v>165</v>
      </c>
      <c r="C44" s="589" t="s">
        <v>701</v>
      </c>
      <c r="D44" s="596">
        <f>5580000+3820000</f>
        <v>9400000</v>
      </c>
      <c r="E44" s="597"/>
      <c r="F44" s="570">
        <f aca="true" t="shared" si="5" ref="F44:F55">SUM(D44:E44)</f>
        <v>9400000</v>
      </c>
      <c r="G44" s="598"/>
      <c r="H44" s="597">
        <v>0</v>
      </c>
      <c r="I44" s="570">
        <f aca="true" t="shared" si="6" ref="I44:I55">SUM(G44:H44)</f>
        <v>0</v>
      </c>
      <c r="J44" s="583"/>
      <c r="K44" s="584"/>
      <c r="L44" s="570">
        <f aca="true" t="shared" si="7" ref="L44:L55">SUM(J44:K44)</f>
        <v>0</v>
      </c>
      <c r="M44" s="574">
        <f t="shared" si="4"/>
        <v>9400000</v>
      </c>
    </row>
    <row r="45" spans="1:13" ht="31.5" customHeight="1">
      <c r="A45" s="579" t="s">
        <v>706</v>
      </c>
      <c r="B45" s="599" t="s">
        <v>651</v>
      </c>
      <c r="C45" s="577" t="s">
        <v>699</v>
      </c>
      <c r="D45" s="580">
        <v>217000</v>
      </c>
      <c r="E45" s="581"/>
      <c r="F45" s="570">
        <f t="shared" si="5"/>
        <v>217000</v>
      </c>
      <c r="G45" s="582"/>
      <c r="H45" s="581"/>
      <c r="I45" s="570">
        <f t="shared" si="6"/>
        <v>0</v>
      </c>
      <c r="J45" s="583"/>
      <c r="K45" s="584"/>
      <c r="L45" s="570">
        <f t="shared" si="7"/>
        <v>0</v>
      </c>
      <c r="M45" s="574">
        <f t="shared" si="4"/>
        <v>217000</v>
      </c>
    </row>
    <row r="46" spans="1:13" ht="31.5" customHeight="1">
      <c r="A46" s="579" t="s">
        <v>707</v>
      </c>
      <c r="B46" s="599" t="s">
        <v>981</v>
      </c>
      <c r="C46" s="577"/>
      <c r="D46" s="580"/>
      <c r="E46" s="581"/>
      <c r="F46" s="570">
        <f t="shared" si="5"/>
        <v>0</v>
      </c>
      <c r="G46" s="582">
        <f>4235000+1079000+1786000</f>
        <v>7100000</v>
      </c>
      <c r="H46" s="581"/>
      <c r="I46" s="570">
        <f t="shared" si="6"/>
        <v>7100000</v>
      </c>
      <c r="J46" s="583"/>
      <c r="K46" s="584"/>
      <c r="L46" s="570">
        <f t="shared" si="7"/>
        <v>0</v>
      </c>
      <c r="M46" s="574">
        <f t="shared" si="4"/>
        <v>7100000</v>
      </c>
    </row>
    <row r="47" spans="1:13" ht="33.75" customHeight="1">
      <c r="A47" s="579" t="s">
        <v>708</v>
      </c>
      <c r="B47" s="599" t="s">
        <v>183</v>
      </c>
      <c r="C47" s="591" t="s">
        <v>191</v>
      </c>
      <c r="D47" s="580"/>
      <c r="E47" s="581"/>
      <c r="F47" s="570">
        <f t="shared" si="5"/>
        <v>0</v>
      </c>
      <c r="G47" s="582">
        <f>1711000+1272000</f>
        <v>2983000</v>
      </c>
      <c r="H47" s="581"/>
      <c r="I47" s="570">
        <f t="shared" si="6"/>
        <v>2983000</v>
      </c>
      <c r="J47" s="583"/>
      <c r="K47" s="584"/>
      <c r="L47" s="570">
        <f t="shared" si="7"/>
        <v>0</v>
      </c>
      <c r="M47" s="574">
        <f t="shared" si="4"/>
        <v>2983000</v>
      </c>
    </row>
    <row r="48" spans="1:13" ht="21.75" customHeight="1">
      <c r="A48" s="579" t="s">
        <v>998</v>
      </c>
      <c r="B48" s="599" t="s">
        <v>169</v>
      </c>
      <c r="C48" s="591" t="s">
        <v>191</v>
      </c>
      <c r="D48" s="580"/>
      <c r="E48" s="581"/>
      <c r="F48" s="570">
        <f t="shared" si="5"/>
        <v>0</v>
      </c>
      <c r="G48" s="582">
        <f>4155000+1666000</f>
        <v>5821000</v>
      </c>
      <c r="H48" s="581"/>
      <c r="I48" s="570">
        <f t="shared" si="6"/>
        <v>5821000</v>
      </c>
      <c r="J48" s="583"/>
      <c r="K48" s="584"/>
      <c r="L48" s="570">
        <f t="shared" si="7"/>
        <v>0</v>
      </c>
      <c r="M48" s="574">
        <f t="shared" si="4"/>
        <v>5821000</v>
      </c>
    </row>
    <row r="49" spans="1:13" ht="28.5" customHeight="1">
      <c r="A49" s="579" t="s">
        <v>999</v>
      </c>
      <c r="B49" s="576" t="s">
        <v>652</v>
      </c>
      <c r="C49" s="589" t="s">
        <v>702</v>
      </c>
      <c r="D49" s="580">
        <f>5376000+1552000-150000+210000</f>
        <v>6988000</v>
      </c>
      <c r="E49" s="581"/>
      <c r="F49" s="570">
        <f t="shared" si="5"/>
        <v>6988000</v>
      </c>
      <c r="G49" s="582"/>
      <c r="H49" s="581"/>
      <c r="I49" s="570">
        <f t="shared" si="6"/>
        <v>0</v>
      </c>
      <c r="J49" s="583"/>
      <c r="K49" s="584"/>
      <c r="L49" s="570">
        <f t="shared" si="7"/>
        <v>0</v>
      </c>
      <c r="M49" s="574">
        <f t="shared" si="4"/>
        <v>6988000</v>
      </c>
    </row>
    <row r="50" spans="1:13" ht="20.25" customHeight="1">
      <c r="A50" s="579" t="s">
        <v>1000</v>
      </c>
      <c r="B50" s="576" t="s">
        <v>653</v>
      </c>
      <c r="C50" s="589" t="s">
        <v>703</v>
      </c>
      <c r="D50" s="580">
        <f>2839000-4000</f>
        <v>2835000</v>
      </c>
      <c r="E50" s="581"/>
      <c r="F50" s="570">
        <f t="shared" si="5"/>
        <v>2835000</v>
      </c>
      <c r="G50" s="582"/>
      <c r="H50" s="581"/>
      <c r="I50" s="570">
        <f t="shared" si="6"/>
        <v>0</v>
      </c>
      <c r="J50" s="583"/>
      <c r="K50" s="584"/>
      <c r="L50" s="570">
        <f t="shared" si="7"/>
        <v>0</v>
      </c>
      <c r="M50" s="574">
        <f t="shared" si="4"/>
        <v>2835000</v>
      </c>
    </row>
    <row r="51" spans="1:13" ht="27" customHeight="1">
      <c r="A51" s="579" t="s">
        <v>1001</v>
      </c>
      <c r="B51" s="599" t="s">
        <v>934</v>
      </c>
      <c r="C51" s="589" t="s">
        <v>944</v>
      </c>
      <c r="D51" s="592">
        <v>24000</v>
      </c>
      <c r="E51" s="600"/>
      <c r="F51" s="570">
        <f t="shared" si="5"/>
        <v>24000</v>
      </c>
      <c r="G51" s="594"/>
      <c r="H51" s="600"/>
      <c r="I51" s="570">
        <f t="shared" si="6"/>
        <v>0</v>
      </c>
      <c r="J51" s="583"/>
      <c r="K51" s="584"/>
      <c r="L51" s="570">
        <f t="shared" si="7"/>
        <v>0</v>
      </c>
      <c r="M51" s="574">
        <f t="shared" si="4"/>
        <v>24000</v>
      </c>
    </row>
    <row r="52" spans="1:13" ht="27" customHeight="1">
      <c r="A52" s="579" t="s">
        <v>1106</v>
      </c>
      <c r="B52" s="599" t="s">
        <v>927</v>
      </c>
      <c r="C52" s="589"/>
      <c r="D52" s="592"/>
      <c r="E52" s="600"/>
      <c r="F52" s="570">
        <f t="shared" si="5"/>
        <v>0</v>
      </c>
      <c r="G52" s="601">
        <v>24000</v>
      </c>
      <c r="H52" s="600"/>
      <c r="I52" s="570">
        <f t="shared" si="6"/>
        <v>24000</v>
      </c>
      <c r="J52" s="583"/>
      <c r="K52" s="584"/>
      <c r="L52" s="570">
        <f t="shared" si="7"/>
        <v>0</v>
      </c>
      <c r="M52" s="574">
        <f t="shared" si="4"/>
        <v>24000</v>
      </c>
    </row>
    <row r="53" spans="1:13" ht="38.25" customHeight="1">
      <c r="A53" s="579" t="s">
        <v>1117</v>
      </c>
      <c r="B53" s="576" t="s">
        <v>935</v>
      </c>
      <c r="C53" s="570" t="s">
        <v>941</v>
      </c>
      <c r="D53" s="580">
        <f>4506000+49000-1414600</f>
        <v>3140400</v>
      </c>
      <c r="E53" s="581"/>
      <c r="F53" s="570">
        <f t="shared" si="5"/>
        <v>3140400</v>
      </c>
      <c r="G53" s="582"/>
      <c r="H53" s="581"/>
      <c r="I53" s="570">
        <f t="shared" si="6"/>
        <v>0</v>
      </c>
      <c r="J53" s="583"/>
      <c r="K53" s="584"/>
      <c r="L53" s="570">
        <f t="shared" si="7"/>
        <v>0</v>
      </c>
      <c r="M53" s="574">
        <f t="shared" si="4"/>
        <v>3140400</v>
      </c>
    </row>
    <row r="54" spans="1:13" s="406" customFormat="1" ht="27.75" customHeight="1">
      <c r="A54" s="579" t="s">
        <v>1118</v>
      </c>
      <c r="B54" s="576" t="s">
        <v>558</v>
      </c>
      <c r="C54" s="577" t="s">
        <v>189</v>
      </c>
      <c r="D54" s="580">
        <f>5900000-1500000-1588000-73000-64000+97040048-5924000-4477000-49000-608000-4260000-17635925-25143529+728928+3902804-513963-200000+1275000+4214000-1336000-112000-4299000-2300000-619583-2645063-6460000-21000-15000000-13000-3902804-39000-3672000-8997631-276000-1331282</f>
        <v>0</v>
      </c>
      <c r="E54" s="581">
        <f>40869000-40540000+4260000</f>
        <v>4589000</v>
      </c>
      <c r="F54" s="570">
        <f t="shared" si="5"/>
        <v>4589000</v>
      </c>
      <c r="G54" s="602"/>
      <c r="H54" s="603"/>
      <c r="I54" s="570">
        <f t="shared" si="6"/>
        <v>0</v>
      </c>
      <c r="J54" s="604"/>
      <c r="K54" s="604"/>
      <c r="L54" s="570">
        <f t="shared" si="7"/>
        <v>0</v>
      </c>
      <c r="M54" s="574">
        <f t="shared" si="4"/>
        <v>4589000</v>
      </c>
    </row>
    <row r="55" spans="1:13" ht="23.25" customHeight="1">
      <c r="A55" s="579" t="s">
        <v>1119</v>
      </c>
      <c r="B55" s="576" t="s">
        <v>536</v>
      </c>
      <c r="C55" s="605" t="s">
        <v>945</v>
      </c>
      <c r="D55" s="592">
        <f>132708000+1720000+2500+675+199000+54000</f>
        <v>134684175</v>
      </c>
      <c r="E55" s="593">
        <f>216000+5644000+112000-4350000-200000-1094000</f>
        <v>328000</v>
      </c>
      <c r="F55" s="570">
        <f t="shared" si="5"/>
        <v>135012175</v>
      </c>
      <c r="G55" s="606"/>
      <c r="H55" s="600"/>
      <c r="I55" s="570">
        <f t="shared" si="6"/>
        <v>0</v>
      </c>
      <c r="J55" s="583"/>
      <c r="K55" s="583"/>
      <c r="L55" s="570">
        <f t="shared" si="7"/>
        <v>0</v>
      </c>
      <c r="M55" s="574">
        <f t="shared" si="4"/>
        <v>135012175</v>
      </c>
    </row>
    <row r="56" spans="1:13" ht="23.25" customHeight="1" thickBot="1">
      <c r="A56" s="579" t="s">
        <v>1161</v>
      </c>
      <c r="B56" s="576" t="s">
        <v>928</v>
      </c>
      <c r="C56" s="607"/>
      <c r="D56" s="592"/>
      <c r="E56" s="593"/>
      <c r="F56" s="570">
        <f>SUM(D56:E56)</f>
        <v>0</v>
      </c>
      <c r="G56" s="594">
        <f>6530000+24000</f>
        <v>6554000</v>
      </c>
      <c r="H56" s="600"/>
      <c r="I56" s="570">
        <f>SUM(G56:H56)</f>
        <v>6554000</v>
      </c>
      <c r="J56" s="583"/>
      <c r="K56" s="583"/>
      <c r="L56" s="570">
        <f>SUM(J56:K56)</f>
        <v>0</v>
      </c>
      <c r="M56" s="574">
        <f>SUM(F56+I56+L56)</f>
        <v>6554000</v>
      </c>
    </row>
    <row r="57" spans="1:13" s="406" customFormat="1" ht="14.25" thickBot="1">
      <c r="A57" s="903" t="s">
        <v>862</v>
      </c>
      <c r="B57" s="904"/>
      <c r="C57" s="905"/>
      <c r="D57" s="608">
        <f>SUM(D10:D56)</f>
        <v>598062610</v>
      </c>
      <c r="E57" s="608">
        <f aca="true" t="shared" si="8" ref="E57:M57">SUM(E10:E56)</f>
        <v>154224569</v>
      </c>
      <c r="F57" s="609">
        <f t="shared" si="8"/>
        <v>752287179</v>
      </c>
      <c r="G57" s="608">
        <f t="shared" si="8"/>
        <v>71989000</v>
      </c>
      <c r="H57" s="608">
        <f t="shared" si="8"/>
        <v>25750314</v>
      </c>
      <c r="I57" s="609">
        <f>SUM(I10:I56)</f>
        <v>97739314</v>
      </c>
      <c r="J57" s="608">
        <f t="shared" si="8"/>
        <v>42015733</v>
      </c>
      <c r="K57" s="608">
        <f t="shared" si="8"/>
        <v>1176000</v>
      </c>
      <c r="L57" s="609">
        <f t="shared" si="8"/>
        <v>43191733</v>
      </c>
      <c r="M57" s="609">
        <f t="shared" si="8"/>
        <v>893218226</v>
      </c>
    </row>
    <row r="58" spans="1:13" ht="30.75" customHeight="1">
      <c r="A58" s="579" t="s">
        <v>577</v>
      </c>
      <c r="B58" s="576" t="s">
        <v>147</v>
      </c>
      <c r="C58" s="620" t="s">
        <v>693</v>
      </c>
      <c r="D58" s="610">
        <f>116046000+112000+30240+762000+205000+689756+292000+1000-1496000-222000-60000+114000</f>
        <v>116473996</v>
      </c>
      <c r="E58" s="611">
        <v>1279000</v>
      </c>
      <c r="F58" s="570">
        <f>SUM(D58:E58)</f>
        <v>117752996</v>
      </c>
      <c r="G58" s="610"/>
      <c r="H58" s="611"/>
      <c r="I58" s="620">
        <f>SUM(G58:H58)</f>
        <v>0</v>
      </c>
      <c r="J58" s="794"/>
      <c r="K58" s="795"/>
      <c r="L58" s="620">
        <f>SUM(J58:K58)</f>
        <v>0</v>
      </c>
      <c r="M58" s="574">
        <f>SUM(L58,I58,F58)</f>
        <v>117752996</v>
      </c>
    </row>
    <row r="59" spans="1:13" ht="30.75" customHeight="1">
      <c r="A59" s="579" t="s">
        <v>578</v>
      </c>
      <c r="B59" s="576" t="s">
        <v>1128</v>
      </c>
      <c r="C59" s="570" t="s">
        <v>1129</v>
      </c>
      <c r="D59" s="568">
        <v>1263940</v>
      </c>
      <c r="E59" s="569"/>
      <c r="F59" s="570">
        <f>SUM(D59:E59)</f>
        <v>1263940</v>
      </c>
      <c r="G59" s="568"/>
      <c r="H59" s="569"/>
      <c r="I59" s="570">
        <f>SUM(G59:H59)</f>
        <v>0</v>
      </c>
      <c r="J59" s="580"/>
      <c r="K59" s="581"/>
      <c r="L59" s="570">
        <f>SUM(J59:K59)</f>
        <v>0</v>
      </c>
      <c r="M59" s="574">
        <f>SUM(L59,I59,F59)</f>
        <v>1263940</v>
      </c>
    </row>
    <row r="60" spans="1:13" ht="24">
      <c r="A60" s="579" t="s">
        <v>579</v>
      </c>
      <c r="B60" s="612" t="s">
        <v>193</v>
      </c>
      <c r="C60" s="613" t="s">
        <v>943</v>
      </c>
      <c r="D60" s="580">
        <v>53000</v>
      </c>
      <c r="E60" s="581"/>
      <c r="F60" s="570">
        <f>SUM(D60:E60)</f>
        <v>53000</v>
      </c>
      <c r="G60" s="580"/>
      <c r="H60" s="581"/>
      <c r="I60" s="570">
        <f>SUM(G60:H60)</f>
        <v>0</v>
      </c>
      <c r="J60" s="580"/>
      <c r="K60" s="581"/>
      <c r="L60" s="570">
        <f>SUM(J60:K60)</f>
        <v>0</v>
      </c>
      <c r="M60" s="574">
        <f>SUM(L60,I60,F60)</f>
        <v>53000</v>
      </c>
    </row>
    <row r="61" spans="1:13" ht="36.75" thickBot="1">
      <c r="A61" s="579" t="s">
        <v>580</v>
      </c>
      <c r="B61" s="612" t="s">
        <v>939</v>
      </c>
      <c r="C61" s="614" t="s">
        <v>947</v>
      </c>
      <c r="D61" s="580">
        <v>12276000</v>
      </c>
      <c r="E61" s="581"/>
      <c r="F61" s="570">
        <f>SUM(D61:E61)</f>
        <v>12276000</v>
      </c>
      <c r="G61" s="580"/>
      <c r="H61" s="581"/>
      <c r="I61" s="570">
        <f>SUM(G61:H61)</f>
        <v>0</v>
      </c>
      <c r="J61" s="580"/>
      <c r="K61" s="581"/>
      <c r="L61" s="570">
        <f>SUM(J61:K61)</f>
        <v>0</v>
      </c>
      <c r="M61" s="574">
        <f>SUM(L61,I61,F61)</f>
        <v>12276000</v>
      </c>
    </row>
    <row r="62" spans="1:13" s="406" customFormat="1" ht="14.25" thickBot="1">
      <c r="A62" s="903" t="s">
        <v>712</v>
      </c>
      <c r="B62" s="904"/>
      <c r="C62" s="905"/>
      <c r="D62" s="615">
        <f aca="true" t="shared" si="9" ref="D62:M62">SUM(D58:D61)</f>
        <v>130066936</v>
      </c>
      <c r="E62" s="615">
        <f t="shared" si="9"/>
        <v>1279000</v>
      </c>
      <c r="F62" s="615">
        <f t="shared" si="9"/>
        <v>131345936</v>
      </c>
      <c r="G62" s="615">
        <f t="shared" si="9"/>
        <v>0</v>
      </c>
      <c r="H62" s="615">
        <f t="shared" si="9"/>
        <v>0</v>
      </c>
      <c r="I62" s="615">
        <f t="shared" si="9"/>
        <v>0</v>
      </c>
      <c r="J62" s="615">
        <f t="shared" si="9"/>
        <v>0</v>
      </c>
      <c r="K62" s="615">
        <f t="shared" si="9"/>
        <v>0</v>
      </c>
      <c r="L62" s="615">
        <f t="shared" si="9"/>
        <v>0</v>
      </c>
      <c r="M62" s="616">
        <f t="shared" si="9"/>
        <v>131345936</v>
      </c>
    </row>
    <row r="63" spans="1:13" ht="12.75">
      <c r="A63" s="579" t="s">
        <v>577</v>
      </c>
      <c r="B63" s="612" t="s">
        <v>713</v>
      </c>
      <c r="C63" s="617" t="s">
        <v>946</v>
      </c>
      <c r="D63" s="618">
        <v>32702000</v>
      </c>
      <c r="E63" s="619"/>
      <c r="F63" s="567">
        <f>SUM(D63:E63)</f>
        <v>32702000</v>
      </c>
      <c r="G63" s="618"/>
      <c r="H63" s="619"/>
      <c r="I63" s="620">
        <f>SUM(G63:H63)</f>
        <v>0</v>
      </c>
      <c r="J63" s="618"/>
      <c r="K63" s="619"/>
      <c r="L63" s="567">
        <f>SUM(J63:K63)</f>
        <v>0</v>
      </c>
      <c r="M63" s="574">
        <f>SUM(L63,I63,F63)</f>
        <v>32702000</v>
      </c>
    </row>
    <row r="64" spans="1:13" ht="12.75">
      <c r="A64" s="579" t="s">
        <v>578</v>
      </c>
      <c r="B64" s="612" t="s">
        <v>714</v>
      </c>
      <c r="C64" s="613" t="s">
        <v>715</v>
      </c>
      <c r="D64" s="580">
        <f>169465000-4974000-1343000-394000+95500+25785+950000+257000+39172-381000</f>
        <v>163740457</v>
      </c>
      <c r="E64" s="581">
        <f>1122000+1811000+489000+381000</f>
        <v>3803000</v>
      </c>
      <c r="F64" s="570">
        <f>SUM(D64:E64)</f>
        <v>167543457</v>
      </c>
      <c r="G64" s="580"/>
      <c r="H64" s="581"/>
      <c r="I64" s="621">
        <f>SUM(G64:H64)</f>
        <v>0</v>
      </c>
      <c r="J64" s="580"/>
      <c r="K64" s="581"/>
      <c r="L64" s="570">
        <f>SUM(J64:K64)</f>
        <v>0</v>
      </c>
      <c r="M64" s="574">
        <f>SUM(L64,I64,F64)</f>
        <v>167543457</v>
      </c>
    </row>
    <row r="65" spans="1:13" ht="15.75" customHeight="1">
      <c r="A65" s="622" t="s">
        <v>579</v>
      </c>
      <c r="B65" s="623" t="s">
        <v>716</v>
      </c>
      <c r="C65" s="570" t="s">
        <v>715</v>
      </c>
      <c r="D65" s="624">
        <v>12476000</v>
      </c>
      <c r="E65" s="625"/>
      <c r="F65" s="621">
        <f>SUM(D65:E65)</f>
        <v>12476000</v>
      </c>
      <c r="G65" s="624"/>
      <c r="H65" s="625"/>
      <c r="I65" s="621">
        <f>SUM(G65:H65)</f>
        <v>0</v>
      </c>
      <c r="J65" s="624"/>
      <c r="K65" s="625"/>
      <c r="L65" s="621">
        <f>SUM(J65:K65)</f>
        <v>0</v>
      </c>
      <c r="M65" s="574">
        <f>SUM(L65,I65,F65)</f>
        <v>12476000</v>
      </c>
    </row>
    <row r="66" spans="1:13" ht="15.75" customHeight="1">
      <c r="A66" s="622" t="s">
        <v>580</v>
      </c>
      <c r="B66" s="623" t="s">
        <v>860</v>
      </c>
      <c r="C66" s="589" t="s">
        <v>944</v>
      </c>
      <c r="D66" s="624">
        <f>37429000-774000-209000+1000</f>
        <v>36447000</v>
      </c>
      <c r="E66" s="625">
        <v>2238000</v>
      </c>
      <c r="F66" s="621">
        <f>SUM(D66:E66)</f>
        <v>38685000</v>
      </c>
      <c r="G66" s="624"/>
      <c r="H66" s="625"/>
      <c r="I66" s="621">
        <f>SUM(G66:H66)</f>
        <v>0</v>
      </c>
      <c r="J66" s="624"/>
      <c r="K66" s="625"/>
      <c r="L66" s="621">
        <f>SUM(J66:K66)</f>
        <v>0</v>
      </c>
      <c r="M66" s="574">
        <f>SUM(L66,I66,F66)</f>
        <v>38685000</v>
      </c>
    </row>
    <row r="67" spans="1:13" ht="15.75" customHeight="1" thickBot="1">
      <c r="A67" s="622" t="s">
        <v>581</v>
      </c>
      <c r="B67" s="623" t="s">
        <v>794</v>
      </c>
      <c r="C67" s="626"/>
      <c r="D67" s="624"/>
      <c r="E67" s="625"/>
      <c r="F67" s="621">
        <f>SUM(D67:E67)</f>
        <v>0</v>
      </c>
      <c r="G67" s="624">
        <f>6898000-674000-1000</f>
        <v>6223000</v>
      </c>
      <c r="H67" s="625">
        <v>22000</v>
      </c>
      <c r="I67" s="621">
        <f>SUM(G67:H67)</f>
        <v>6245000</v>
      </c>
      <c r="J67" s="624"/>
      <c r="K67" s="625"/>
      <c r="L67" s="621">
        <f>SUM(J67:K67)</f>
        <v>0</v>
      </c>
      <c r="M67" s="574">
        <f>SUM(L67,I67,F67)</f>
        <v>6245000</v>
      </c>
    </row>
    <row r="68" spans="1:13" ht="27.75" customHeight="1" thickBot="1">
      <c r="A68" s="906" t="s">
        <v>861</v>
      </c>
      <c r="B68" s="907"/>
      <c r="C68" s="908"/>
      <c r="D68" s="627">
        <f>SUM(D63:D67)</f>
        <v>245365457</v>
      </c>
      <c r="E68" s="627">
        <f aca="true" t="shared" si="10" ref="E68:L68">SUM(E63:E67)</f>
        <v>6041000</v>
      </c>
      <c r="F68" s="627">
        <f t="shared" si="10"/>
        <v>251406457</v>
      </c>
      <c r="G68" s="627">
        <f t="shared" si="10"/>
        <v>6223000</v>
      </c>
      <c r="H68" s="627">
        <f t="shared" si="10"/>
        <v>22000</v>
      </c>
      <c r="I68" s="627">
        <f t="shared" si="10"/>
        <v>6245000</v>
      </c>
      <c r="J68" s="627">
        <f t="shared" si="10"/>
        <v>0</v>
      </c>
      <c r="K68" s="627">
        <f t="shared" si="10"/>
        <v>0</v>
      </c>
      <c r="L68" s="627">
        <f t="shared" si="10"/>
        <v>0</v>
      </c>
      <c r="M68" s="616">
        <f>SUM(M63:M67)</f>
        <v>257651457</v>
      </c>
    </row>
    <row r="69" spans="1:13" s="531" customFormat="1" ht="16.5" thickBot="1">
      <c r="A69" s="900" t="s">
        <v>717</v>
      </c>
      <c r="B69" s="901"/>
      <c r="C69" s="902"/>
      <c r="D69" s="628">
        <f aca="true" t="shared" si="11" ref="D69:M69">D57+D62+D68</f>
        <v>973495003</v>
      </c>
      <c r="E69" s="628">
        <f t="shared" si="11"/>
        <v>161544569</v>
      </c>
      <c r="F69" s="628">
        <f t="shared" si="11"/>
        <v>1135039572</v>
      </c>
      <c r="G69" s="628">
        <f t="shared" si="11"/>
        <v>78212000</v>
      </c>
      <c r="H69" s="628">
        <f t="shared" si="11"/>
        <v>25772314</v>
      </c>
      <c r="I69" s="628">
        <f t="shared" si="11"/>
        <v>103984314</v>
      </c>
      <c r="J69" s="628">
        <f t="shared" si="11"/>
        <v>42015733</v>
      </c>
      <c r="K69" s="628">
        <f t="shared" si="11"/>
        <v>1176000</v>
      </c>
      <c r="L69" s="629">
        <f t="shared" si="11"/>
        <v>43191733</v>
      </c>
      <c r="M69" s="630">
        <f t="shared" si="11"/>
        <v>1282215619</v>
      </c>
    </row>
    <row r="72" spans="1:2" ht="12.75">
      <c r="A72" s="168" t="s">
        <v>718</v>
      </c>
      <c r="B72" s="168" t="s">
        <v>719</v>
      </c>
    </row>
    <row r="73" spans="1:2" ht="12.75">
      <c r="A73" s="168" t="s">
        <v>720</v>
      </c>
      <c r="B73" s="168" t="s">
        <v>721</v>
      </c>
    </row>
    <row r="74" spans="1:2" ht="12.75">
      <c r="A74" s="168" t="s">
        <v>722</v>
      </c>
      <c r="B74" s="168" t="s">
        <v>723</v>
      </c>
    </row>
    <row r="75" spans="1:2" ht="12.75">
      <c r="A75" s="168" t="s">
        <v>724</v>
      </c>
      <c r="B75" s="168" t="s">
        <v>725</v>
      </c>
    </row>
    <row r="76" spans="1:2" ht="12.75">
      <c r="A76" s="168" t="s">
        <v>726</v>
      </c>
      <c r="B76" s="168" t="s">
        <v>727</v>
      </c>
    </row>
    <row r="77" spans="1:2" ht="12.75">
      <c r="A77" s="168" t="s">
        <v>938</v>
      </c>
      <c r="B77" s="168" t="s">
        <v>937</v>
      </c>
    </row>
    <row r="78" spans="1:2" ht="12.75">
      <c r="A78" s="168" t="s">
        <v>1130</v>
      </c>
      <c r="B78" s="168" t="s">
        <v>1131</v>
      </c>
    </row>
    <row r="79" spans="1:2" ht="12.75">
      <c r="A79" s="168" t="s">
        <v>1132</v>
      </c>
      <c r="B79" s="168" t="s">
        <v>1133</v>
      </c>
    </row>
  </sheetData>
  <sheetProtection/>
  <mergeCells count="15">
    <mergeCell ref="A69:C69"/>
    <mergeCell ref="A62:C62"/>
    <mergeCell ref="D6:F7"/>
    <mergeCell ref="A68:C68"/>
    <mergeCell ref="B5:B8"/>
    <mergeCell ref="A5:A8"/>
    <mergeCell ref="C5:M5"/>
    <mergeCell ref="A57:C57"/>
    <mergeCell ref="B9:M9"/>
    <mergeCell ref="G1:M1"/>
    <mergeCell ref="M6:M8"/>
    <mergeCell ref="A3:M4"/>
    <mergeCell ref="C6:C8"/>
    <mergeCell ref="G6:I7"/>
    <mergeCell ref="J6:L7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4" r:id="rId1"/>
  <rowBreaks count="2" manualBreakCount="2">
    <brk id="32" max="12" man="1"/>
    <brk id="5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O150"/>
  <sheetViews>
    <sheetView tabSelected="1" zoomScaleSheetLayoutView="100" zoomScalePageLayoutView="0" workbookViewId="0" topLeftCell="T1">
      <selection activeCell="T1" sqref="T1:AB1"/>
    </sheetView>
  </sheetViews>
  <sheetFormatPr defaultColWidth="9.00390625" defaultRowHeight="12.75"/>
  <cols>
    <col min="1" max="2" width="9.125" style="168" customWidth="1"/>
    <col min="3" max="3" width="18.75390625" style="168" customWidth="1"/>
    <col min="4" max="4" width="18.625" style="168" customWidth="1"/>
    <col min="5" max="5" width="15.125" style="168" customWidth="1"/>
    <col min="6" max="6" width="17.75390625" style="168" customWidth="1"/>
    <col min="7" max="7" width="12.625" style="168" customWidth="1"/>
    <col min="8" max="8" width="18.875" style="168" customWidth="1"/>
    <col min="9" max="9" width="9.25390625" style="168" bestFit="1" customWidth="1"/>
    <col min="10" max="10" width="13.00390625" style="168" customWidth="1"/>
    <col min="11" max="11" width="19.25390625" style="168" customWidth="1"/>
    <col min="12" max="12" width="9.75390625" style="168" customWidth="1"/>
    <col min="13" max="13" width="9.125" style="168" customWidth="1"/>
    <col min="14" max="14" width="12.625" style="168" customWidth="1"/>
    <col min="15" max="15" width="8.125" style="168" customWidth="1"/>
    <col min="16" max="16" width="11.75390625" style="168" bestFit="1" customWidth="1"/>
    <col min="17" max="17" width="15.625" style="168" customWidth="1"/>
    <col min="18" max="20" width="9.125" style="168" customWidth="1"/>
    <col min="21" max="21" width="9.875" style="168" customWidth="1"/>
    <col min="22" max="22" width="11.75390625" style="168" bestFit="1" customWidth="1"/>
    <col min="23" max="23" width="16.875" style="168" customWidth="1"/>
    <col min="24" max="24" width="16.625" style="269" customWidth="1"/>
    <col min="25" max="25" width="16.875" style="269" customWidth="1"/>
    <col min="26" max="26" width="18.75390625" style="269" customWidth="1"/>
    <col min="27" max="27" width="19.125" style="269" customWidth="1"/>
    <col min="28" max="28" width="15.875" style="269" customWidth="1"/>
    <col min="29" max="29" width="16.00390625" style="269" customWidth="1"/>
    <col min="30" max="223" width="9.125" style="269" customWidth="1"/>
    <col min="224" max="16384" width="9.125" style="168" customWidth="1"/>
  </cols>
  <sheetData>
    <row r="1" spans="1:28" ht="18.75">
      <c r="A1" s="265"/>
      <c r="B1" s="266"/>
      <c r="C1" s="267"/>
      <c r="H1" s="266"/>
      <c r="I1" s="266"/>
      <c r="J1" s="266"/>
      <c r="K1" s="268"/>
      <c r="L1" s="268"/>
      <c r="M1" s="268"/>
      <c r="N1" s="266"/>
      <c r="T1" s="1114" t="s">
        <v>1185</v>
      </c>
      <c r="U1" s="1115"/>
      <c r="V1" s="1115"/>
      <c r="W1" s="1115"/>
      <c r="X1" s="1116"/>
      <c r="Y1" s="1116"/>
      <c r="Z1" s="1116"/>
      <c r="AA1" s="1116"/>
      <c r="AB1" s="1116"/>
    </row>
    <row r="2" spans="1:14" ht="12.75">
      <c r="A2" s="265"/>
      <c r="B2" s="266"/>
      <c r="C2" s="267"/>
      <c r="D2" s="270"/>
      <c r="E2" s="271"/>
      <c r="F2" s="271"/>
      <c r="G2" s="271"/>
      <c r="H2" s="266"/>
      <c r="I2" s="266"/>
      <c r="J2" s="266"/>
      <c r="K2" s="268"/>
      <c r="L2" s="268"/>
      <c r="M2" s="268"/>
      <c r="N2" s="266"/>
    </row>
    <row r="3" spans="1:24" ht="15.75" customHeight="1">
      <c r="A3" s="1041" t="s">
        <v>864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</row>
    <row r="4" spans="1:29" ht="13.5" thickBot="1">
      <c r="A4" s="1042"/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AC4" s="272" t="s">
        <v>965</v>
      </c>
    </row>
    <row r="5" spans="1:223" s="273" customFormat="1" ht="15" customHeight="1" thickBot="1" thickTop="1">
      <c r="A5" s="998" t="s">
        <v>194</v>
      </c>
      <c r="B5" s="999"/>
      <c r="C5" s="999"/>
      <c r="D5" s="1002" t="s">
        <v>538</v>
      </c>
      <c r="E5" s="1003"/>
      <c r="F5" s="1004"/>
      <c r="G5" s="1005" t="s">
        <v>728</v>
      </c>
      <c r="H5" s="1043"/>
      <c r="I5" s="1043"/>
      <c r="J5" s="1043"/>
      <c r="K5" s="1044"/>
      <c r="L5" s="941" t="s">
        <v>729</v>
      </c>
      <c r="M5" s="942"/>
      <c r="N5" s="942"/>
      <c r="O5" s="942"/>
      <c r="P5" s="942"/>
      <c r="Q5" s="996"/>
      <c r="R5" s="941" t="s">
        <v>730</v>
      </c>
      <c r="S5" s="942"/>
      <c r="T5" s="942"/>
      <c r="U5" s="942"/>
      <c r="V5" s="942"/>
      <c r="W5" s="942"/>
      <c r="X5" s="1040" t="s">
        <v>731</v>
      </c>
      <c r="Y5" s="995"/>
      <c r="Z5" s="995"/>
      <c r="AA5" s="988" t="s">
        <v>195</v>
      </c>
      <c r="AB5" s="989"/>
      <c r="AC5" s="990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</row>
    <row r="6" spans="1:29" s="269" customFormat="1" ht="16.5" customHeight="1" thickBot="1">
      <c r="A6" s="1000"/>
      <c r="B6" s="1001"/>
      <c r="C6" s="1001"/>
      <c r="D6" s="274" t="s">
        <v>196</v>
      </c>
      <c r="E6" s="398" t="s">
        <v>186</v>
      </c>
      <c r="F6" s="276" t="s">
        <v>197</v>
      </c>
      <c r="G6" s="1045"/>
      <c r="H6" s="1046"/>
      <c r="I6" s="1046"/>
      <c r="J6" s="1046"/>
      <c r="K6" s="1047"/>
      <c r="L6" s="944"/>
      <c r="M6" s="945"/>
      <c r="N6" s="945"/>
      <c r="O6" s="945"/>
      <c r="P6" s="945"/>
      <c r="Q6" s="997"/>
      <c r="R6" s="944"/>
      <c r="S6" s="945"/>
      <c r="T6" s="945"/>
      <c r="U6" s="945"/>
      <c r="V6" s="945"/>
      <c r="W6" s="945"/>
      <c r="X6" s="277" t="s">
        <v>196</v>
      </c>
      <c r="Y6" s="534" t="s">
        <v>186</v>
      </c>
      <c r="Z6" s="279" t="s">
        <v>197</v>
      </c>
      <c r="AA6" s="280" t="s">
        <v>196</v>
      </c>
      <c r="AB6" s="535" t="s">
        <v>186</v>
      </c>
      <c r="AC6" s="282" t="s">
        <v>197</v>
      </c>
    </row>
    <row r="7" spans="1:29" s="299" customFormat="1" ht="26.25" customHeight="1">
      <c r="A7" s="283"/>
      <c r="B7" s="284"/>
      <c r="C7" s="285"/>
      <c r="D7" s="286"/>
      <c r="E7" s="284"/>
      <c r="F7" s="287"/>
      <c r="G7" s="1033" t="s">
        <v>732</v>
      </c>
      <c r="H7" s="1026"/>
      <c r="I7" s="1026"/>
      <c r="J7" s="288">
        <f>191333053-122148600</f>
        <v>69184453</v>
      </c>
      <c r="K7" s="932">
        <f>SUM(J7:J23)</f>
        <v>212305919</v>
      </c>
      <c r="L7" s="949" t="s">
        <v>221</v>
      </c>
      <c r="M7" s="950"/>
      <c r="N7" s="950"/>
      <c r="O7" s="950"/>
      <c r="P7" s="290">
        <v>1470000</v>
      </c>
      <c r="Q7" s="1050">
        <f>SUM(P7:P23)</f>
        <v>53366471</v>
      </c>
      <c r="R7" s="921" t="s">
        <v>733</v>
      </c>
      <c r="S7" s="922"/>
      <c r="T7" s="922"/>
      <c r="U7" s="922"/>
      <c r="V7" s="288">
        <f>329000+89000</f>
        <v>418000</v>
      </c>
      <c r="W7" s="971">
        <f>SUM(V7:V23)</f>
        <v>398174555</v>
      </c>
      <c r="X7" s="293"/>
      <c r="Y7" s="294"/>
      <c r="Z7" s="295"/>
      <c r="AA7" s="296"/>
      <c r="AB7" s="297"/>
      <c r="AC7" s="298"/>
    </row>
    <row r="8" spans="1:29" s="299" customFormat="1" ht="30.75" customHeight="1">
      <c r="A8" s="283"/>
      <c r="B8" s="284"/>
      <c r="C8" s="286"/>
      <c r="D8" s="286"/>
      <c r="E8" s="284"/>
      <c r="F8" s="287"/>
      <c r="G8" s="1048" t="s">
        <v>949</v>
      </c>
      <c r="H8" s="1049"/>
      <c r="I8" s="1049"/>
      <c r="J8" s="288">
        <v>16800000</v>
      </c>
      <c r="K8" s="933"/>
      <c r="L8" s="924" t="s">
        <v>734</v>
      </c>
      <c r="M8" s="925"/>
      <c r="N8" s="925"/>
      <c r="O8" s="925"/>
      <c r="P8" s="288">
        <v>3450000</v>
      </c>
      <c r="Q8" s="1051"/>
      <c r="R8" s="924" t="s">
        <v>735</v>
      </c>
      <c r="S8" s="925"/>
      <c r="T8" s="925"/>
      <c r="U8" s="925"/>
      <c r="V8" s="288">
        <v>766000</v>
      </c>
      <c r="W8" s="972"/>
      <c r="X8" s="300"/>
      <c r="Y8" s="294"/>
      <c r="Z8" s="301"/>
      <c r="AA8" s="283"/>
      <c r="AB8" s="302"/>
      <c r="AC8" s="303"/>
    </row>
    <row r="9" spans="1:29" s="299" customFormat="1" ht="24.75" customHeight="1">
      <c r="A9" s="304"/>
      <c r="B9" s="305"/>
      <c r="C9" s="306" t="s">
        <v>687</v>
      </c>
      <c r="D9" s="307">
        <v>598062610</v>
      </c>
      <c r="E9" s="308">
        <v>154224569</v>
      </c>
      <c r="F9" s="309">
        <f>SUM(D9:E9)</f>
        <v>752287179</v>
      </c>
      <c r="G9" s="951" t="s">
        <v>774</v>
      </c>
      <c r="H9" s="925"/>
      <c r="I9" s="925"/>
      <c r="J9" s="288">
        <f>10319000+280</f>
        <v>10319280</v>
      </c>
      <c r="K9" s="933"/>
      <c r="L9" s="921" t="s">
        <v>736</v>
      </c>
      <c r="M9" s="922"/>
      <c r="N9" s="922"/>
      <c r="O9" s="922"/>
      <c r="P9" s="288">
        <v>12540000</v>
      </c>
      <c r="Q9" s="1051"/>
      <c r="R9" s="921" t="s">
        <v>737</v>
      </c>
      <c r="S9" s="922"/>
      <c r="T9" s="922"/>
      <c r="U9" s="922"/>
      <c r="V9" s="288">
        <v>100813000</v>
      </c>
      <c r="W9" s="972"/>
      <c r="X9" s="310"/>
      <c r="Y9" s="311"/>
      <c r="Z9" s="301"/>
      <c r="AA9" s="312"/>
      <c r="AB9" s="313"/>
      <c r="AC9" s="314"/>
    </row>
    <row r="10" spans="1:29" s="299" customFormat="1" ht="28.5" customHeight="1">
      <c r="A10" s="315"/>
      <c r="B10" s="316"/>
      <c r="C10" s="317"/>
      <c r="D10" s="317"/>
      <c r="E10" s="284"/>
      <c r="F10" s="287"/>
      <c r="G10" s="925" t="s">
        <v>797</v>
      </c>
      <c r="H10" s="925"/>
      <c r="I10" s="925"/>
      <c r="J10" s="288">
        <v>13446000</v>
      </c>
      <c r="K10" s="933"/>
      <c r="L10" s="924" t="s">
        <v>738</v>
      </c>
      <c r="M10" s="925"/>
      <c r="N10" s="925"/>
      <c r="O10" s="925"/>
      <c r="P10" s="288">
        <v>18000000</v>
      </c>
      <c r="Q10" s="1051"/>
      <c r="R10" s="921" t="s">
        <v>739</v>
      </c>
      <c r="S10" s="922"/>
      <c r="T10" s="922"/>
      <c r="U10" s="922"/>
      <c r="V10" s="288">
        <v>4819000</v>
      </c>
      <c r="W10" s="972"/>
      <c r="X10" s="310"/>
      <c r="Y10" s="311"/>
      <c r="Z10" s="301"/>
      <c r="AA10" s="312"/>
      <c r="AB10" s="313"/>
      <c r="AC10" s="314"/>
    </row>
    <row r="11" spans="1:29" s="299" customFormat="1" ht="24.75" customHeight="1">
      <c r="A11" s="315"/>
      <c r="B11" s="316"/>
      <c r="C11" s="317"/>
      <c r="D11" s="317"/>
      <c r="E11" s="284"/>
      <c r="F11" s="287"/>
      <c r="G11" s="951" t="s">
        <v>480</v>
      </c>
      <c r="H11" s="925"/>
      <c r="I11" s="925"/>
      <c r="J11" s="288">
        <f>27586000+274</f>
        <v>27586274</v>
      </c>
      <c r="K11" s="933"/>
      <c r="L11" s="924" t="s">
        <v>801</v>
      </c>
      <c r="M11" s="925"/>
      <c r="N11" s="925"/>
      <c r="O11" s="925"/>
      <c r="P11" s="288"/>
      <c r="Q11" s="1051"/>
      <c r="R11" s="924" t="s">
        <v>740</v>
      </c>
      <c r="S11" s="925"/>
      <c r="T11" s="925"/>
      <c r="U11" s="925"/>
      <c r="V11" s="288">
        <f>167925000+3430000+5644000-386+4674314</f>
        <v>181672928</v>
      </c>
      <c r="W11" s="972"/>
      <c r="X11" s="310"/>
      <c r="Y11" s="311"/>
      <c r="Z11" s="301"/>
      <c r="AA11" s="312"/>
      <c r="AB11" s="313"/>
      <c r="AC11" s="314"/>
    </row>
    <row r="12" spans="1:29" s="299" customFormat="1" ht="24.75" customHeight="1">
      <c r="A12" s="315"/>
      <c r="B12" s="316"/>
      <c r="C12" s="317"/>
      <c r="D12" s="317"/>
      <c r="E12" s="284"/>
      <c r="F12" s="287"/>
      <c r="G12" s="951" t="s">
        <v>950</v>
      </c>
      <c r="H12" s="925"/>
      <c r="I12" s="925"/>
      <c r="J12" s="288">
        <v>1653000</v>
      </c>
      <c r="K12" s="933"/>
      <c r="L12" s="921" t="s">
        <v>798</v>
      </c>
      <c r="M12" s="922"/>
      <c r="N12" s="922"/>
      <c r="O12" s="922"/>
      <c r="P12" s="318">
        <v>1455000</v>
      </c>
      <c r="Q12" s="1051"/>
      <c r="R12" s="924" t="s">
        <v>953</v>
      </c>
      <c r="S12" s="925"/>
      <c r="T12" s="925"/>
      <c r="U12" s="925"/>
      <c r="V12" s="288">
        <v>30000</v>
      </c>
      <c r="W12" s="972"/>
      <c r="X12" s="310"/>
      <c r="Y12" s="311"/>
      <c r="Z12" s="301"/>
      <c r="AA12" s="312"/>
      <c r="AB12" s="313"/>
      <c r="AC12" s="314"/>
    </row>
    <row r="13" spans="1:29" s="299" customFormat="1" ht="16.5" customHeight="1">
      <c r="A13" s="315"/>
      <c r="B13" s="316"/>
      <c r="C13" s="317"/>
      <c r="D13" s="317"/>
      <c r="E13" s="284"/>
      <c r="F13" s="319"/>
      <c r="G13" s="922" t="s">
        <v>796</v>
      </c>
      <c r="H13" s="922"/>
      <c r="I13" s="922"/>
      <c r="J13" s="288">
        <f>62748000+353</f>
        <v>62748353</v>
      </c>
      <c r="K13" s="933"/>
      <c r="L13" s="921" t="s">
        <v>799</v>
      </c>
      <c r="M13" s="922"/>
      <c r="N13" s="922"/>
      <c r="O13" s="922"/>
      <c r="P13" s="320">
        <v>14668000</v>
      </c>
      <c r="Q13" s="1051"/>
      <c r="R13" s="924" t="s">
        <v>222</v>
      </c>
      <c r="S13" s="925"/>
      <c r="T13" s="925"/>
      <c r="U13" s="925"/>
      <c r="V13" s="288">
        <f>4888000+250000</f>
        <v>5138000</v>
      </c>
      <c r="W13" s="972"/>
      <c r="X13" s="321">
        <f>SUM(W7,Q7,K7)</f>
        <v>663846945</v>
      </c>
      <c r="Y13" s="322">
        <f>SUM(Q24,W24,K24)</f>
        <v>237611559</v>
      </c>
      <c r="Z13" s="323">
        <f>SUM(Y13,X13)</f>
        <v>901458504</v>
      </c>
      <c r="AA13" s="321">
        <f>X13-D9</f>
        <v>65784335</v>
      </c>
      <c r="AB13" s="322">
        <f>Y13-E9</f>
        <v>83386990</v>
      </c>
      <c r="AC13" s="324">
        <f>SUM(AA13:AB13)</f>
        <v>149171325</v>
      </c>
    </row>
    <row r="14" spans="1:29" s="269" customFormat="1" ht="13.5" customHeight="1">
      <c r="A14" s="325"/>
      <c r="B14" s="326"/>
      <c r="C14" s="327"/>
      <c r="D14" s="327"/>
      <c r="E14" s="328"/>
      <c r="F14" s="329"/>
      <c r="G14" s="951" t="s">
        <v>1002</v>
      </c>
      <c r="H14" s="925"/>
      <c r="I14" s="925"/>
      <c r="J14" s="288">
        <v>6037500</v>
      </c>
      <c r="K14" s="933"/>
      <c r="L14" s="924" t="s">
        <v>1127</v>
      </c>
      <c r="M14" s="925"/>
      <c r="N14" s="925"/>
      <c r="O14" s="925"/>
      <c r="P14" s="920">
        <v>1189800</v>
      </c>
      <c r="Q14" s="1051"/>
      <c r="R14" s="921" t="s">
        <v>954</v>
      </c>
      <c r="S14" s="922"/>
      <c r="T14" s="922"/>
      <c r="U14" s="922"/>
      <c r="V14" s="330">
        <v>388000</v>
      </c>
      <c r="W14" s="972"/>
      <c r="X14" s="310"/>
      <c r="Y14" s="311"/>
      <c r="Z14" s="301"/>
      <c r="AA14" s="312"/>
      <c r="AB14" s="313"/>
      <c r="AC14" s="314"/>
    </row>
    <row r="15" spans="1:29" s="269" customFormat="1" ht="13.5" customHeight="1">
      <c r="A15" s="325"/>
      <c r="B15" s="326"/>
      <c r="C15" s="327"/>
      <c r="D15" s="327"/>
      <c r="E15" s="328"/>
      <c r="F15" s="329"/>
      <c r="G15" s="951" t="s">
        <v>1006</v>
      </c>
      <c r="H15" s="925"/>
      <c r="I15" s="925"/>
      <c r="J15" s="288">
        <v>185928</v>
      </c>
      <c r="K15" s="933"/>
      <c r="L15" s="924"/>
      <c r="M15" s="925"/>
      <c r="N15" s="925"/>
      <c r="O15" s="925"/>
      <c r="P15" s="920"/>
      <c r="Q15" s="1051"/>
      <c r="R15" s="921" t="s">
        <v>1003</v>
      </c>
      <c r="S15" s="922"/>
      <c r="T15" s="922"/>
      <c r="U15" s="922"/>
      <c r="V15" s="330">
        <f>39172+689756</f>
        <v>728928</v>
      </c>
      <c r="W15" s="972"/>
      <c r="X15" s="310"/>
      <c r="Y15" s="311"/>
      <c r="Z15" s="301"/>
      <c r="AA15" s="312"/>
      <c r="AB15" s="313"/>
      <c r="AC15" s="314"/>
    </row>
    <row r="16" spans="1:29" s="269" customFormat="1" ht="24.75" customHeight="1">
      <c r="A16" s="325"/>
      <c r="B16" s="326"/>
      <c r="C16" s="327"/>
      <c r="D16" s="327"/>
      <c r="E16" s="328"/>
      <c r="F16" s="329"/>
      <c r="G16" s="951" t="s">
        <v>1007</v>
      </c>
      <c r="H16" s="925"/>
      <c r="I16" s="925"/>
      <c r="J16" s="288">
        <v>1625000</v>
      </c>
      <c r="K16" s="933"/>
      <c r="L16" s="924" t="s">
        <v>1164</v>
      </c>
      <c r="M16" s="925"/>
      <c r="N16" s="925"/>
      <c r="O16" s="925"/>
      <c r="P16" s="800">
        <v>147985</v>
      </c>
      <c r="Q16" s="1051"/>
      <c r="R16" s="921" t="s">
        <v>748</v>
      </c>
      <c r="S16" s="922"/>
      <c r="T16" s="922"/>
      <c r="U16" s="922"/>
      <c r="V16" s="330">
        <f>97000+2000</f>
        <v>99000</v>
      </c>
      <c r="W16" s="972"/>
      <c r="X16" s="310"/>
      <c r="Y16" s="311"/>
      <c r="Z16" s="301"/>
      <c r="AA16" s="312"/>
      <c r="AB16" s="313"/>
      <c r="AC16" s="314"/>
    </row>
    <row r="17" spans="1:29" s="269" customFormat="1" ht="12.75" customHeight="1">
      <c r="A17" s="325"/>
      <c r="B17" s="326"/>
      <c r="C17" s="327"/>
      <c r="D17" s="327"/>
      <c r="E17" s="328"/>
      <c r="F17" s="329"/>
      <c r="G17" s="951" t="s">
        <v>1121</v>
      </c>
      <c r="H17" s="925"/>
      <c r="I17" s="925"/>
      <c r="J17" s="288">
        <v>2720131</v>
      </c>
      <c r="K17" s="933"/>
      <c r="L17" s="924" t="s">
        <v>1165</v>
      </c>
      <c r="M17" s="925"/>
      <c r="N17" s="925"/>
      <c r="O17" s="925"/>
      <c r="P17" s="920">
        <v>445686</v>
      </c>
      <c r="Q17" s="1051"/>
      <c r="R17" s="921" t="s">
        <v>199</v>
      </c>
      <c r="S17" s="922"/>
      <c r="T17" s="922"/>
      <c r="U17" s="922"/>
      <c r="V17" s="330">
        <f>254000+369749</f>
        <v>623749</v>
      </c>
      <c r="W17" s="972"/>
      <c r="X17" s="310"/>
      <c r="Y17" s="311"/>
      <c r="Z17" s="301"/>
      <c r="AA17" s="312"/>
      <c r="AB17" s="313"/>
      <c r="AC17" s="314"/>
    </row>
    <row r="18" spans="1:29" s="269" customFormat="1" ht="12.75" customHeight="1">
      <c r="A18" s="325"/>
      <c r="B18" s="326"/>
      <c r="C18" s="327"/>
      <c r="D18" s="327"/>
      <c r="E18" s="328"/>
      <c r="F18" s="329"/>
      <c r="G18" s="792"/>
      <c r="H18" s="792"/>
      <c r="I18" s="792"/>
      <c r="J18" s="288"/>
      <c r="K18" s="933"/>
      <c r="L18" s="924"/>
      <c r="M18" s="925"/>
      <c r="N18" s="925"/>
      <c r="O18" s="925"/>
      <c r="P18" s="920"/>
      <c r="Q18" s="1051"/>
      <c r="R18" s="921" t="s">
        <v>1122</v>
      </c>
      <c r="S18" s="922"/>
      <c r="T18" s="922"/>
      <c r="U18" s="922"/>
      <c r="V18" s="330">
        <v>215000</v>
      </c>
      <c r="W18" s="972"/>
      <c r="X18" s="310"/>
      <c r="Y18" s="311"/>
      <c r="Z18" s="301"/>
      <c r="AA18" s="312"/>
      <c r="AB18" s="313"/>
      <c r="AC18" s="314"/>
    </row>
    <row r="19" spans="1:29" s="269" customFormat="1" ht="12.75" customHeight="1">
      <c r="A19" s="325"/>
      <c r="B19" s="326"/>
      <c r="C19" s="327"/>
      <c r="D19" s="327"/>
      <c r="E19" s="328"/>
      <c r="F19" s="329"/>
      <c r="G19" s="792"/>
      <c r="H19" s="792"/>
      <c r="I19" s="792"/>
      <c r="J19" s="288"/>
      <c r="K19" s="933"/>
      <c r="L19" s="291"/>
      <c r="M19" s="292"/>
      <c r="N19" s="292"/>
      <c r="O19" s="292"/>
      <c r="P19" s="318"/>
      <c r="Q19" s="1051"/>
      <c r="R19" s="1061" t="s">
        <v>1163</v>
      </c>
      <c r="S19" s="1062"/>
      <c r="T19" s="1062"/>
      <c r="U19" s="1062"/>
      <c r="V19" s="330">
        <v>2297317</v>
      </c>
      <c r="W19" s="972"/>
      <c r="X19" s="310"/>
      <c r="Y19" s="311"/>
      <c r="Z19" s="301"/>
      <c r="AA19" s="312"/>
      <c r="AB19" s="313"/>
      <c r="AC19" s="314"/>
    </row>
    <row r="20" spans="1:29" s="269" customFormat="1" ht="12.75" customHeight="1">
      <c r="A20" s="325"/>
      <c r="B20" s="326"/>
      <c r="C20" s="327"/>
      <c r="D20" s="327"/>
      <c r="E20" s="328"/>
      <c r="F20" s="329"/>
      <c r="J20" s="331"/>
      <c r="K20" s="933"/>
      <c r="L20" s="921"/>
      <c r="M20" s="922"/>
      <c r="N20" s="922"/>
      <c r="O20" s="922"/>
      <c r="P20" s="320"/>
      <c r="Q20" s="1051"/>
      <c r="R20" s="921" t="s">
        <v>802</v>
      </c>
      <c r="S20" s="922"/>
      <c r="T20" s="922"/>
      <c r="U20" s="922"/>
      <c r="V20" s="330">
        <v>28000</v>
      </c>
      <c r="W20" s="972"/>
      <c r="X20" s="310"/>
      <c r="Y20" s="311"/>
      <c r="Z20" s="301"/>
      <c r="AA20" s="312"/>
      <c r="AB20" s="313"/>
      <c r="AC20" s="314"/>
    </row>
    <row r="21" spans="1:29" s="269" customFormat="1" ht="12.75" customHeight="1">
      <c r="A21" s="325"/>
      <c r="B21" s="326"/>
      <c r="C21" s="327"/>
      <c r="D21" s="327"/>
      <c r="E21" s="328"/>
      <c r="F21" s="329"/>
      <c r="G21" s="930"/>
      <c r="H21" s="931"/>
      <c r="I21" s="931"/>
      <c r="J21" s="331"/>
      <c r="K21" s="933"/>
      <c r="L21" s="921"/>
      <c r="M21" s="922"/>
      <c r="N21" s="922"/>
      <c r="O21" s="922"/>
      <c r="P21" s="320"/>
      <c r="Q21" s="1051"/>
      <c r="R21" s="921" t="s">
        <v>741</v>
      </c>
      <c r="S21" s="922"/>
      <c r="T21" s="922"/>
      <c r="U21" s="922"/>
      <c r="V21" s="330">
        <v>63000</v>
      </c>
      <c r="W21" s="972"/>
      <c r="X21" s="310"/>
      <c r="Y21" s="311"/>
      <c r="Z21" s="301"/>
      <c r="AA21" s="312"/>
      <c r="AB21" s="313"/>
      <c r="AC21" s="314"/>
    </row>
    <row r="22" spans="1:29" s="269" customFormat="1" ht="26.25" customHeight="1">
      <c r="A22" s="325"/>
      <c r="B22" s="326"/>
      <c r="C22" s="327"/>
      <c r="D22" s="327"/>
      <c r="E22" s="328"/>
      <c r="F22" s="329"/>
      <c r="G22" s="332"/>
      <c r="H22" s="333"/>
      <c r="I22" s="333"/>
      <c r="J22" s="331"/>
      <c r="K22" s="933"/>
      <c r="L22" s="924"/>
      <c r="M22" s="925"/>
      <c r="N22" s="925"/>
      <c r="O22" s="925"/>
      <c r="P22" s="320"/>
      <c r="Q22" s="1051"/>
      <c r="R22" s="924" t="s">
        <v>1178</v>
      </c>
      <c r="S22" s="925"/>
      <c r="T22" s="925"/>
      <c r="U22" s="925"/>
      <c r="V22" s="318">
        <f>2710000+49000+37000+125781</f>
        <v>2921781</v>
      </c>
      <c r="W22" s="972"/>
      <c r="X22" s="310"/>
      <c r="Y22" s="311"/>
      <c r="Z22" s="301"/>
      <c r="AA22" s="312"/>
      <c r="AB22" s="313"/>
      <c r="AC22" s="314"/>
    </row>
    <row r="23" spans="1:29" s="269" customFormat="1" ht="14.25" customHeight="1" thickBot="1">
      <c r="A23" s="325"/>
      <c r="B23" s="326"/>
      <c r="C23" s="327"/>
      <c r="D23" s="327"/>
      <c r="E23" s="328"/>
      <c r="F23" s="329"/>
      <c r="G23" s="332"/>
      <c r="H23" s="333"/>
      <c r="I23" s="333"/>
      <c r="J23" s="331"/>
      <c r="K23" s="933"/>
      <c r="L23" s="970"/>
      <c r="M23" s="964"/>
      <c r="N23" s="964"/>
      <c r="O23" s="964"/>
      <c r="P23" s="320"/>
      <c r="Q23" s="1052"/>
      <c r="R23" s="924" t="s">
        <v>1004</v>
      </c>
      <c r="S23" s="925"/>
      <c r="T23" s="925"/>
      <c r="U23" s="925"/>
      <c r="V23" s="318">
        <f>470000+92780048+3902804</f>
        <v>97152852</v>
      </c>
      <c r="W23" s="972"/>
      <c r="X23" s="310"/>
      <c r="Y23" s="311"/>
      <c r="Z23" s="301"/>
      <c r="AA23" s="312"/>
      <c r="AB23" s="313"/>
      <c r="AC23" s="314"/>
    </row>
    <row r="24" spans="1:29" s="269" customFormat="1" ht="12.75" customHeight="1">
      <c r="A24" s="325"/>
      <c r="B24" s="326"/>
      <c r="C24" s="327"/>
      <c r="D24" s="327"/>
      <c r="E24" s="328" t="s">
        <v>200</v>
      </c>
      <c r="F24" s="329"/>
      <c r="G24" s="1033" t="s">
        <v>1124</v>
      </c>
      <c r="H24" s="1026"/>
      <c r="I24" s="1026"/>
      <c r="J24" s="336">
        <v>11772070</v>
      </c>
      <c r="K24" s="932">
        <f>SUM(J24:J26)</f>
        <v>11886070</v>
      </c>
      <c r="L24" s="949" t="s">
        <v>1009</v>
      </c>
      <c r="M24" s="950"/>
      <c r="N24" s="950"/>
      <c r="O24" s="950"/>
      <c r="P24" s="336">
        <v>2000000</v>
      </c>
      <c r="Q24" s="932">
        <f>SUM(P24:P26)</f>
        <v>142092489</v>
      </c>
      <c r="R24" s="949" t="s">
        <v>201</v>
      </c>
      <c r="S24" s="950"/>
      <c r="T24" s="950"/>
      <c r="U24" s="950"/>
      <c r="V24" s="337">
        <f>129510000-48820000-9000000</f>
        <v>71690000</v>
      </c>
      <c r="W24" s="971">
        <f>SUM(V24:V26)</f>
        <v>83633000</v>
      </c>
      <c r="X24" s="310"/>
      <c r="Y24" s="311"/>
      <c r="Z24" s="301"/>
      <c r="AA24" s="312"/>
      <c r="AB24" s="313"/>
      <c r="AC24" s="314"/>
    </row>
    <row r="25" spans="1:29" s="269" customFormat="1" ht="12.75" customHeight="1">
      <c r="A25" s="325"/>
      <c r="B25" s="326"/>
      <c r="C25" s="327"/>
      <c r="D25" s="327"/>
      <c r="E25" s="328"/>
      <c r="F25" s="329"/>
      <c r="G25" s="799"/>
      <c r="H25" s="792"/>
      <c r="I25" s="792"/>
      <c r="J25" s="320"/>
      <c r="K25" s="933"/>
      <c r="L25" s="921" t="s">
        <v>1166</v>
      </c>
      <c r="M25" s="922"/>
      <c r="N25" s="922"/>
      <c r="O25" s="922"/>
      <c r="P25" s="320">
        <v>2603500</v>
      </c>
      <c r="Q25" s="1059"/>
      <c r="R25" s="291"/>
      <c r="S25" s="292"/>
      <c r="T25" s="292"/>
      <c r="U25" s="292"/>
      <c r="V25" s="318"/>
      <c r="W25" s="1055"/>
      <c r="X25" s="310"/>
      <c r="Y25" s="311"/>
      <c r="Z25" s="301"/>
      <c r="AA25" s="312"/>
      <c r="AB25" s="313"/>
      <c r="AC25" s="314"/>
    </row>
    <row r="26" spans="1:29" s="269" customFormat="1" ht="12.75" customHeight="1" thickBot="1">
      <c r="A26" s="325"/>
      <c r="B26" s="326"/>
      <c r="C26" s="327"/>
      <c r="D26" s="327"/>
      <c r="E26" s="328"/>
      <c r="F26" s="329"/>
      <c r="G26" s="1056" t="s">
        <v>1162</v>
      </c>
      <c r="H26" s="1057"/>
      <c r="I26" s="1057"/>
      <c r="J26" s="802">
        <v>114000</v>
      </c>
      <c r="K26" s="933"/>
      <c r="L26" s="921" t="s">
        <v>952</v>
      </c>
      <c r="M26" s="922"/>
      <c r="N26" s="922"/>
      <c r="O26" s="922"/>
      <c r="P26" s="320">
        <f>131327000+6161989</f>
        <v>137488989</v>
      </c>
      <c r="Q26" s="1059"/>
      <c r="R26" s="924" t="s">
        <v>1005</v>
      </c>
      <c r="S26" s="925"/>
      <c r="T26" s="925"/>
      <c r="U26" s="925"/>
      <c r="V26" s="318">
        <f>7683000+4260000</f>
        <v>11943000</v>
      </c>
      <c r="W26" s="1055"/>
      <c r="X26" s="310"/>
      <c r="Y26" s="311"/>
      <c r="Z26" s="301"/>
      <c r="AA26" s="312"/>
      <c r="AB26" s="313"/>
      <c r="AC26" s="314"/>
    </row>
    <row r="27" spans="1:29" s="269" customFormat="1" ht="13.5" customHeight="1" thickTop="1">
      <c r="A27" s="338"/>
      <c r="B27" s="338"/>
      <c r="C27" s="339"/>
      <c r="D27" s="339"/>
      <c r="E27" s="340"/>
      <c r="F27" s="341"/>
      <c r="G27" s="342"/>
      <c r="H27" s="343"/>
      <c r="I27" s="343"/>
      <c r="J27" s="340"/>
      <c r="K27" s="344"/>
      <c r="L27" s="1034" t="s">
        <v>743</v>
      </c>
      <c r="M27" s="1035"/>
      <c r="N27" s="1035"/>
      <c r="O27" s="1035"/>
      <c r="P27" s="346">
        <v>29505000</v>
      </c>
      <c r="Q27" s="947">
        <f>SUM(P27:P28)</f>
        <v>35259000</v>
      </c>
      <c r="R27" s="952" t="s">
        <v>815</v>
      </c>
      <c r="S27" s="953"/>
      <c r="T27" s="953"/>
      <c r="U27" s="953"/>
      <c r="V27" s="347">
        <v>349000</v>
      </c>
      <c r="W27" s="935">
        <f>SUM(V27:V28)</f>
        <v>349000</v>
      </c>
      <c r="X27" s="348"/>
      <c r="Y27" s="349"/>
      <c r="Z27" s="350"/>
      <c r="AA27" s="351"/>
      <c r="AB27" s="352"/>
      <c r="AC27" s="353"/>
    </row>
    <row r="28" spans="1:29" ht="19.5" customHeight="1" thickBot="1">
      <c r="A28" s="354"/>
      <c r="B28" s="1029" t="s">
        <v>202</v>
      </c>
      <c r="C28" s="1030"/>
      <c r="D28" s="355">
        <v>42015733</v>
      </c>
      <c r="E28" s="356">
        <v>1176000</v>
      </c>
      <c r="F28" s="357">
        <f>SUM(D28:E28)</f>
        <v>43191733</v>
      </c>
      <c r="G28" s="928"/>
      <c r="H28" s="929"/>
      <c r="I28" s="929"/>
      <c r="J28" s="358"/>
      <c r="K28" s="359">
        <f>SUM(J28)</f>
        <v>0</v>
      </c>
      <c r="L28" s="1053" t="s">
        <v>951</v>
      </c>
      <c r="M28" s="1054"/>
      <c r="N28" s="1054"/>
      <c r="O28" s="1054"/>
      <c r="P28" s="360">
        <v>5754000</v>
      </c>
      <c r="Q28" s="948"/>
      <c r="R28" s="1053"/>
      <c r="S28" s="1054"/>
      <c r="T28" s="1054"/>
      <c r="U28" s="1054"/>
      <c r="V28" s="361"/>
      <c r="W28" s="936"/>
      <c r="X28" s="363">
        <f>SUM(W27,Q27,K28)</f>
        <v>35608000</v>
      </c>
      <c r="Y28" s="364">
        <v>0</v>
      </c>
      <c r="Z28" s="365">
        <f>SUM(X28:Y28)</f>
        <v>35608000</v>
      </c>
      <c r="AA28" s="363">
        <f>X28-D28</f>
        <v>-6407733</v>
      </c>
      <c r="AB28" s="364">
        <f>Y28-E28</f>
        <v>-1176000</v>
      </c>
      <c r="AC28" s="366">
        <f>SUM(AA28:AB28)</f>
        <v>-7583733</v>
      </c>
    </row>
    <row r="29" spans="1:29" ht="14.25" customHeight="1" thickTop="1">
      <c r="A29" s="367"/>
      <c r="B29" s="328"/>
      <c r="C29" s="368"/>
      <c r="D29" s="369"/>
      <c r="E29" s="369"/>
      <c r="F29" s="329"/>
      <c r="G29" s="332"/>
      <c r="H29" s="333"/>
      <c r="I29" s="333"/>
      <c r="J29" s="370"/>
      <c r="K29" s="947">
        <f>SUM(J29:J32)</f>
        <v>0</v>
      </c>
      <c r="L29" s="921" t="s">
        <v>1010</v>
      </c>
      <c r="M29" s="922"/>
      <c r="N29" s="922"/>
      <c r="O29" s="922"/>
      <c r="P29" s="288">
        <v>7100000</v>
      </c>
      <c r="Q29" s="947">
        <f>SUM(P29:P32)</f>
        <v>10763000</v>
      </c>
      <c r="R29" s="924" t="s">
        <v>803</v>
      </c>
      <c r="S29" s="925"/>
      <c r="T29" s="925"/>
      <c r="U29" s="925"/>
      <c r="V29" s="318">
        <f>7200000-3878804</f>
        <v>3321196</v>
      </c>
      <c r="W29" s="1058">
        <f>SUM(V29:V32)</f>
        <v>11100196</v>
      </c>
      <c r="X29" s="371"/>
      <c r="Y29" s="372"/>
      <c r="Z29" s="373"/>
      <c r="AA29" s="371"/>
      <c r="AB29" s="372"/>
      <c r="AC29" s="341"/>
    </row>
    <row r="30" spans="1:29" ht="14.25" customHeight="1">
      <c r="A30" s="367"/>
      <c r="B30" s="328"/>
      <c r="C30" s="368"/>
      <c r="D30" s="369"/>
      <c r="E30" s="328"/>
      <c r="F30" s="329"/>
      <c r="G30" s="332"/>
      <c r="H30" s="333"/>
      <c r="I30" s="333"/>
      <c r="J30" s="370"/>
      <c r="K30" s="933"/>
      <c r="L30" s="921" t="s">
        <v>1123</v>
      </c>
      <c r="M30" s="922"/>
      <c r="N30" s="922"/>
      <c r="O30" s="922"/>
      <c r="P30" s="288">
        <v>1500000</v>
      </c>
      <c r="Q30" s="933"/>
      <c r="R30" s="791"/>
      <c r="S30" s="792"/>
      <c r="T30" s="792"/>
      <c r="U30" s="792"/>
      <c r="V30" s="318"/>
      <c r="W30" s="1059"/>
      <c r="X30" s="793"/>
      <c r="Y30" s="369"/>
      <c r="Z30" s="328"/>
      <c r="AA30" s="404"/>
      <c r="AB30" s="369"/>
      <c r="AC30" s="329"/>
    </row>
    <row r="31" spans="1:29" ht="14.25" customHeight="1">
      <c r="A31" s="367"/>
      <c r="B31" s="328"/>
      <c r="C31" s="368"/>
      <c r="D31" s="369"/>
      <c r="E31" s="328"/>
      <c r="F31" s="329"/>
      <c r="G31" s="332"/>
      <c r="H31" s="333"/>
      <c r="I31" s="333"/>
      <c r="J31" s="370"/>
      <c r="K31" s="933"/>
      <c r="L31" s="921" t="s">
        <v>1126</v>
      </c>
      <c r="M31" s="922"/>
      <c r="N31" s="922"/>
      <c r="O31" s="922"/>
      <c r="P31" s="288">
        <v>1000000</v>
      </c>
      <c r="Q31" s="933"/>
      <c r="R31" s="791"/>
      <c r="S31" s="792"/>
      <c r="T31" s="792"/>
      <c r="U31" s="792"/>
      <c r="V31" s="318"/>
      <c r="W31" s="1059"/>
      <c r="X31" s="793"/>
      <c r="Y31" s="369"/>
      <c r="Z31" s="328"/>
      <c r="AA31" s="404"/>
      <c r="AB31" s="369"/>
      <c r="AC31" s="329"/>
    </row>
    <row r="32" spans="1:29" ht="13.5" customHeight="1" thickBot="1">
      <c r="A32" s="985" t="s">
        <v>688</v>
      </c>
      <c r="B32" s="986"/>
      <c r="C32" s="987"/>
      <c r="D32" s="374">
        <v>71989000</v>
      </c>
      <c r="E32" s="308">
        <v>25750314</v>
      </c>
      <c r="F32" s="309">
        <f>SUM(D32:E32)</f>
        <v>97739314</v>
      </c>
      <c r="G32" s="375"/>
      <c r="H32" s="292"/>
      <c r="I32" s="292"/>
      <c r="J32" s="320"/>
      <c r="K32" s="934"/>
      <c r="L32" s="921" t="s">
        <v>1120</v>
      </c>
      <c r="M32" s="922"/>
      <c r="N32" s="922"/>
      <c r="O32" s="922"/>
      <c r="P32" s="288">
        <v>1163000</v>
      </c>
      <c r="Q32" s="933"/>
      <c r="R32" s="924" t="s">
        <v>1125</v>
      </c>
      <c r="S32" s="925"/>
      <c r="T32" s="925"/>
      <c r="U32" s="925"/>
      <c r="V32" s="376">
        <f>6000000+1500000+279000</f>
        <v>7779000</v>
      </c>
      <c r="W32" s="1060"/>
      <c r="X32" s="377">
        <f>SUM(W29,Q29,K29)</f>
        <v>21863196</v>
      </c>
      <c r="Y32" s="322">
        <f>SUM(Q33,W33,K33)</f>
        <v>3000000</v>
      </c>
      <c r="Z32" s="323">
        <f>SUM(X32:Y32)</f>
        <v>24863196</v>
      </c>
      <c r="AA32" s="321">
        <f>X32-D32</f>
        <v>-50125804</v>
      </c>
      <c r="AB32" s="322">
        <f>Y32-E32</f>
        <v>-22750314</v>
      </c>
      <c r="AC32" s="324">
        <f>SUM(AA32:AB32)</f>
        <v>-72876118</v>
      </c>
    </row>
    <row r="33" spans="1:29" ht="27" customHeight="1" thickBot="1">
      <c r="A33" s="985"/>
      <c r="B33" s="986"/>
      <c r="C33" s="987"/>
      <c r="D33" s="374"/>
      <c r="E33" s="308"/>
      <c r="F33" s="309"/>
      <c r="G33" s="334"/>
      <c r="H33" s="335"/>
      <c r="I33" s="335"/>
      <c r="J33" s="378"/>
      <c r="K33" s="289">
        <f>SUM(J33:J33)</f>
        <v>0</v>
      </c>
      <c r="L33" s="1031" t="s">
        <v>959</v>
      </c>
      <c r="M33" s="1032"/>
      <c r="N33" s="1032"/>
      <c r="O33" s="1032"/>
      <c r="P33" s="379">
        <v>3000000</v>
      </c>
      <c r="Q33" s="380">
        <f>SUM(P33:P33)</f>
        <v>3000000</v>
      </c>
      <c r="R33" s="1031"/>
      <c r="S33" s="1032"/>
      <c r="T33" s="1032"/>
      <c r="U33" s="1032"/>
      <c r="V33" s="318"/>
      <c r="W33" s="289">
        <f>SUM(V33:V33)</f>
        <v>0</v>
      </c>
      <c r="X33" s="381"/>
      <c r="Y33" s="382"/>
      <c r="Z33" s="323"/>
      <c r="AA33" s="321"/>
      <c r="AB33" s="322"/>
      <c r="AC33" s="314"/>
    </row>
    <row r="34" spans="1:29" ht="25.5" customHeight="1" thickBot="1">
      <c r="A34" s="1012" t="s">
        <v>203</v>
      </c>
      <c r="B34" s="1013"/>
      <c r="C34" s="1014"/>
      <c r="D34" s="383">
        <f>SUM(D8:D33)</f>
        <v>712067343</v>
      </c>
      <c r="E34" s="384">
        <f>SUM(E7:E33)</f>
        <v>181150883</v>
      </c>
      <c r="F34" s="385">
        <f>SUM(F7:F33)</f>
        <v>893218226</v>
      </c>
      <c r="G34" s="386"/>
      <c r="H34" s="977" t="s">
        <v>204</v>
      </c>
      <c r="I34" s="978"/>
      <c r="J34" s="979"/>
      <c r="K34" s="387">
        <f>SUM(K7:K33)</f>
        <v>224191989</v>
      </c>
      <c r="L34" s="388"/>
      <c r="M34" s="980" t="s">
        <v>205</v>
      </c>
      <c r="N34" s="980"/>
      <c r="O34" s="980"/>
      <c r="P34" s="981"/>
      <c r="Q34" s="387">
        <f>SUM(Q7:Q33)</f>
        <v>244480960</v>
      </c>
      <c r="R34" s="388"/>
      <c r="S34" s="980" t="s">
        <v>206</v>
      </c>
      <c r="T34" s="980"/>
      <c r="U34" s="980"/>
      <c r="V34" s="981"/>
      <c r="W34" s="387">
        <f>SUM(W7:W33)</f>
        <v>493256751</v>
      </c>
      <c r="X34" s="389">
        <f>SUM(X7:X33)</f>
        <v>721318141</v>
      </c>
      <c r="Y34" s="390">
        <f>SUM(Y7:Y33)</f>
        <v>240611559</v>
      </c>
      <c r="Z34" s="391">
        <f>SUM(X34:Y34)</f>
        <v>961929700</v>
      </c>
      <c r="AA34" s="392">
        <f>SUM(AA10:AA33)</f>
        <v>9250798</v>
      </c>
      <c r="AB34" s="393">
        <f>SUM(AB9:AB33)</f>
        <v>59460676</v>
      </c>
      <c r="AC34" s="394">
        <f>SUM(AA34:AB34)</f>
        <v>68711474</v>
      </c>
    </row>
    <row r="35" spans="1:29" ht="27.75" customHeight="1" thickBot="1" thickTop="1">
      <c r="A35" s="998" t="s">
        <v>207</v>
      </c>
      <c r="B35" s="1017"/>
      <c r="C35" s="1018"/>
      <c r="D35" s="1002" t="s">
        <v>538</v>
      </c>
      <c r="E35" s="1003"/>
      <c r="F35" s="1004"/>
      <c r="G35" s="1005" t="s">
        <v>728</v>
      </c>
      <c r="H35" s="1017"/>
      <c r="I35" s="1017"/>
      <c r="J35" s="1017"/>
      <c r="K35" s="1022"/>
      <c r="L35" s="941" t="s">
        <v>729</v>
      </c>
      <c r="M35" s="1017"/>
      <c r="N35" s="1017"/>
      <c r="O35" s="1017"/>
      <c r="P35" s="1017"/>
      <c r="Q35" s="1022"/>
      <c r="R35" s="941" t="s">
        <v>730</v>
      </c>
      <c r="S35" s="1017"/>
      <c r="T35" s="1017"/>
      <c r="U35" s="1017"/>
      <c r="V35" s="1017"/>
      <c r="W35" s="1037"/>
      <c r="X35" s="994" t="s">
        <v>731</v>
      </c>
      <c r="Y35" s="995"/>
      <c r="Z35" s="1039"/>
      <c r="AA35" s="1036" t="s">
        <v>195</v>
      </c>
      <c r="AB35" s="989"/>
      <c r="AC35" s="990"/>
    </row>
    <row r="36" spans="1:223" s="399" customFormat="1" ht="18.75" customHeight="1" thickBot="1" thickTop="1">
      <c r="A36" s="1019"/>
      <c r="B36" s="1020"/>
      <c r="C36" s="1021"/>
      <c r="D36" s="274" t="s">
        <v>196</v>
      </c>
      <c r="E36" s="275" t="s">
        <v>186</v>
      </c>
      <c r="F36" s="276" t="s">
        <v>197</v>
      </c>
      <c r="G36" s="1019"/>
      <c r="H36" s="1020"/>
      <c r="I36" s="1020"/>
      <c r="J36" s="1023"/>
      <c r="K36" s="1024"/>
      <c r="L36" s="1027"/>
      <c r="M36" s="1020"/>
      <c r="N36" s="1020"/>
      <c r="O36" s="1020"/>
      <c r="P36" s="1020"/>
      <c r="Q36" s="1024"/>
      <c r="R36" s="1027"/>
      <c r="S36" s="1020"/>
      <c r="T36" s="1020"/>
      <c r="U36" s="1020"/>
      <c r="V36" s="1020"/>
      <c r="W36" s="1038"/>
      <c r="X36" s="395" t="s">
        <v>196</v>
      </c>
      <c r="Y36" s="396" t="s">
        <v>186</v>
      </c>
      <c r="Z36" s="397" t="s">
        <v>197</v>
      </c>
      <c r="AA36" s="398" t="s">
        <v>196</v>
      </c>
      <c r="AB36" s="281" t="s">
        <v>186</v>
      </c>
      <c r="AC36" s="282" t="s">
        <v>197</v>
      </c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</row>
    <row r="37" spans="1:29" ht="12.75" customHeight="1">
      <c r="A37" s="283"/>
      <c r="B37" s="328"/>
      <c r="C37" s="328"/>
      <c r="D37" s="369"/>
      <c r="E37" s="328"/>
      <c r="F37" s="287"/>
      <c r="G37" s="965" t="s">
        <v>662</v>
      </c>
      <c r="H37" s="950"/>
      <c r="I37" s="950"/>
      <c r="J37" s="400">
        <f>122149000-400</f>
        <v>122148600</v>
      </c>
      <c r="K37" s="1028">
        <f>SUM(J37:J43)</f>
        <v>123305540</v>
      </c>
      <c r="L37" s="1025" t="s">
        <v>225</v>
      </c>
      <c r="M37" s="1026"/>
      <c r="N37" s="1026"/>
      <c r="O37" s="1026"/>
      <c r="P37" s="1011">
        <v>12000000</v>
      </c>
      <c r="Q37" s="932">
        <f>SUM(P37:P43)</f>
        <v>13539940</v>
      </c>
      <c r="R37" s="921" t="s">
        <v>744</v>
      </c>
      <c r="S37" s="922"/>
      <c r="T37" s="922"/>
      <c r="U37" s="922"/>
      <c r="V37" s="288">
        <v>10000</v>
      </c>
      <c r="W37" s="971">
        <f>SUM(V37:V43)</f>
        <v>9760756</v>
      </c>
      <c r="X37" s="401"/>
      <c r="Y37" s="402"/>
      <c r="Z37" s="403"/>
      <c r="AA37" s="283"/>
      <c r="AB37" s="302"/>
      <c r="AC37" s="303"/>
    </row>
    <row r="38" spans="1:29" ht="12.75" customHeight="1">
      <c r="A38" s="404"/>
      <c r="B38" s="326"/>
      <c r="C38" s="326"/>
      <c r="D38" s="405"/>
      <c r="E38" s="328"/>
      <c r="F38" s="329"/>
      <c r="G38" s="292" t="s">
        <v>745</v>
      </c>
      <c r="H38" s="292"/>
      <c r="I38" s="292"/>
      <c r="J38" s="406">
        <v>47700</v>
      </c>
      <c r="K38" s="933"/>
      <c r="L38" s="924"/>
      <c r="M38" s="925"/>
      <c r="N38" s="925"/>
      <c r="O38" s="925"/>
      <c r="P38" s="920"/>
      <c r="Q38" s="933"/>
      <c r="R38" s="921" t="s">
        <v>1011</v>
      </c>
      <c r="S38" s="922"/>
      <c r="T38" s="922"/>
      <c r="U38" s="922"/>
      <c r="V38" s="288">
        <v>982756</v>
      </c>
      <c r="W38" s="972"/>
      <c r="X38" s="407"/>
      <c r="Y38" s="311"/>
      <c r="Z38" s="301"/>
      <c r="AA38" s="312"/>
      <c r="AB38" s="313"/>
      <c r="AC38" s="314"/>
    </row>
    <row r="39" spans="1:29" ht="12.75" customHeight="1">
      <c r="A39" s="404"/>
      <c r="B39" s="986" t="s">
        <v>687</v>
      </c>
      <c r="C39" s="987"/>
      <c r="D39" s="374">
        <f>130234936-222000-60000+114000</f>
        <v>130066936</v>
      </c>
      <c r="E39" s="308">
        <v>1279000</v>
      </c>
      <c r="F39" s="309">
        <f>SUM(D39:E39)</f>
        <v>131345936</v>
      </c>
      <c r="G39" s="951" t="s">
        <v>1006</v>
      </c>
      <c r="H39" s="925"/>
      <c r="I39" s="925"/>
      <c r="J39" s="288">
        <v>142240</v>
      </c>
      <c r="K39" s="933"/>
      <c r="L39" s="924" t="s">
        <v>224</v>
      </c>
      <c r="M39" s="925"/>
      <c r="N39" s="925"/>
      <c r="O39" s="925"/>
      <c r="P39" s="920">
        <v>276000</v>
      </c>
      <c r="Q39" s="933"/>
      <c r="R39" s="921" t="s">
        <v>746</v>
      </c>
      <c r="S39" s="922"/>
      <c r="T39" s="922"/>
      <c r="U39" s="922"/>
      <c r="V39" s="408">
        <f>150000+114000</f>
        <v>264000</v>
      </c>
      <c r="W39" s="972"/>
      <c r="X39" s="407">
        <f>SUM(W37,Q37,K37)</f>
        <v>146606236</v>
      </c>
      <c r="Y39" s="311">
        <v>0</v>
      </c>
      <c r="Z39" s="323">
        <f>SUM(Y39,X39)</f>
        <v>146606236</v>
      </c>
      <c r="AA39" s="321">
        <f>X39-D39</f>
        <v>16539300</v>
      </c>
      <c r="AB39" s="322">
        <f>Y39-E39</f>
        <v>-1279000</v>
      </c>
      <c r="AC39" s="314">
        <f>SUM(AA39:AB39)</f>
        <v>15260300</v>
      </c>
    </row>
    <row r="40" spans="1:29" ht="20.25" customHeight="1">
      <c r="A40" s="404"/>
      <c r="B40" s="326"/>
      <c r="C40" s="326"/>
      <c r="D40" s="409"/>
      <c r="E40" s="410"/>
      <c r="F40" s="411"/>
      <c r="G40" s="951" t="s">
        <v>1007</v>
      </c>
      <c r="H40" s="925"/>
      <c r="I40" s="925"/>
      <c r="J40" s="288">
        <v>967000</v>
      </c>
      <c r="K40" s="933"/>
      <c r="L40" s="924"/>
      <c r="M40" s="925"/>
      <c r="N40" s="925"/>
      <c r="O40" s="925"/>
      <c r="P40" s="920"/>
      <c r="Q40" s="933"/>
      <c r="R40" s="921" t="s">
        <v>747</v>
      </c>
      <c r="S40" s="922"/>
      <c r="T40" s="922"/>
      <c r="U40" s="922"/>
      <c r="V40" s="288">
        <v>6697000</v>
      </c>
      <c r="W40" s="972"/>
      <c r="X40" s="407"/>
      <c r="Y40" s="311"/>
      <c r="Z40" s="301"/>
      <c r="AA40" s="312"/>
      <c r="AB40" s="313"/>
      <c r="AC40" s="314"/>
    </row>
    <row r="41" spans="1:29" ht="15.75" customHeight="1">
      <c r="A41" s="404"/>
      <c r="B41" s="326"/>
      <c r="C41" s="326"/>
      <c r="D41" s="409"/>
      <c r="E41" s="410"/>
      <c r="F41" s="411"/>
      <c r="G41" s="792"/>
      <c r="H41" s="792"/>
      <c r="I41" s="792"/>
      <c r="J41" s="288"/>
      <c r="K41" s="933"/>
      <c r="L41" s="791"/>
      <c r="M41" s="792"/>
      <c r="N41" s="792"/>
      <c r="O41" s="792"/>
      <c r="P41" s="800"/>
      <c r="Q41" s="933"/>
      <c r="R41" s="921" t="s">
        <v>1167</v>
      </c>
      <c r="S41" s="922"/>
      <c r="T41" s="922"/>
      <c r="U41" s="922"/>
      <c r="V41" s="288">
        <v>402000</v>
      </c>
      <c r="W41" s="972"/>
      <c r="X41" s="407"/>
      <c r="Y41" s="311"/>
      <c r="Z41" s="301"/>
      <c r="AA41" s="312"/>
      <c r="AB41" s="313"/>
      <c r="AC41" s="314"/>
    </row>
    <row r="42" spans="1:29" ht="14.25" customHeight="1">
      <c r="A42" s="404"/>
      <c r="B42" s="326"/>
      <c r="C42" s="326"/>
      <c r="D42" s="409"/>
      <c r="E42" s="410"/>
      <c r="F42" s="411"/>
      <c r="G42" s="922"/>
      <c r="H42" s="922"/>
      <c r="I42" s="922"/>
      <c r="J42" s="412"/>
      <c r="K42" s="933"/>
      <c r="L42" s="924" t="s">
        <v>1134</v>
      </c>
      <c r="M42" s="925"/>
      <c r="N42" s="925"/>
      <c r="O42" s="925"/>
      <c r="P42" s="926">
        <v>1263940</v>
      </c>
      <c r="Q42" s="933"/>
      <c r="R42" s="921" t="s">
        <v>226</v>
      </c>
      <c r="S42" s="922"/>
      <c r="T42" s="922"/>
      <c r="U42" s="922"/>
      <c r="V42" s="288">
        <f>1684000-282000</f>
        <v>1402000</v>
      </c>
      <c r="W42" s="972"/>
      <c r="X42" s="407"/>
      <c r="Y42" s="311"/>
      <c r="Z42" s="301"/>
      <c r="AA42" s="312"/>
      <c r="AB42" s="313"/>
      <c r="AC42" s="314"/>
    </row>
    <row r="43" spans="1:29" ht="12.75" customHeight="1" thickBot="1">
      <c r="A43" s="404"/>
      <c r="B43" s="326"/>
      <c r="C43" s="326"/>
      <c r="D43" s="409"/>
      <c r="E43" s="410"/>
      <c r="F43" s="411"/>
      <c r="K43" s="933"/>
      <c r="L43" s="970"/>
      <c r="M43" s="964"/>
      <c r="N43" s="964"/>
      <c r="O43" s="964"/>
      <c r="P43" s="927"/>
      <c r="Q43" s="933"/>
      <c r="R43" s="921" t="s">
        <v>748</v>
      </c>
      <c r="S43" s="922"/>
      <c r="T43" s="922"/>
      <c r="U43" s="922"/>
      <c r="V43" s="330">
        <v>3000</v>
      </c>
      <c r="W43" s="972"/>
      <c r="X43" s="407"/>
      <c r="Y43" s="311"/>
      <c r="Z43" s="301"/>
      <c r="AA43" s="312"/>
      <c r="AB43" s="313"/>
      <c r="AC43" s="314"/>
    </row>
    <row r="44" spans="1:29" ht="16.5" thickBot="1">
      <c r="A44" s="413"/>
      <c r="B44" s="1015" t="s">
        <v>742</v>
      </c>
      <c r="C44" s="1016"/>
      <c r="D44" s="414">
        <v>0</v>
      </c>
      <c r="E44" s="415">
        <v>0</v>
      </c>
      <c r="F44" s="416">
        <f>SUM(D44:E44)</f>
        <v>0</v>
      </c>
      <c r="G44" s="923" t="s">
        <v>749</v>
      </c>
      <c r="H44" s="923"/>
      <c r="I44" s="923"/>
      <c r="J44" s="417">
        <v>3750</v>
      </c>
      <c r="K44" s="418">
        <f>SUM(J44)</f>
        <v>3750</v>
      </c>
      <c r="L44" s="419"/>
      <c r="M44" s="420"/>
      <c r="N44" s="420"/>
      <c r="O44" s="420"/>
      <c r="P44" s="421"/>
      <c r="Q44" s="418">
        <v>0</v>
      </c>
      <c r="R44" s="420"/>
      <c r="S44" s="420"/>
      <c r="T44" s="420"/>
      <c r="U44" s="420"/>
      <c r="V44" s="422"/>
      <c r="W44" s="423">
        <v>0</v>
      </c>
      <c r="X44" s="424">
        <f>SUM(W44,Q44,K44)</f>
        <v>3750</v>
      </c>
      <c r="Y44" s="425">
        <v>0</v>
      </c>
      <c r="Z44" s="426">
        <f>SUM(X44:Y44)</f>
        <v>3750</v>
      </c>
      <c r="AA44" s="427">
        <f>X44-D44</f>
        <v>3750</v>
      </c>
      <c r="AB44" s="428">
        <v>0</v>
      </c>
      <c r="AC44" s="429">
        <v>0</v>
      </c>
    </row>
    <row r="45" spans="1:29" ht="16.5" thickBot="1">
      <c r="A45" s="1012" t="s">
        <v>208</v>
      </c>
      <c r="B45" s="1013"/>
      <c r="C45" s="1014"/>
      <c r="D45" s="383">
        <f>SUM(D37:D44)</f>
        <v>130066936</v>
      </c>
      <c r="E45" s="384">
        <f>SUM(E37:E44)</f>
        <v>1279000</v>
      </c>
      <c r="F45" s="385">
        <f>SUM(F37:F44)</f>
        <v>131345936</v>
      </c>
      <c r="G45" s="430"/>
      <c r="H45" s="977" t="s">
        <v>204</v>
      </c>
      <c r="I45" s="978"/>
      <c r="J45" s="979"/>
      <c r="K45" s="431">
        <f>SUM(K37:K44)</f>
        <v>123309290</v>
      </c>
      <c r="L45" s="432"/>
      <c r="M45" s="939" t="s">
        <v>205</v>
      </c>
      <c r="N45" s="939"/>
      <c r="O45" s="939"/>
      <c r="P45" s="940"/>
      <c r="Q45" s="431">
        <f>SUM(Q37:Q44)</f>
        <v>13539940</v>
      </c>
      <c r="R45" s="386"/>
      <c r="S45" s="939" t="s">
        <v>206</v>
      </c>
      <c r="T45" s="939"/>
      <c r="U45" s="939"/>
      <c r="V45" s="940"/>
      <c r="W45" s="433">
        <f>SUM(W37:W44)</f>
        <v>9760756</v>
      </c>
      <c r="X45" s="434">
        <f>SUM(X37:X44)</f>
        <v>146609986</v>
      </c>
      <c r="Y45" s="435">
        <v>0</v>
      </c>
      <c r="Z45" s="436">
        <f>SUM(X45:Y45)</f>
        <v>146609986</v>
      </c>
      <c r="AA45" s="437">
        <f>X45-D45</f>
        <v>16543050</v>
      </c>
      <c r="AB45" s="438">
        <f>Y45-E45</f>
        <v>-1279000</v>
      </c>
      <c r="AC45" s="439">
        <f>SUM(AA45:AB45)</f>
        <v>15264050</v>
      </c>
    </row>
    <row r="46" spans="1:29" ht="17.25" thickBot="1" thickTop="1">
      <c r="A46" s="440"/>
      <c r="B46" s="441"/>
      <c r="C46" s="441"/>
      <c r="D46" s="442"/>
      <c r="E46" s="443"/>
      <c r="F46" s="444"/>
      <c r="G46" s="443"/>
      <c r="H46" s="443"/>
      <c r="I46" s="445"/>
      <c r="J46" s="445"/>
      <c r="K46" s="446"/>
      <c r="L46" s="447"/>
      <c r="M46" s="443"/>
      <c r="N46" s="443"/>
      <c r="O46" s="443"/>
      <c r="P46" s="443"/>
      <c r="Q46" s="446"/>
      <c r="R46" s="443"/>
      <c r="S46" s="443"/>
      <c r="T46" s="443"/>
      <c r="U46" s="443"/>
      <c r="V46" s="443"/>
      <c r="W46" s="362"/>
      <c r="X46" s="448"/>
      <c r="Y46" s="449"/>
      <c r="Z46" s="450"/>
      <c r="AA46" s="440"/>
      <c r="AB46" s="451"/>
      <c r="AC46" s="452"/>
    </row>
    <row r="47" spans="1:29" ht="14.25" thickBot="1" thickTop="1">
      <c r="A47" s="998" t="s">
        <v>855</v>
      </c>
      <c r="B47" s="999"/>
      <c r="C47" s="999"/>
      <c r="D47" s="1002" t="s">
        <v>538</v>
      </c>
      <c r="E47" s="1003"/>
      <c r="F47" s="1004"/>
      <c r="G47" s="1005" t="s">
        <v>728</v>
      </c>
      <c r="H47" s="1006"/>
      <c r="I47" s="1006"/>
      <c r="J47" s="1006"/>
      <c r="K47" s="1007"/>
      <c r="L47" s="941" t="s">
        <v>729</v>
      </c>
      <c r="M47" s="942"/>
      <c r="N47" s="942"/>
      <c r="O47" s="942"/>
      <c r="P47" s="942"/>
      <c r="Q47" s="996"/>
      <c r="R47" s="941" t="s">
        <v>730</v>
      </c>
      <c r="S47" s="942"/>
      <c r="T47" s="942"/>
      <c r="U47" s="942"/>
      <c r="V47" s="942"/>
      <c r="W47" s="943"/>
      <c r="X47" s="994" t="s">
        <v>731</v>
      </c>
      <c r="Y47" s="995"/>
      <c r="Z47" s="995"/>
      <c r="AA47" s="988" t="s">
        <v>195</v>
      </c>
      <c r="AB47" s="989"/>
      <c r="AC47" s="990"/>
    </row>
    <row r="48" spans="1:29" ht="32.25" customHeight="1" thickBot="1">
      <c r="A48" s="1000"/>
      <c r="B48" s="1001"/>
      <c r="C48" s="1001"/>
      <c r="D48" s="274" t="s">
        <v>196</v>
      </c>
      <c r="E48" s="275" t="s">
        <v>186</v>
      </c>
      <c r="F48" s="276" t="s">
        <v>197</v>
      </c>
      <c r="G48" s="1008"/>
      <c r="H48" s="1009"/>
      <c r="I48" s="1009"/>
      <c r="J48" s="1009"/>
      <c r="K48" s="1010"/>
      <c r="L48" s="944"/>
      <c r="M48" s="945"/>
      <c r="N48" s="945"/>
      <c r="O48" s="945"/>
      <c r="P48" s="945"/>
      <c r="Q48" s="997"/>
      <c r="R48" s="944"/>
      <c r="S48" s="945"/>
      <c r="T48" s="945"/>
      <c r="U48" s="945"/>
      <c r="V48" s="945"/>
      <c r="W48" s="946"/>
      <c r="X48" s="395" t="s">
        <v>196</v>
      </c>
      <c r="Y48" s="278" t="s">
        <v>186</v>
      </c>
      <c r="Z48" s="279" t="s">
        <v>197</v>
      </c>
      <c r="AA48" s="277" t="s">
        <v>196</v>
      </c>
      <c r="AB48" s="281" t="s">
        <v>186</v>
      </c>
      <c r="AC48" s="282" t="s">
        <v>197</v>
      </c>
    </row>
    <row r="49" spans="1:29" ht="17.25" customHeight="1">
      <c r="A49" s="453"/>
      <c r="B49" s="454"/>
      <c r="C49" s="454"/>
      <c r="D49" s="455"/>
      <c r="E49" s="456"/>
      <c r="F49" s="457"/>
      <c r="G49" s="951" t="s">
        <v>1006</v>
      </c>
      <c r="H49" s="925"/>
      <c r="I49" s="925"/>
      <c r="J49" s="336">
        <v>121285</v>
      </c>
      <c r="K49" s="932">
        <f>SUM(J49:J56)</f>
        <v>165593761</v>
      </c>
      <c r="L49" s="458"/>
      <c r="M49" s="459"/>
      <c r="N49" s="459"/>
      <c r="O49" s="459"/>
      <c r="P49" s="459"/>
      <c r="Q49" s="932">
        <f>SUM(P49:P56)</f>
        <v>0</v>
      </c>
      <c r="R49" s="949" t="s">
        <v>1011</v>
      </c>
      <c r="S49" s="950"/>
      <c r="T49" s="950"/>
      <c r="U49" s="950"/>
      <c r="V49" s="336">
        <v>39172</v>
      </c>
      <c r="W49" s="971">
        <f>SUM(V49:V56)</f>
        <v>1837172</v>
      </c>
      <c r="X49" s="460"/>
      <c r="Y49" s="461"/>
      <c r="Z49" s="462"/>
      <c r="AA49" s="463"/>
      <c r="AB49" s="461"/>
      <c r="AC49" s="457"/>
    </row>
    <row r="50" spans="1:29" ht="14.25" customHeight="1">
      <c r="A50" s="453"/>
      <c r="B50" s="454"/>
      <c r="C50" s="454"/>
      <c r="D50" s="455"/>
      <c r="E50" s="456"/>
      <c r="F50" s="457"/>
      <c r="G50" s="951" t="s">
        <v>1007</v>
      </c>
      <c r="H50" s="925"/>
      <c r="I50" s="925"/>
      <c r="J50" s="320">
        <v>1207000</v>
      </c>
      <c r="K50" s="933"/>
      <c r="L50" s="458"/>
      <c r="M50" s="459"/>
      <c r="N50" s="459"/>
      <c r="O50" s="459"/>
      <c r="P50" s="459"/>
      <c r="Q50" s="933"/>
      <c r="R50" s="924" t="s">
        <v>750</v>
      </c>
      <c r="S50" s="925"/>
      <c r="T50" s="925"/>
      <c r="U50" s="925"/>
      <c r="V50" s="320">
        <v>1768000</v>
      </c>
      <c r="W50" s="972"/>
      <c r="X50" s="460"/>
      <c r="Y50" s="461"/>
      <c r="Z50" s="462"/>
      <c r="AA50" s="463"/>
      <c r="AB50" s="461"/>
      <c r="AC50" s="457"/>
    </row>
    <row r="51" spans="1:29" ht="14.25" customHeight="1">
      <c r="A51" s="453"/>
      <c r="B51" s="454"/>
      <c r="C51" s="454"/>
      <c r="D51" s="455"/>
      <c r="E51" s="456"/>
      <c r="F51" s="457"/>
      <c r="G51" s="951" t="s">
        <v>1008</v>
      </c>
      <c r="H51" s="925"/>
      <c r="I51" s="925"/>
      <c r="J51" s="320">
        <f>1275000+4214000</f>
        <v>5489000</v>
      </c>
      <c r="K51" s="933"/>
      <c r="L51" s="458"/>
      <c r="M51" s="459"/>
      <c r="N51" s="459"/>
      <c r="O51" s="459"/>
      <c r="P51" s="459"/>
      <c r="Q51" s="933"/>
      <c r="R51" s="924"/>
      <c r="S51" s="925"/>
      <c r="T51" s="925"/>
      <c r="U51" s="925"/>
      <c r="V51" s="320"/>
      <c r="W51" s="972"/>
      <c r="X51" s="460"/>
      <c r="Y51" s="461"/>
      <c r="Z51" s="462"/>
      <c r="AA51" s="463"/>
      <c r="AB51" s="461"/>
      <c r="AC51" s="457"/>
    </row>
    <row r="52" spans="1:29" ht="15.75" customHeight="1">
      <c r="A52" s="404"/>
      <c r="B52" s="328"/>
      <c r="C52" s="328"/>
      <c r="D52" s="369"/>
      <c r="E52" s="464"/>
      <c r="F52" s="329"/>
      <c r="G52" s="993" t="s">
        <v>674</v>
      </c>
      <c r="H52" s="922"/>
      <c r="I52" s="922"/>
      <c r="J52" s="320">
        <v>16106666</v>
      </c>
      <c r="K52" s="933"/>
      <c r="L52" s="367"/>
      <c r="M52" s="328"/>
      <c r="N52" s="328"/>
      <c r="O52" s="328"/>
      <c r="P52" s="328"/>
      <c r="Q52" s="933"/>
      <c r="R52" s="921" t="s">
        <v>748</v>
      </c>
      <c r="S52" s="922"/>
      <c r="T52" s="922"/>
      <c r="U52" s="922"/>
      <c r="V52" s="465">
        <v>30000</v>
      </c>
      <c r="W52" s="972"/>
      <c r="X52" s="328"/>
      <c r="Y52" s="369"/>
      <c r="Z52" s="466"/>
      <c r="AA52" s="404"/>
      <c r="AB52" s="369"/>
      <c r="AC52" s="303"/>
    </row>
    <row r="53" spans="1:29" ht="25.5" customHeight="1">
      <c r="A53" s="404"/>
      <c r="B53" s="328"/>
      <c r="C53" s="328"/>
      <c r="D53" s="369"/>
      <c r="E53" s="464"/>
      <c r="F53" s="329"/>
      <c r="G53" s="951" t="s">
        <v>223</v>
      </c>
      <c r="H53" s="925"/>
      <c r="I53" s="925"/>
      <c r="J53" s="320">
        <v>8586000</v>
      </c>
      <c r="K53" s="933"/>
      <c r="L53" s="991"/>
      <c r="M53" s="992"/>
      <c r="N53" s="992"/>
      <c r="O53" s="992"/>
      <c r="P53" s="331"/>
      <c r="Q53" s="933"/>
      <c r="R53" s="924"/>
      <c r="S53" s="925"/>
      <c r="T53" s="925"/>
      <c r="U53" s="925"/>
      <c r="V53" s="320"/>
      <c r="W53" s="972"/>
      <c r="X53" s="288"/>
      <c r="Y53" s="313"/>
      <c r="Z53" s="301"/>
      <c r="AA53" s="312"/>
      <c r="AB53" s="313"/>
      <c r="AC53" s="314"/>
    </row>
    <row r="54" spans="1:29" ht="28.5" customHeight="1">
      <c r="A54" s="982" t="s">
        <v>687</v>
      </c>
      <c r="B54" s="983"/>
      <c r="C54" s="984"/>
      <c r="D54" s="374">
        <v>245365457</v>
      </c>
      <c r="E54" s="308">
        <v>6041000</v>
      </c>
      <c r="F54" s="309">
        <f>SUM(D54:E54)</f>
        <v>251406457</v>
      </c>
      <c r="G54" s="951" t="s">
        <v>948</v>
      </c>
      <c r="H54" s="925"/>
      <c r="I54" s="925"/>
      <c r="J54" s="320">
        <v>111641900</v>
      </c>
      <c r="K54" s="933"/>
      <c r="L54" s="367"/>
      <c r="M54" s="328"/>
      <c r="N54" s="328"/>
      <c r="O54" s="328"/>
      <c r="P54" s="328"/>
      <c r="Q54" s="933"/>
      <c r="R54" s="921"/>
      <c r="S54" s="922"/>
      <c r="T54" s="922"/>
      <c r="U54" s="922"/>
      <c r="V54" s="465"/>
      <c r="W54" s="972"/>
      <c r="X54" s="468">
        <f>SUM(W49+Q49+K49)</f>
        <v>167430933</v>
      </c>
      <c r="Y54" s="322">
        <v>0</v>
      </c>
      <c r="Z54" s="323">
        <f>SUM(X54:Y54)</f>
        <v>167430933</v>
      </c>
      <c r="AA54" s="469">
        <f>X54-D54</f>
        <v>-77934524</v>
      </c>
      <c r="AB54" s="322">
        <f>Y54-E54</f>
        <v>-6041000</v>
      </c>
      <c r="AC54" s="324">
        <f>SUM(AA54:AB54)</f>
        <v>-83975524</v>
      </c>
    </row>
    <row r="55" spans="1:29" ht="14.25" customHeight="1">
      <c r="A55" s="304"/>
      <c r="B55" s="467"/>
      <c r="C55" s="470"/>
      <c r="D55" s="374"/>
      <c r="E55" s="308"/>
      <c r="F55" s="309"/>
      <c r="G55" s="951" t="s">
        <v>481</v>
      </c>
      <c r="H55" s="925"/>
      <c r="I55" s="925"/>
      <c r="J55" s="320">
        <v>17615000</v>
      </c>
      <c r="K55" s="933"/>
      <c r="L55" s="367"/>
      <c r="M55" s="328"/>
      <c r="N55" s="328"/>
      <c r="O55" s="328"/>
      <c r="P55" s="328"/>
      <c r="Q55" s="933"/>
      <c r="R55" s="921"/>
      <c r="S55" s="922"/>
      <c r="T55" s="922"/>
      <c r="U55" s="922"/>
      <c r="V55" s="465"/>
      <c r="W55" s="972"/>
      <c r="X55" s="407"/>
      <c r="Y55" s="311"/>
      <c r="Z55" s="323"/>
      <c r="AA55" s="321"/>
      <c r="AB55" s="322"/>
      <c r="AC55" s="314"/>
    </row>
    <row r="56" spans="1:29" ht="30" customHeight="1" thickBot="1">
      <c r="A56" s="304"/>
      <c r="B56" s="467"/>
      <c r="C56" s="470"/>
      <c r="D56" s="374"/>
      <c r="E56" s="308"/>
      <c r="F56" s="309"/>
      <c r="G56" s="963" t="s">
        <v>766</v>
      </c>
      <c r="H56" s="964"/>
      <c r="I56" s="964"/>
      <c r="J56" s="471">
        <v>4826910</v>
      </c>
      <c r="K56" s="934"/>
      <c r="L56" s="472"/>
      <c r="M56" s="473"/>
      <c r="N56" s="473"/>
      <c r="O56" s="473"/>
      <c r="P56" s="473"/>
      <c r="Q56" s="934"/>
      <c r="R56" s="970"/>
      <c r="S56" s="964"/>
      <c r="T56" s="964"/>
      <c r="U56" s="964"/>
      <c r="V56" s="474"/>
      <c r="W56" s="973"/>
      <c r="X56" s="407"/>
      <c r="Y56" s="311"/>
      <c r="Z56" s="323"/>
      <c r="AA56" s="321"/>
      <c r="AB56" s="322"/>
      <c r="AC56" s="314"/>
    </row>
    <row r="57" spans="1:29" ht="15.75">
      <c r="A57" s="475"/>
      <c r="B57" s="476"/>
      <c r="C57" s="476"/>
      <c r="D57" s="477"/>
      <c r="E57" s="478"/>
      <c r="F57" s="479"/>
      <c r="G57" s="965"/>
      <c r="H57" s="950"/>
      <c r="I57" s="950"/>
      <c r="J57" s="480"/>
      <c r="K57" s="966">
        <f>SUM(J57:J60)</f>
        <v>0</v>
      </c>
      <c r="L57" s="965" t="s">
        <v>800</v>
      </c>
      <c r="M57" s="950"/>
      <c r="N57" s="950"/>
      <c r="O57" s="950"/>
      <c r="P57" s="480">
        <v>6245000</v>
      </c>
      <c r="Q57" s="932">
        <f>SUM(P57:P60)</f>
        <v>6245000</v>
      </c>
      <c r="R57" s="481"/>
      <c r="S57" s="482"/>
      <c r="T57" s="482"/>
      <c r="U57" s="482"/>
      <c r="V57" s="483"/>
      <c r="W57" s="484"/>
      <c r="X57" s="485"/>
      <c r="Y57" s="486"/>
      <c r="Z57" s="487"/>
      <c r="AA57" s="488"/>
      <c r="AB57" s="489"/>
      <c r="AC57" s="490"/>
    </row>
    <row r="58" spans="1:29" ht="15.75">
      <c r="A58" s="985" t="s">
        <v>688</v>
      </c>
      <c r="B58" s="986"/>
      <c r="C58" s="987"/>
      <c r="D58" s="374">
        <v>6223000</v>
      </c>
      <c r="E58" s="308">
        <v>22000</v>
      </c>
      <c r="F58" s="309">
        <f>SUM(D58:E58)</f>
        <v>6245000</v>
      </c>
      <c r="G58" s="332"/>
      <c r="H58" s="333"/>
      <c r="I58" s="333"/>
      <c r="J58" s="491"/>
      <c r="K58" s="967"/>
      <c r="L58" s="921"/>
      <c r="M58" s="922"/>
      <c r="N58" s="922"/>
      <c r="O58" s="922"/>
      <c r="P58" s="288"/>
      <c r="Q58" s="933"/>
      <c r="R58" s="969"/>
      <c r="S58" s="931"/>
      <c r="T58" s="931"/>
      <c r="U58" s="931"/>
      <c r="V58" s="492"/>
      <c r="W58" s="484">
        <f>SUM(V58)</f>
        <v>0</v>
      </c>
      <c r="X58" s="407">
        <f>SUM(K58+Q57+W60)</f>
        <v>6245000</v>
      </c>
      <c r="Y58" s="311">
        <v>0</v>
      </c>
      <c r="Z58" s="323">
        <f>SUM(X58:Y58)</f>
        <v>6245000</v>
      </c>
      <c r="AA58" s="469">
        <f>X58-D58</f>
        <v>22000</v>
      </c>
      <c r="AB58" s="322">
        <f>Y58-E58</f>
        <v>-22000</v>
      </c>
      <c r="AC58" s="324">
        <f>SUM(AA58:AB58)</f>
        <v>0</v>
      </c>
    </row>
    <row r="59" spans="1:29" ht="15.75">
      <c r="A59" s="304"/>
      <c r="B59" s="467"/>
      <c r="C59" s="470"/>
      <c r="D59" s="374"/>
      <c r="E59" s="308"/>
      <c r="F59" s="309"/>
      <c r="G59" s="332"/>
      <c r="H59" s="333"/>
      <c r="I59" s="333"/>
      <c r="J59" s="491"/>
      <c r="K59" s="967"/>
      <c r="L59" s="367"/>
      <c r="M59" s="328"/>
      <c r="N59" s="328"/>
      <c r="O59" s="328"/>
      <c r="P59" s="328"/>
      <c r="Q59" s="933"/>
      <c r="R59" s="333"/>
      <c r="S59" s="333"/>
      <c r="T59" s="333"/>
      <c r="U59" s="333"/>
      <c r="V59" s="492"/>
      <c r="W59" s="484"/>
      <c r="X59" s="407"/>
      <c r="Y59" s="311"/>
      <c r="Z59" s="323"/>
      <c r="AA59" s="321"/>
      <c r="AB59" s="322"/>
      <c r="AC59" s="314"/>
    </row>
    <row r="60" spans="1:29" ht="16.5" thickBot="1">
      <c r="A60" s="315"/>
      <c r="B60" s="316"/>
      <c r="C60" s="316"/>
      <c r="D60" s="409"/>
      <c r="E60" s="410"/>
      <c r="F60" s="493"/>
      <c r="G60" s="494"/>
      <c r="H60" s="495"/>
      <c r="I60" s="495"/>
      <c r="J60" s="496"/>
      <c r="K60" s="968"/>
      <c r="L60" s="367"/>
      <c r="M60" s="328"/>
      <c r="N60" s="328"/>
      <c r="O60" s="328"/>
      <c r="P60" s="328"/>
      <c r="Q60" s="933"/>
      <c r="R60" s="464"/>
      <c r="S60" s="464"/>
      <c r="T60" s="464"/>
      <c r="U60" s="464"/>
      <c r="V60" s="464"/>
      <c r="W60" s="497"/>
      <c r="X60" s="498"/>
      <c r="Y60" s="499"/>
      <c r="Z60" s="426"/>
      <c r="AA60" s="500"/>
      <c r="AB60" s="501"/>
      <c r="AC60" s="502"/>
    </row>
    <row r="61" spans="1:29" ht="47.25" customHeight="1" thickBot="1" thickTop="1">
      <c r="A61" s="974" t="s">
        <v>209</v>
      </c>
      <c r="B61" s="975"/>
      <c r="C61" s="976"/>
      <c r="D61" s="503">
        <f>SUM(D53:D60)</f>
        <v>251588457</v>
      </c>
      <c r="E61" s="504">
        <f>SUM(E53:E60)</f>
        <v>6063000</v>
      </c>
      <c r="F61" s="505">
        <f>SUM(D61:E61)</f>
        <v>257651457</v>
      </c>
      <c r="G61" s="506"/>
      <c r="H61" s="977" t="s">
        <v>204</v>
      </c>
      <c r="I61" s="978"/>
      <c r="J61" s="979"/>
      <c r="K61" s="507">
        <f>SUM(K49:K60)</f>
        <v>165593761</v>
      </c>
      <c r="L61" s="388"/>
      <c r="M61" s="980" t="s">
        <v>205</v>
      </c>
      <c r="N61" s="980"/>
      <c r="O61" s="980"/>
      <c r="P61" s="981"/>
      <c r="Q61" s="508">
        <f>SUM(Q49:Q60)</f>
        <v>6245000</v>
      </c>
      <c r="R61" s="509"/>
      <c r="S61" s="980" t="s">
        <v>206</v>
      </c>
      <c r="T61" s="980"/>
      <c r="U61" s="980"/>
      <c r="V61" s="981"/>
      <c r="W61" s="510">
        <f>SUM(W49:W60)</f>
        <v>1837172</v>
      </c>
      <c r="X61" s="511">
        <f>SUM(X48:X60)</f>
        <v>173675933</v>
      </c>
      <c r="Y61" s="512">
        <f>SUM(Y48:Y60)</f>
        <v>0</v>
      </c>
      <c r="Z61" s="513">
        <f>SUM(X61:Y61)</f>
        <v>173675933</v>
      </c>
      <c r="AA61" s="511">
        <f>X61-D61</f>
        <v>-77912524</v>
      </c>
      <c r="AB61" s="514">
        <f>Y61-E61</f>
        <v>-6063000</v>
      </c>
      <c r="AC61" s="513">
        <f>SUM(AA61:AB61)</f>
        <v>-83975524</v>
      </c>
    </row>
    <row r="62" spans="1:223" s="531" customFormat="1" ht="17.25" thickBot="1" thickTop="1">
      <c r="A62" s="954" t="s">
        <v>541</v>
      </c>
      <c r="B62" s="955"/>
      <c r="C62" s="956"/>
      <c r="D62" s="515">
        <f>SUM(D61,D45,D34)</f>
        <v>1093722736</v>
      </c>
      <c r="E62" s="516">
        <f>SUM(E61,E45,E34)</f>
        <v>188492883</v>
      </c>
      <c r="F62" s="517">
        <f>SUM(D62:E62)</f>
        <v>1282215619</v>
      </c>
      <c r="G62" s="518"/>
      <c r="H62" s="957" t="s">
        <v>210</v>
      </c>
      <c r="I62" s="958"/>
      <c r="J62" s="959"/>
      <c r="K62" s="519">
        <f>SUM(K61,K45,K34)</f>
        <v>513095040</v>
      </c>
      <c r="L62" s="520"/>
      <c r="M62" s="960" t="s">
        <v>211</v>
      </c>
      <c r="N62" s="960"/>
      <c r="O62" s="960"/>
      <c r="P62" s="961"/>
      <c r="Q62" s="521">
        <f>SUM(Q61,Q45,Q34)</f>
        <v>264265900</v>
      </c>
      <c r="R62" s="522"/>
      <c r="S62" s="960" t="s">
        <v>212</v>
      </c>
      <c r="T62" s="960"/>
      <c r="U62" s="960"/>
      <c r="V62" s="961"/>
      <c r="W62" s="523">
        <f>SUM(W61,W45,W34)</f>
        <v>504854679</v>
      </c>
      <c r="X62" s="524">
        <f>SUM(X61,X45,X34)</f>
        <v>1041604060</v>
      </c>
      <c r="Y62" s="525">
        <f>SUM(Y61,Y45,Y34)</f>
        <v>240611559</v>
      </c>
      <c r="Z62" s="526">
        <f>SUM(W62+Q62+K62)</f>
        <v>1282215619</v>
      </c>
      <c r="AA62" s="527">
        <f>SUM(AA61,AA45,AA34)</f>
        <v>-52118676</v>
      </c>
      <c r="AB62" s="528">
        <f>SUM(AB61,AB45,AB34)</f>
        <v>52118676</v>
      </c>
      <c r="AC62" s="529">
        <f>SUM(AC61,AC45,AC34)</f>
        <v>0</v>
      </c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0"/>
      <c r="AU62" s="530"/>
      <c r="AV62" s="530"/>
      <c r="AW62" s="530"/>
      <c r="AX62" s="530"/>
      <c r="AY62" s="530"/>
      <c r="AZ62" s="530"/>
      <c r="BA62" s="530"/>
      <c r="BB62" s="530"/>
      <c r="BC62" s="530"/>
      <c r="BD62" s="530"/>
      <c r="BE62" s="530"/>
      <c r="BF62" s="530"/>
      <c r="BG62" s="530"/>
      <c r="BH62" s="530"/>
      <c r="BI62" s="530"/>
      <c r="BJ62" s="530"/>
      <c r="BK62" s="530"/>
      <c r="BL62" s="530"/>
      <c r="BM62" s="530"/>
      <c r="BN62" s="530"/>
      <c r="BO62" s="530"/>
      <c r="BP62" s="530"/>
      <c r="BQ62" s="530"/>
      <c r="BR62" s="530"/>
      <c r="BS62" s="530"/>
      <c r="BT62" s="530"/>
      <c r="BU62" s="530"/>
      <c r="BV62" s="530"/>
      <c r="BW62" s="530"/>
      <c r="BX62" s="530"/>
      <c r="BY62" s="530"/>
      <c r="BZ62" s="530"/>
      <c r="CA62" s="530"/>
      <c r="CB62" s="530"/>
      <c r="CC62" s="530"/>
      <c r="CD62" s="530"/>
      <c r="CE62" s="530"/>
      <c r="CF62" s="530"/>
      <c r="CG62" s="530"/>
      <c r="CH62" s="530"/>
      <c r="CI62" s="530"/>
      <c r="CJ62" s="530"/>
      <c r="CK62" s="530"/>
      <c r="CL62" s="530"/>
      <c r="CM62" s="530"/>
      <c r="CN62" s="530"/>
      <c r="CO62" s="530"/>
      <c r="CP62" s="530"/>
      <c r="CQ62" s="530"/>
      <c r="CR62" s="530"/>
      <c r="CS62" s="530"/>
      <c r="CT62" s="530"/>
      <c r="CU62" s="530"/>
      <c r="CV62" s="530"/>
      <c r="CW62" s="530"/>
      <c r="CX62" s="530"/>
      <c r="CY62" s="530"/>
      <c r="CZ62" s="530"/>
      <c r="DA62" s="530"/>
      <c r="DB62" s="530"/>
      <c r="DC62" s="530"/>
      <c r="DD62" s="530"/>
      <c r="DE62" s="530"/>
      <c r="DF62" s="530"/>
      <c r="DG62" s="530"/>
      <c r="DH62" s="530"/>
      <c r="DI62" s="530"/>
      <c r="DJ62" s="530"/>
      <c r="DK62" s="530"/>
      <c r="DL62" s="530"/>
      <c r="DM62" s="530"/>
      <c r="DN62" s="530"/>
      <c r="DO62" s="530"/>
      <c r="DP62" s="530"/>
      <c r="DQ62" s="530"/>
      <c r="DR62" s="530"/>
      <c r="DS62" s="530"/>
      <c r="DT62" s="530"/>
      <c r="DU62" s="530"/>
      <c r="DV62" s="530"/>
      <c r="DW62" s="530"/>
      <c r="DX62" s="530"/>
      <c r="DY62" s="530"/>
      <c r="DZ62" s="530"/>
      <c r="EA62" s="530"/>
      <c r="EB62" s="530"/>
      <c r="EC62" s="530"/>
      <c r="ED62" s="530"/>
      <c r="EE62" s="530"/>
      <c r="EF62" s="530"/>
      <c r="EG62" s="530"/>
      <c r="EH62" s="530"/>
      <c r="EI62" s="530"/>
      <c r="EJ62" s="530"/>
      <c r="EK62" s="530"/>
      <c r="EL62" s="530"/>
      <c r="EM62" s="530"/>
      <c r="EN62" s="530"/>
      <c r="EO62" s="530"/>
      <c r="EP62" s="530"/>
      <c r="EQ62" s="530"/>
      <c r="ER62" s="530"/>
      <c r="ES62" s="530"/>
      <c r="ET62" s="530"/>
      <c r="EU62" s="530"/>
      <c r="EV62" s="530"/>
      <c r="EW62" s="530"/>
      <c r="EX62" s="530"/>
      <c r="EY62" s="530"/>
      <c r="EZ62" s="530"/>
      <c r="FA62" s="530"/>
      <c r="FB62" s="530"/>
      <c r="FC62" s="530"/>
      <c r="FD62" s="530"/>
      <c r="FE62" s="530"/>
      <c r="FF62" s="530"/>
      <c r="FG62" s="530"/>
      <c r="FH62" s="530"/>
      <c r="FI62" s="530"/>
      <c r="FJ62" s="530"/>
      <c r="FK62" s="530"/>
      <c r="FL62" s="530"/>
      <c r="FM62" s="530"/>
      <c r="FN62" s="530"/>
      <c r="FO62" s="530"/>
      <c r="FP62" s="530"/>
      <c r="FQ62" s="530"/>
      <c r="FR62" s="530"/>
      <c r="FS62" s="530"/>
      <c r="FT62" s="530"/>
      <c r="FU62" s="530"/>
      <c r="FV62" s="530"/>
      <c r="FW62" s="530"/>
      <c r="FX62" s="530"/>
      <c r="FY62" s="530"/>
      <c r="FZ62" s="530"/>
      <c r="GA62" s="530"/>
      <c r="GB62" s="530"/>
      <c r="GC62" s="530"/>
      <c r="GD62" s="530"/>
      <c r="GE62" s="530"/>
      <c r="GF62" s="530"/>
      <c r="GG62" s="530"/>
      <c r="GH62" s="530"/>
      <c r="GI62" s="530"/>
      <c r="GJ62" s="530"/>
      <c r="GK62" s="530"/>
      <c r="GL62" s="530"/>
      <c r="GM62" s="530"/>
      <c r="GN62" s="530"/>
      <c r="GO62" s="530"/>
      <c r="GP62" s="530"/>
      <c r="GQ62" s="530"/>
      <c r="GR62" s="530"/>
      <c r="GS62" s="530"/>
      <c r="GT62" s="530"/>
      <c r="GU62" s="530"/>
      <c r="GV62" s="530"/>
      <c r="GW62" s="530"/>
      <c r="GX62" s="530"/>
      <c r="GY62" s="530"/>
      <c r="GZ62" s="530"/>
      <c r="HA62" s="530"/>
      <c r="HB62" s="530"/>
      <c r="HC62" s="530"/>
      <c r="HD62" s="530"/>
      <c r="HE62" s="530"/>
      <c r="HF62" s="530"/>
      <c r="HG62" s="530"/>
      <c r="HH62" s="530"/>
      <c r="HI62" s="530"/>
      <c r="HJ62" s="530"/>
      <c r="HK62" s="530"/>
      <c r="HL62" s="530"/>
      <c r="HM62" s="530"/>
      <c r="HN62" s="530"/>
      <c r="HO62" s="530"/>
    </row>
    <row r="63" spans="1:29" ht="16.5" thickTop="1">
      <c r="A63" s="464"/>
      <c r="B63" s="464"/>
      <c r="C63" s="464"/>
      <c r="D63" s="464"/>
      <c r="E63" s="464"/>
      <c r="F63" s="464"/>
      <c r="G63" s="345"/>
      <c r="H63" s="345"/>
      <c r="I63" s="345"/>
      <c r="J63" s="532"/>
      <c r="K63" s="401"/>
      <c r="L63" s="340"/>
      <c r="M63" s="328"/>
      <c r="N63" s="328"/>
      <c r="O63" s="328"/>
      <c r="P63" s="328"/>
      <c r="Q63" s="328"/>
      <c r="R63" s="340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340"/>
    </row>
    <row r="64" spans="1:223" s="542" customFormat="1" ht="15.75">
      <c r="A64" s="536"/>
      <c r="B64" s="536"/>
      <c r="C64" s="536"/>
      <c r="D64" s="937" t="s">
        <v>685</v>
      </c>
      <c r="E64" s="938"/>
      <c r="F64" s="938"/>
      <c r="G64" s="538"/>
      <c r="H64" s="538"/>
      <c r="I64" s="538"/>
      <c r="J64" s="533"/>
      <c r="K64" s="539"/>
      <c r="L64" s="540"/>
      <c r="M64" s="540"/>
      <c r="N64" s="540"/>
      <c r="O64" s="540"/>
      <c r="P64" s="540"/>
      <c r="Q64" s="540"/>
      <c r="R64" s="540"/>
      <c r="S64" s="536"/>
      <c r="T64" s="536"/>
      <c r="U64" s="536"/>
      <c r="V64" s="536"/>
      <c r="W64" s="937" t="s">
        <v>213</v>
      </c>
      <c r="X64" s="938"/>
      <c r="Y64" s="938"/>
      <c r="Z64" s="537"/>
      <c r="AA64" s="937" t="s">
        <v>195</v>
      </c>
      <c r="AB64" s="938"/>
      <c r="AC64" s="938"/>
      <c r="AD64" s="541"/>
      <c r="AE64" s="541"/>
      <c r="AF64" s="541"/>
      <c r="AG64" s="541"/>
      <c r="AH64" s="541"/>
      <c r="AI64" s="541"/>
      <c r="AJ64" s="541"/>
      <c r="AK64" s="541"/>
      <c r="AL64" s="541"/>
      <c r="AM64" s="541"/>
      <c r="AN64" s="541"/>
      <c r="AO64" s="541"/>
      <c r="AP64" s="541"/>
      <c r="AQ64" s="541"/>
      <c r="AR64" s="541"/>
      <c r="AS64" s="541"/>
      <c r="AT64" s="541"/>
      <c r="AU64" s="541"/>
      <c r="AV64" s="541"/>
      <c r="AW64" s="541"/>
      <c r="AX64" s="541"/>
      <c r="AY64" s="541"/>
      <c r="AZ64" s="541"/>
      <c r="BA64" s="541"/>
      <c r="BB64" s="541"/>
      <c r="BC64" s="541"/>
      <c r="BD64" s="541"/>
      <c r="BE64" s="541"/>
      <c r="BF64" s="541"/>
      <c r="BG64" s="541"/>
      <c r="BH64" s="541"/>
      <c r="BI64" s="541"/>
      <c r="BJ64" s="541"/>
      <c r="BK64" s="541"/>
      <c r="BL64" s="541"/>
      <c r="BM64" s="541"/>
      <c r="BN64" s="541"/>
      <c r="BO64" s="541"/>
      <c r="BP64" s="541"/>
      <c r="BQ64" s="541"/>
      <c r="BR64" s="541"/>
      <c r="BS64" s="541"/>
      <c r="BT64" s="541"/>
      <c r="BU64" s="541"/>
      <c r="BV64" s="541"/>
      <c r="BW64" s="541"/>
      <c r="BX64" s="541"/>
      <c r="BY64" s="541"/>
      <c r="BZ64" s="541"/>
      <c r="CA64" s="541"/>
      <c r="CB64" s="541"/>
      <c r="CC64" s="541"/>
      <c r="CD64" s="541"/>
      <c r="CE64" s="541"/>
      <c r="CF64" s="541"/>
      <c r="CG64" s="541"/>
      <c r="CH64" s="541"/>
      <c r="CI64" s="541"/>
      <c r="CJ64" s="541"/>
      <c r="CK64" s="541"/>
      <c r="CL64" s="541"/>
      <c r="CM64" s="541"/>
      <c r="CN64" s="541"/>
      <c r="CO64" s="541"/>
      <c r="CP64" s="541"/>
      <c r="CQ64" s="541"/>
      <c r="CR64" s="541"/>
      <c r="CS64" s="541"/>
      <c r="CT64" s="541"/>
      <c r="CU64" s="541"/>
      <c r="CV64" s="541"/>
      <c r="CW64" s="541"/>
      <c r="CX64" s="541"/>
      <c r="CY64" s="541"/>
      <c r="CZ64" s="541"/>
      <c r="DA64" s="541"/>
      <c r="DB64" s="541"/>
      <c r="DC64" s="541"/>
      <c r="DD64" s="541"/>
      <c r="DE64" s="541"/>
      <c r="DF64" s="541"/>
      <c r="DG64" s="541"/>
      <c r="DH64" s="541"/>
      <c r="DI64" s="541"/>
      <c r="DJ64" s="541"/>
      <c r="DK64" s="541"/>
      <c r="DL64" s="541"/>
      <c r="DM64" s="541"/>
      <c r="DN64" s="541"/>
      <c r="DO64" s="541"/>
      <c r="DP64" s="541"/>
      <c r="DQ64" s="541"/>
      <c r="DR64" s="541"/>
      <c r="DS64" s="541"/>
      <c r="DT64" s="541"/>
      <c r="DU64" s="541"/>
      <c r="DV64" s="541"/>
      <c r="DW64" s="541"/>
      <c r="DX64" s="541"/>
      <c r="DY64" s="541"/>
      <c r="DZ64" s="541"/>
      <c r="EA64" s="541"/>
      <c r="EB64" s="541"/>
      <c r="EC64" s="541"/>
      <c r="ED64" s="541"/>
      <c r="EE64" s="541"/>
      <c r="EF64" s="541"/>
      <c r="EG64" s="541"/>
      <c r="EH64" s="541"/>
      <c r="EI64" s="541"/>
      <c r="EJ64" s="541"/>
      <c r="EK64" s="541"/>
      <c r="EL64" s="541"/>
      <c r="EM64" s="541"/>
      <c r="EN64" s="541"/>
      <c r="EO64" s="541"/>
      <c r="EP64" s="541"/>
      <c r="EQ64" s="541"/>
      <c r="ER64" s="541"/>
      <c r="ES64" s="541"/>
      <c r="ET64" s="541"/>
      <c r="EU64" s="541"/>
      <c r="EV64" s="541"/>
      <c r="EW64" s="541"/>
      <c r="EX64" s="541"/>
      <c r="EY64" s="541"/>
      <c r="EZ64" s="541"/>
      <c r="FA64" s="541"/>
      <c r="FB64" s="541"/>
      <c r="FC64" s="541"/>
      <c r="FD64" s="541"/>
      <c r="FE64" s="541"/>
      <c r="FF64" s="541"/>
      <c r="FG64" s="541"/>
      <c r="FH64" s="541"/>
      <c r="FI64" s="541"/>
      <c r="FJ64" s="541"/>
      <c r="FK64" s="541"/>
      <c r="FL64" s="541"/>
      <c r="FM64" s="541"/>
      <c r="FN64" s="541"/>
      <c r="FO64" s="541"/>
      <c r="FP64" s="541"/>
      <c r="FQ64" s="541"/>
      <c r="FR64" s="541"/>
      <c r="FS64" s="541"/>
      <c r="FT64" s="541"/>
      <c r="FU64" s="541"/>
      <c r="FV64" s="541"/>
      <c r="FW64" s="541"/>
      <c r="FX64" s="541"/>
      <c r="FY64" s="541"/>
      <c r="FZ64" s="541"/>
      <c r="GA64" s="541"/>
      <c r="GB64" s="541"/>
      <c r="GC64" s="541"/>
      <c r="GD64" s="541"/>
      <c r="GE64" s="541"/>
      <c r="GF64" s="541"/>
      <c r="GG64" s="541"/>
      <c r="GH64" s="541"/>
      <c r="GI64" s="541"/>
      <c r="GJ64" s="541"/>
      <c r="GK64" s="541"/>
      <c r="GL64" s="541"/>
      <c r="GM64" s="541"/>
      <c r="GN64" s="541"/>
      <c r="GO64" s="541"/>
      <c r="GP64" s="541"/>
      <c r="GQ64" s="541"/>
      <c r="GR64" s="541"/>
      <c r="GS64" s="541"/>
      <c r="GT64" s="541"/>
      <c r="GU64" s="541"/>
      <c r="GV64" s="541"/>
      <c r="GW64" s="541"/>
      <c r="GX64" s="541"/>
      <c r="GY64" s="541"/>
      <c r="GZ64" s="541"/>
      <c r="HA64" s="541"/>
      <c r="HB64" s="541"/>
      <c r="HC64" s="541"/>
      <c r="HD64" s="541"/>
      <c r="HE64" s="541"/>
      <c r="HF64" s="541"/>
      <c r="HG64" s="541"/>
      <c r="HH64" s="541"/>
      <c r="HI64" s="541"/>
      <c r="HJ64" s="541"/>
      <c r="HK64" s="541"/>
      <c r="HL64" s="541"/>
      <c r="HM64" s="541"/>
      <c r="HN64" s="541"/>
      <c r="HO64" s="541"/>
    </row>
    <row r="65" spans="1:223" s="542" customFormat="1" ht="15.75">
      <c r="A65" s="536"/>
      <c r="B65" s="536"/>
      <c r="C65" s="536"/>
      <c r="D65" s="543" t="s">
        <v>196</v>
      </c>
      <c r="E65" s="543" t="s">
        <v>214</v>
      </c>
      <c r="F65" s="543" t="s">
        <v>197</v>
      </c>
      <c r="G65" s="538"/>
      <c r="H65" s="538"/>
      <c r="I65" s="538"/>
      <c r="J65" s="533"/>
      <c r="K65" s="539"/>
      <c r="L65" s="540"/>
      <c r="M65" s="540"/>
      <c r="N65" s="540"/>
      <c r="O65" s="540"/>
      <c r="P65" s="540"/>
      <c r="Q65" s="540"/>
      <c r="R65" s="540"/>
      <c r="S65" s="962"/>
      <c r="T65" s="962"/>
      <c r="U65" s="962"/>
      <c r="V65" s="962"/>
      <c r="W65" s="543" t="s">
        <v>196</v>
      </c>
      <c r="X65" s="543" t="s">
        <v>214</v>
      </c>
      <c r="Y65" s="543" t="s">
        <v>197</v>
      </c>
      <c r="Z65" s="544"/>
      <c r="AA65" s="543" t="s">
        <v>196</v>
      </c>
      <c r="AB65" s="543" t="s">
        <v>214</v>
      </c>
      <c r="AC65" s="543" t="s">
        <v>197</v>
      </c>
      <c r="AD65" s="541"/>
      <c r="AE65" s="541"/>
      <c r="AF65" s="541"/>
      <c r="AG65" s="541"/>
      <c r="AH65" s="541"/>
      <c r="AI65" s="541"/>
      <c r="AJ65" s="541"/>
      <c r="AK65" s="541"/>
      <c r="AL65" s="541"/>
      <c r="AM65" s="541"/>
      <c r="AN65" s="541"/>
      <c r="AO65" s="541"/>
      <c r="AP65" s="541"/>
      <c r="AQ65" s="541"/>
      <c r="AR65" s="541"/>
      <c r="AS65" s="541"/>
      <c r="AT65" s="541"/>
      <c r="AU65" s="541"/>
      <c r="AV65" s="541"/>
      <c r="AW65" s="541"/>
      <c r="AX65" s="541"/>
      <c r="AY65" s="541"/>
      <c r="AZ65" s="541"/>
      <c r="BA65" s="541"/>
      <c r="BB65" s="541"/>
      <c r="BC65" s="541"/>
      <c r="BD65" s="541"/>
      <c r="BE65" s="541"/>
      <c r="BF65" s="541"/>
      <c r="BG65" s="541"/>
      <c r="BH65" s="541"/>
      <c r="BI65" s="541"/>
      <c r="BJ65" s="541"/>
      <c r="BK65" s="541"/>
      <c r="BL65" s="541"/>
      <c r="BM65" s="541"/>
      <c r="BN65" s="541"/>
      <c r="BO65" s="541"/>
      <c r="BP65" s="541"/>
      <c r="BQ65" s="541"/>
      <c r="BR65" s="541"/>
      <c r="BS65" s="541"/>
      <c r="BT65" s="541"/>
      <c r="BU65" s="541"/>
      <c r="BV65" s="541"/>
      <c r="BW65" s="541"/>
      <c r="BX65" s="541"/>
      <c r="BY65" s="541"/>
      <c r="BZ65" s="541"/>
      <c r="CA65" s="541"/>
      <c r="CB65" s="541"/>
      <c r="CC65" s="541"/>
      <c r="CD65" s="541"/>
      <c r="CE65" s="541"/>
      <c r="CF65" s="541"/>
      <c r="CG65" s="541"/>
      <c r="CH65" s="541"/>
      <c r="CI65" s="541"/>
      <c r="CJ65" s="541"/>
      <c r="CK65" s="541"/>
      <c r="CL65" s="541"/>
      <c r="CM65" s="541"/>
      <c r="CN65" s="541"/>
      <c r="CO65" s="541"/>
      <c r="CP65" s="541"/>
      <c r="CQ65" s="541"/>
      <c r="CR65" s="541"/>
      <c r="CS65" s="541"/>
      <c r="CT65" s="541"/>
      <c r="CU65" s="541"/>
      <c r="CV65" s="541"/>
      <c r="CW65" s="541"/>
      <c r="CX65" s="541"/>
      <c r="CY65" s="541"/>
      <c r="CZ65" s="541"/>
      <c r="DA65" s="541"/>
      <c r="DB65" s="541"/>
      <c r="DC65" s="541"/>
      <c r="DD65" s="541"/>
      <c r="DE65" s="541"/>
      <c r="DF65" s="541"/>
      <c r="DG65" s="541"/>
      <c r="DH65" s="541"/>
      <c r="DI65" s="541"/>
      <c r="DJ65" s="541"/>
      <c r="DK65" s="541"/>
      <c r="DL65" s="541"/>
      <c r="DM65" s="541"/>
      <c r="DN65" s="541"/>
      <c r="DO65" s="541"/>
      <c r="DP65" s="541"/>
      <c r="DQ65" s="541"/>
      <c r="DR65" s="541"/>
      <c r="DS65" s="541"/>
      <c r="DT65" s="541"/>
      <c r="DU65" s="541"/>
      <c r="DV65" s="541"/>
      <c r="DW65" s="541"/>
      <c r="DX65" s="541"/>
      <c r="DY65" s="541"/>
      <c r="DZ65" s="541"/>
      <c r="EA65" s="541"/>
      <c r="EB65" s="541"/>
      <c r="EC65" s="541"/>
      <c r="ED65" s="541"/>
      <c r="EE65" s="541"/>
      <c r="EF65" s="541"/>
      <c r="EG65" s="541"/>
      <c r="EH65" s="541"/>
      <c r="EI65" s="541"/>
      <c r="EJ65" s="541"/>
      <c r="EK65" s="541"/>
      <c r="EL65" s="541"/>
      <c r="EM65" s="541"/>
      <c r="EN65" s="541"/>
      <c r="EO65" s="541"/>
      <c r="EP65" s="541"/>
      <c r="EQ65" s="541"/>
      <c r="ER65" s="541"/>
      <c r="ES65" s="541"/>
      <c r="ET65" s="541"/>
      <c r="EU65" s="541"/>
      <c r="EV65" s="541"/>
      <c r="EW65" s="541"/>
      <c r="EX65" s="541"/>
      <c r="EY65" s="541"/>
      <c r="EZ65" s="541"/>
      <c r="FA65" s="541"/>
      <c r="FB65" s="541"/>
      <c r="FC65" s="541"/>
      <c r="FD65" s="541"/>
      <c r="FE65" s="541"/>
      <c r="FF65" s="541"/>
      <c r="FG65" s="541"/>
      <c r="FH65" s="541"/>
      <c r="FI65" s="541"/>
      <c r="FJ65" s="541"/>
      <c r="FK65" s="541"/>
      <c r="FL65" s="541"/>
      <c r="FM65" s="541"/>
      <c r="FN65" s="541"/>
      <c r="FO65" s="541"/>
      <c r="FP65" s="541"/>
      <c r="FQ65" s="541"/>
      <c r="FR65" s="541"/>
      <c r="FS65" s="541"/>
      <c r="FT65" s="541"/>
      <c r="FU65" s="541"/>
      <c r="FV65" s="541"/>
      <c r="FW65" s="541"/>
      <c r="FX65" s="541"/>
      <c r="FY65" s="541"/>
      <c r="FZ65" s="541"/>
      <c r="GA65" s="541"/>
      <c r="GB65" s="541"/>
      <c r="GC65" s="541"/>
      <c r="GD65" s="541"/>
      <c r="GE65" s="541"/>
      <c r="GF65" s="541"/>
      <c r="GG65" s="541"/>
      <c r="GH65" s="541"/>
      <c r="GI65" s="541"/>
      <c r="GJ65" s="541"/>
      <c r="GK65" s="541"/>
      <c r="GL65" s="541"/>
      <c r="GM65" s="541"/>
      <c r="GN65" s="541"/>
      <c r="GO65" s="541"/>
      <c r="GP65" s="541"/>
      <c r="GQ65" s="541"/>
      <c r="GR65" s="541"/>
      <c r="GS65" s="541"/>
      <c r="GT65" s="541"/>
      <c r="GU65" s="541"/>
      <c r="GV65" s="541"/>
      <c r="GW65" s="541"/>
      <c r="GX65" s="541"/>
      <c r="GY65" s="541"/>
      <c r="GZ65" s="541"/>
      <c r="HA65" s="541"/>
      <c r="HB65" s="541"/>
      <c r="HC65" s="541"/>
      <c r="HD65" s="541"/>
      <c r="HE65" s="541"/>
      <c r="HF65" s="541"/>
      <c r="HG65" s="541"/>
      <c r="HH65" s="541"/>
      <c r="HI65" s="541"/>
      <c r="HJ65" s="541"/>
      <c r="HK65" s="541"/>
      <c r="HL65" s="541"/>
      <c r="HM65" s="541"/>
      <c r="HN65" s="541"/>
      <c r="HO65" s="541"/>
    </row>
    <row r="66" spans="1:223" s="542" customFormat="1" ht="15.75">
      <c r="A66" s="536"/>
      <c r="B66" s="536"/>
      <c r="C66" s="545" t="s">
        <v>215</v>
      </c>
      <c r="D66" s="536"/>
      <c r="E66" s="536"/>
      <c r="F66" s="536"/>
      <c r="G66" s="538"/>
      <c r="H66" s="538"/>
      <c r="I66" s="538"/>
      <c r="J66" s="533"/>
      <c r="K66" s="539"/>
      <c r="L66" s="540"/>
      <c r="M66" s="540"/>
      <c r="N66" s="540"/>
      <c r="O66" s="540"/>
      <c r="P66" s="540"/>
      <c r="Q66" s="540"/>
      <c r="R66" s="540"/>
      <c r="S66" s="536"/>
      <c r="T66" s="545" t="s">
        <v>215</v>
      </c>
      <c r="U66" s="536"/>
      <c r="V66" s="937"/>
      <c r="W66" s="938"/>
      <c r="X66" s="536"/>
      <c r="Y66" s="536"/>
      <c r="Z66" s="536"/>
      <c r="AA66" s="536"/>
      <c r="AB66" s="536"/>
      <c r="AC66" s="540"/>
      <c r="AD66" s="541"/>
      <c r="AE66" s="541"/>
      <c r="AF66" s="541"/>
      <c r="AG66" s="541"/>
      <c r="AH66" s="541"/>
      <c r="AI66" s="541"/>
      <c r="AJ66" s="541"/>
      <c r="AK66" s="541"/>
      <c r="AL66" s="541"/>
      <c r="AM66" s="541"/>
      <c r="AN66" s="541"/>
      <c r="AO66" s="541"/>
      <c r="AP66" s="541"/>
      <c r="AQ66" s="541"/>
      <c r="AR66" s="541"/>
      <c r="AS66" s="541"/>
      <c r="AT66" s="541"/>
      <c r="AU66" s="541"/>
      <c r="AV66" s="541"/>
      <c r="AW66" s="541"/>
      <c r="AX66" s="541"/>
      <c r="AY66" s="541"/>
      <c r="AZ66" s="541"/>
      <c r="BA66" s="541"/>
      <c r="BB66" s="541"/>
      <c r="BC66" s="541"/>
      <c r="BD66" s="541"/>
      <c r="BE66" s="541"/>
      <c r="BF66" s="541"/>
      <c r="BG66" s="541"/>
      <c r="BH66" s="541"/>
      <c r="BI66" s="541"/>
      <c r="BJ66" s="541"/>
      <c r="BK66" s="541"/>
      <c r="BL66" s="541"/>
      <c r="BM66" s="541"/>
      <c r="BN66" s="541"/>
      <c r="BO66" s="541"/>
      <c r="BP66" s="541"/>
      <c r="BQ66" s="541"/>
      <c r="BR66" s="541"/>
      <c r="BS66" s="541"/>
      <c r="BT66" s="541"/>
      <c r="BU66" s="541"/>
      <c r="BV66" s="541"/>
      <c r="BW66" s="541"/>
      <c r="BX66" s="541"/>
      <c r="BY66" s="541"/>
      <c r="BZ66" s="541"/>
      <c r="CA66" s="541"/>
      <c r="CB66" s="541"/>
      <c r="CC66" s="541"/>
      <c r="CD66" s="541"/>
      <c r="CE66" s="541"/>
      <c r="CF66" s="541"/>
      <c r="CG66" s="541"/>
      <c r="CH66" s="541"/>
      <c r="CI66" s="541"/>
      <c r="CJ66" s="541"/>
      <c r="CK66" s="541"/>
      <c r="CL66" s="541"/>
      <c r="CM66" s="541"/>
      <c r="CN66" s="541"/>
      <c r="CO66" s="541"/>
      <c r="CP66" s="541"/>
      <c r="CQ66" s="541"/>
      <c r="CR66" s="541"/>
      <c r="CS66" s="541"/>
      <c r="CT66" s="541"/>
      <c r="CU66" s="541"/>
      <c r="CV66" s="541"/>
      <c r="CW66" s="541"/>
      <c r="CX66" s="541"/>
      <c r="CY66" s="541"/>
      <c r="CZ66" s="541"/>
      <c r="DA66" s="541"/>
      <c r="DB66" s="541"/>
      <c r="DC66" s="541"/>
      <c r="DD66" s="541"/>
      <c r="DE66" s="541"/>
      <c r="DF66" s="541"/>
      <c r="DG66" s="541"/>
      <c r="DH66" s="541"/>
      <c r="DI66" s="541"/>
      <c r="DJ66" s="541"/>
      <c r="DK66" s="541"/>
      <c r="DL66" s="541"/>
      <c r="DM66" s="541"/>
      <c r="DN66" s="541"/>
      <c r="DO66" s="541"/>
      <c r="DP66" s="541"/>
      <c r="DQ66" s="541"/>
      <c r="DR66" s="541"/>
      <c r="DS66" s="541"/>
      <c r="DT66" s="541"/>
      <c r="DU66" s="541"/>
      <c r="DV66" s="541"/>
      <c r="DW66" s="541"/>
      <c r="DX66" s="541"/>
      <c r="DY66" s="541"/>
      <c r="DZ66" s="541"/>
      <c r="EA66" s="541"/>
      <c r="EB66" s="541"/>
      <c r="EC66" s="541"/>
      <c r="ED66" s="541"/>
      <c r="EE66" s="541"/>
      <c r="EF66" s="541"/>
      <c r="EG66" s="541"/>
      <c r="EH66" s="541"/>
      <c r="EI66" s="541"/>
      <c r="EJ66" s="541"/>
      <c r="EK66" s="541"/>
      <c r="EL66" s="541"/>
      <c r="EM66" s="541"/>
      <c r="EN66" s="541"/>
      <c r="EO66" s="541"/>
      <c r="EP66" s="541"/>
      <c r="EQ66" s="541"/>
      <c r="ER66" s="541"/>
      <c r="ES66" s="541"/>
      <c r="ET66" s="541"/>
      <c r="EU66" s="541"/>
      <c r="EV66" s="541"/>
      <c r="EW66" s="541"/>
      <c r="EX66" s="541"/>
      <c r="EY66" s="541"/>
      <c r="EZ66" s="541"/>
      <c r="FA66" s="541"/>
      <c r="FB66" s="541"/>
      <c r="FC66" s="541"/>
      <c r="FD66" s="541"/>
      <c r="FE66" s="541"/>
      <c r="FF66" s="541"/>
      <c r="FG66" s="541"/>
      <c r="FH66" s="541"/>
      <c r="FI66" s="541"/>
      <c r="FJ66" s="541"/>
      <c r="FK66" s="541"/>
      <c r="FL66" s="541"/>
      <c r="FM66" s="541"/>
      <c r="FN66" s="541"/>
      <c r="FO66" s="541"/>
      <c r="FP66" s="541"/>
      <c r="FQ66" s="541"/>
      <c r="FR66" s="541"/>
      <c r="FS66" s="541"/>
      <c r="FT66" s="541"/>
      <c r="FU66" s="541"/>
      <c r="FV66" s="541"/>
      <c r="FW66" s="541"/>
      <c r="FX66" s="541"/>
      <c r="FY66" s="541"/>
      <c r="FZ66" s="541"/>
      <c r="GA66" s="541"/>
      <c r="GB66" s="541"/>
      <c r="GC66" s="541"/>
      <c r="GD66" s="541"/>
      <c r="GE66" s="541"/>
      <c r="GF66" s="541"/>
      <c r="GG66" s="541"/>
      <c r="GH66" s="541"/>
      <c r="GI66" s="541"/>
      <c r="GJ66" s="541"/>
      <c r="GK66" s="541"/>
      <c r="GL66" s="541"/>
      <c r="GM66" s="541"/>
      <c r="GN66" s="541"/>
      <c r="GO66" s="541"/>
      <c r="GP66" s="541"/>
      <c r="GQ66" s="541"/>
      <c r="GR66" s="541"/>
      <c r="GS66" s="541"/>
      <c r="GT66" s="541"/>
      <c r="GU66" s="541"/>
      <c r="GV66" s="541"/>
      <c r="GW66" s="541"/>
      <c r="GX66" s="541"/>
      <c r="GY66" s="541"/>
      <c r="GZ66" s="541"/>
      <c r="HA66" s="541"/>
      <c r="HB66" s="541"/>
      <c r="HC66" s="541"/>
      <c r="HD66" s="541"/>
      <c r="HE66" s="541"/>
      <c r="HF66" s="541"/>
      <c r="HG66" s="541"/>
      <c r="HH66" s="541"/>
      <c r="HI66" s="541"/>
      <c r="HJ66" s="541"/>
      <c r="HK66" s="541"/>
      <c r="HL66" s="541"/>
      <c r="HM66" s="541"/>
      <c r="HN66" s="541"/>
      <c r="HO66" s="541"/>
    </row>
    <row r="67" spans="1:223" s="542" customFormat="1" ht="15.75">
      <c r="A67" s="536"/>
      <c r="B67" s="536"/>
      <c r="C67" s="536" t="s">
        <v>216</v>
      </c>
      <c r="D67" s="546">
        <f>SUM(D9)</f>
        <v>598062610</v>
      </c>
      <c r="E67" s="546">
        <f>SUM(E9)</f>
        <v>154224569</v>
      </c>
      <c r="F67" s="546">
        <f>SUM(D67:E67)</f>
        <v>752287179</v>
      </c>
      <c r="G67" s="538"/>
      <c r="H67" s="538"/>
      <c r="I67" s="538"/>
      <c r="J67" s="533"/>
      <c r="K67" s="539"/>
      <c r="L67" s="540"/>
      <c r="M67" s="540"/>
      <c r="N67" s="540"/>
      <c r="O67" s="540"/>
      <c r="P67" s="540"/>
      <c r="Q67" s="540"/>
      <c r="R67" s="540"/>
      <c r="S67" s="536"/>
      <c r="T67" s="536" t="s">
        <v>216</v>
      </c>
      <c r="U67" s="536"/>
      <c r="V67" s="536"/>
      <c r="W67" s="546">
        <f>SUM(X13)</f>
        <v>663846945</v>
      </c>
      <c r="X67" s="546">
        <f>Y13</f>
        <v>237611559</v>
      </c>
      <c r="Y67" s="546">
        <f>SUM(W67:X67)</f>
        <v>901458504</v>
      </c>
      <c r="Z67" s="547"/>
      <c r="AA67" s="546">
        <f aca="true" t="shared" si="0" ref="AA67:AB69">W67-D67</f>
        <v>65784335</v>
      </c>
      <c r="AB67" s="546">
        <f t="shared" si="0"/>
        <v>83386990</v>
      </c>
      <c r="AC67" s="547">
        <f>SUM(AA67:AB67)</f>
        <v>149171325</v>
      </c>
      <c r="AD67" s="541"/>
      <c r="AE67" s="541"/>
      <c r="AF67" s="541"/>
      <c r="AG67" s="541"/>
      <c r="AH67" s="541"/>
      <c r="AI67" s="541"/>
      <c r="AJ67" s="541"/>
      <c r="AK67" s="541"/>
      <c r="AL67" s="541"/>
      <c r="AM67" s="541"/>
      <c r="AN67" s="541"/>
      <c r="AO67" s="541"/>
      <c r="AP67" s="541"/>
      <c r="AQ67" s="541"/>
      <c r="AR67" s="541"/>
      <c r="AS67" s="541"/>
      <c r="AT67" s="541"/>
      <c r="AU67" s="541"/>
      <c r="AV67" s="541"/>
      <c r="AW67" s="541"/>
      <c r="AX67" s="541"/>
      <c r="AY67" s="541"/>
      <c r="AZ67" s="541"/>
      <c r="BA67" s="541"/>
      <c r="BB67" s="541"/>
      <c r="BC67" s="541"/>
      <c r="BD67" s="541"/>
      <c r="BE67" s="541"/>
      <c r="BF67" s="541"/>
      <c r="BG67" s="541"/>
      <c r="BH67" s="541"/>
      <c r="BI67" s="541"/>
      <c r="BJ67" s="541"/>
      <c r="BK67" s="541"/>
      <c r="BL67" s="541"/>
      <c r="BM67" s="541"/>
      <c r="BN67" s="541"/>
      <c r="BO67" s="541"/>
      <c r="BP67" s="541"/>
      <c r="BQ67" s="541"/>
      <c r="BR67" s="541"/>
      <c r="BS67" s="541"/>
      <c r="BT67" s="541"/>
      <c r="BU67" s="541"/>
      <c r="BV67" s="541"/>
      <c r="BW67" s="541"/>
      <c r="BX67" s="541"/>
      <c r="BY67" s="541"/>
      <c r="BZ67" s="541"/>
      <c r="CA67" s="541"/>
      <c r="CB67" s="541"/>
      <c r="CC67" s="541"/>
      <c r="CD67" s="541"/>
      <c r="CE67" s="541"/>
      <c r="CF67" s="541"/>
      <c r="CG67" s="541"/>
      <c r="CH67" s="541"/>
      <c r="CI67" s="541"/>
      <c r="CJ67" s="541"/>
      <c r="CK67" s="541"/>
      <c r="CL67" s="541"/>
      <c r="CM67" s="541"/>
      <c r="CN67" s="541"/>
      <c r="CO67" s="541"/>
      <c r="CP67" s="541"/>
      <c r="CQ67" s="541"/>
      <c r="CR67" s="541"/>
      <c r="CS67" s="541"/>
      <c r="CT67" s="541"/>
      <c r="CU67" s="541"/>
      <c r="CV67" s="541"/>
      <c r="CW67" s="541"/>
      <c r="CX67" s="541"/>
      <c r="CY67" s="541"/>
      <c r="CZ67" s="541"/>
      <c r="DA67" s="541"/>
      <c r="DB67" s="541"/>
      <c r="DC67" s="541"/>
      <c r="DD67" s="541"/>
      <c r="DE67" s="541"/>
      <c r="DF67" s="541"/>
      <c r="DG67" s="541"/>
      <c r="DH67" s="541"/>
      <c r="DI67" s="541"/>
      <c r="DJ67" s="541"/>
      <c r="DK67" s="541"/>
      <c r="DL67" s="541"/>
      <c r="DM67" s="541"/>
      <c r="DN67" s="541"/>
      <c r="DO67" s="541"/>
      <c r="DP67" s="541"/>
      <c r="DQ67" s="541"/>
      <c r="DR67" s="541"/>
      <c r="DS67" s="541"/>
      <c r="DT67" s="541"/>
      <c r="DU67" s="541"/>
      <c r="DV67" s="541"/>
      <c r="DW67" s="541"/>
      <c r="DX67" s="541"/>
      <c r="DY67" s="541"/>
      <c r="DZ67" s="541"/>
      <c r="EA67" s="541"/>
      <c r="EB67" s="541"/>
      <c r="EC67" s="541"/>
      <c r="ED67" s="541"/>
      <c r="EE67" s="541"/>
      <c r="EF67" s="541"/>
      <c r="EG67" s="541"/>
      <c r="EH67" s="541"/>
      <c r="EI67" s="541"/>
      <c r="EJ67" s="541"/>
      <c r="EK67" s="541"/>
      <c r="EL67" s="541"/>
      <c r="EM67" s="541"/>
      <c r="EN67" s="541"/>
      <c r="EO67" s="541"/>
      <c r="EP67" s="541"/>
      <c r="EQ67" s="541"/>
      <c r="ER67" s="541"/>
      <c r="ES67" s="541"/>
      <c r="ET67" s="541"/>
      <c r="EU67" s="541"/>
      <c r="EV67" s="541"/>
      <c r="EW67" s="541"/>
      <c r="EX67" s="541"/>
      <c r="EY67" s="541"/>
      <c r="EZ67" s="541"/>
      <c r="FA67" s="541"/>
      <c r="FB67" s="541"/>
      <c r="FC67" s="541"/>
      <c r="FD67" s="541"/>
      <c r="FE67" s="541"/>
      <c r="FF67" s="541"/>
      <c r="FG67" s="541"/>
      <c r="FH67" s="541"/>
      <c r="FI67" s="541"/>
      <c r="FJ67" s="541"/>
      <c r="FK67" s="541"/>
      <c r="FL67" s="541"/>
      <c r="FM67" s="541"/>
      <c r="FN67" s="541"/>
      <c r="FO67" s="541"/>
      <c r="FP67" s="541"/>
      <c r="FQ67" s="541"/>
      <c r="FR67" s="541"/>
      <c r="FS67" s="541"/>
      <c r="FT67" s="541"/>
      <c r="FU67" s="541"/>
      <c r="FV67" s="541"/>
      <c r="FW67" s="541"/>
      <c r="FX67" s="541"/>
      <c r="FY67" s="541"/>
      <c r="FZ67" s="541"/>
      <c r="GA67" s="541"/>
      <c r="GB67" s="541"/>
      <c r="GC67" s="541"/>
      <c r="GD67" s="541"/>
      <c r="GE67" s="541"/>
      <c r="GF67" s="541"/>
      <c r="GG67" s="541"/>
      <c r="GH67" s="541"/>
      <c r="GI67" s="541"/>
      <c r="GJ67" s="541"/>
      <c r="GK67" s="541"/>
      <c r="GL67" s="541"/>
      <c r="GM67" s="541"/>
      <c r="GN67" s="541"/>
      <c r="GO67" s="541"/>
      <c r="GP67" s="541"/>
      <c r="GQ67" s="541"/>
      <c r="GR67" s="541"/>
      <c r="GS67" s="541"/>
      <c r="GT67" s="541"/>
      <c r="GU67" s="541"/>
      <c r="GV67" s="541"/>
      <c r="GW67" s="541"/>
      <c r="GX67" s="541"/>
      <c r="GY67" s="541"/>
      <c r="GZ67" s="541"/>
      <c r="HA67" s="541"/>
      <c r="HB67" s="541"/>
      <c r="HC67" s="541"/>
      <c r="HD67" s="541"/>
      <c r="HE67" s="541"/>
      <c r="HF67" s="541"/>
      <c r="HG67" s="541"/>
      <c r="HH67" s="541"/>
      <c r="HI67" s="541"/>
      <c r="HJ67" s="541"/>
      <c r="HK67" s="541"/>
      <c r="HL67" s="541"/>
      <c r="HM67" s="541"/>
      <c r="HN67" s="541"/>
      <c r="HO67" s="541"/>
    </row>
    <row r="68" spans="1:223" s="542" customFormat="1" ht="15.75">
      <c r="A68" s="536"/>
      <c r="B68" s="536"/>
      <c r="C68" s="536" t="s">
        <v>548</v>
      </c>
      <c r="D68" s="546">
        <f>SUM(D39)</f>
        <v>130066936</v>
      </c>
      <c r="E68" s="546">
        <f>SUM(E39)</f>
        <v>1279000</v>
      </c>
      <c r="F68" s="546">
        <f>SUM(D68:E68)</f>
        <v>131345936</v>
      </c>
      <c r="G68" s="538"/>
      <c r="H68" s="538"/>
      <c r="I68" s="538"/>
      <c r="J68" s="533"/>
      <c r="K68" s="539"/>
      <c r="L68" s="540"/>
      <c r="M68" s="540"/>
      <c r="N68" s="540"/>
      <c r="O68" s="540"/>
      <c r="P68" s="540"/>
      <c r="Q68" s="540"/>
      <c r="R68" s="540"/>
      <c r="S68" s="536"/>
      <c r="T68" s="536" t="s">
        <v>548</v>
      </c>
      <c r="U68" s="536"/>
      <c r="V68" s="536"/>
      <c r="W68" s="546">
        <f>SUM(X39)</f>
        <v>146606236</v>
      </c>
      <c r="X68" s="546">
        <f>Y39</f>
        <v>0</v>
      </c>
      <c r="Y68" s="546">
        <f>SUM(W68:X68)</f>
        <v>146606236</v>
      </c>
      <c r="Z68" s="547"/>
      <c r="AA68" s="546">
        <f t="shared" si="0"/>
        <v>16539300</v>
      </c>
      <c r="AB68" s="546">
        <f t="shared" si="0"/>
        <v>-1279000</v>
      </c>
      <c r="AC68" s="547">
        <f>SUM(AA68:AB68)</f>
        <v>15260300</v>
      </c>
      <c r="AD68" s="541"/>
      <c r="AE68" s="541"/>
      <c r="AF68" s="541"/>
      <c r="AG68" s="541"/>
      <c r="AH68" s="541"/>
      <c r="AI68" s="541"/>
      <c r="AJ68" s="541"/>
      <c r="AK68" s="541"/>
      <c r="AL68" s="541"/>
      <c r="AM68" s="541"/>
      <c r="AN68" s="541"/>
      <c r="AO68" s="541"/>
      <c r="AP68" s="541"/>
      <c r="AQ68" s="541"/>
      <c r="AR68" s="541"/>
      <c r="AS68" s="541"/>
      <c r="AT68" s="541"/>
      <c r="AU68" s="541"/>
      <c r="AV68" s="541"/>
      <c r="AW68" s="541"/>
      <c r="AX68" s="541"/>
      <c r="AY68" s="541"/>
      <c r="AZ68" s="541"/>
      <c r="BA68" s="541"/>
      <c r="BB68" s="541"/>
      <c r="BC68" s="541"/>
      <c r="BD68" s="541"/>
      <c r="BE68" s="541"/>
      <c r="BF68" s="541"/>
      <c r="BG68" s="541"/>
      <c r="BH68" s="541"/>
      <c r="BI68" s="541"/>
      <c r="BJ68" s="541"/>
      <c r="BK68" s="541"/>
      <c r="BL68" s="541"/>
      <c r="BM68" s="541"/>
      <c r="BN68" s="541"/>
      <c r="BO68" s="541"/>
      <c r="BP68" s="541"/>
      <c r="BQ68" s="541"/>
      <c r="BR68" s="541"/>
      <c r="BS68" s="541"/>
      <c r="BT68" s="541"/>
      <c r="BU68" s="541"/>
      <c r="BV68" s="541"/>
      <c r="BW68" s="541"/>
      <c r="BX68" s="541"/>
      <c r="BY68" s="541"/>
      <c r="BZ68" s="541"/>
      <c r="CA68" s="541"/>
      <c r="CB68" s="541"/>
      <c r="CC68" s="541"/>
      <c r="CD68" s="541"/>
      <c r="CE68" s="541"/>
      <c r="CF68" s="541"/>
      <c r="CG68" s="541"/>
      <c r="CH68" s="541"/>
      <c r="CI68" s="541"/>
      <c r="CJ68" s="541"/>
      <c r="CK68" s="541"/>
      <c r="CL68" s="541"/>
      <c r="CM68" s="541"/>
      <c r="CN68" s="541"/>
      <c r="CO68" s="541"/>
      <c r="CP68" s="541"/>
      <c r="CQ68" s="541"/>
      <c r="CR68" s="541"/>
      <c r="CS68" s="541"/>
      <c r="CT68" s="541"/>
      <c r="CU68" s="541"/>
      <c r="CV68" s="541"/>
      <c r="CW68" s="541"/>
      <c r="CX68" s="541"/>
      <c r="CY68" s="541"/>
      <c r="CZ68" s="541"/>
      <c r="DA68" s="541"/>
      <c r="DB68" s="541"/>
      <c r="DC68" s="541"/>
      <c r="DD68" s="541"/>
      <c r="DE68" s="541"/>
      <c r="DF68" s="541"/>
      <c r="DG68" s="541"/>
      <c r="DH68" s="541"/>
      <c r="DI68" s="541"/>
      <c r="DJ68" s="541"/>
      <c r="DK68" s="541"/>
      <c r="DL68" s="541"/>
      <c r="DM68" s="541"/>
      <c r="DN68" s="541"/>
      <c r="DO68" s="541"/>
      <c r="DP68" s="541"/>
      <c r="DQ68" s="541"/>
      <c r="DR68" s="541"/>
      <c r="DS68" s="541"/>
      <c r="DT68" s="541"/>
      <c r="DU68" s="541"/>
      <c r="DV68" s="541"/>
      <c r="DW68" s="541"/>
      <c r="DX68" s="541"/>
      <c r="DY68" s="541"/>
      <c r="DZ68" s="541"/>
      <c r="EA68" s="541"/>
      <c r="EB68" s="541"/>
      <c r="EC68" s="541"/>
      <c r="ED68" s="541"/>
      <c r="EE68" s="541"/>
      <c r="EF68" s="541"/>
      <c r="EG68" s="541"/>
      <c r="EH68" s="541"/>
      <c r="EI68" s="541"/>
      <c r="EJ68" s="541"/>
      <c r="EK68" s="541"/>
      <c r="EL68" s="541"/>
      <c r="EM68" s="541"/>
      <c r="EN68" s="541"/>
      <c r="EO68" s="541"/>
      <c r="EP68" s="541"/>
      <c r="EQ68" s="541"/>
      <c r="ER68" s="541"/>
      <c r="ES68" s="541"/>
      <c r="ET68" s="541"/>
      <c r="EU68" s="541"/>
      <c r="EV68" s="541"/>
      <c r="EW68" s="541"/>
      <c r="EX68" s="541"/>
      <c r="EY68" s="541"/>
      <c r="EZ68" s="541"/>
      <c r="FA68" s="541"/>
      <c r="FB68" s="541"/>
      <c r="FC68" s="541"/>
      <c r="FD68" s="541"/>
      <c r="FE68" s="541"/>
      <c r="FF68" s="541"/>
      <c r="FG68" s="541"/>
      <c r="FH68" s="541"/>
      <c r="FI68" s="541"/>
      <c r="FJ68" s="541"/>
      <c r="FK68" s="541"/>
      <c r="FL68" s="541"/>
      <c r="FM68" s="541"/>
      <c r="FN68" s="541"/>
      <c r="FO68" s="541"/>
      <c r="FP68" s="541"/>
      <c r="FQ68" s="541"/>
      <c r="FR68" s="541"/>
      <c r="FS68" s="541"/>
      <c r="FT68" s="541"/>
      <c r="FU68" s="541"/>
      <c r="FV68" s="541"/>
      <c r="FW68" s="541"/>
      <c r="FX68" s="541"/>
      <c r="FY68" s="541"/>
      <c r="FZ68" s="541"/>
      <c r="GA68" s="541"/>
      <c r="GB68" s="541"/>
      <c r="GC68" s="541"/>
      <c r="GD68" s="541"/>
      <c r="GE68" s="541"/>
      <c r="GF68" s="541"/>
      <c r="GG68" s="541"/>
      <c r="GH68" s="541"/>
      <c r="GI68" s="541"/>
      <c r="GJ68" s="541"/>
      <c r="GK68" s="541"/>
      <c r="GL68" s="541"/>
      <c r="GM68" s="541"/>
      <c r="GN68" s="541"/>
      <c r="GO68" s="541"/>
      <c r="GP68" s="541"/>
      <c r="GQ68" s="541"/>
      <c r="GR68" s="541"/>
      <c r="GS68" s="541"/>
      <c r="GT68" s="541"/>
      <c r="GU68" s="541"/>
      <c r="GV68" s="541"/>
      <c r="GW68" s="541"/>
      <c r="GX68" s="541"/>
      <c r="GY68" s="541"/>
      <c r="GZ68" s="541"/>
      <c r="HA68" s="541"/>
      <c r="HB68" s="541"/>
      <c r="HC68" s="541"/>
      <c r="HD68" s="541"/>
      <c r="HE68" s="541"/>
      <c r="HF68" s="541"/>
      <c r="HG68" s="541"/>
      <c r="HH68" s="541"/>
      <c r="HI68" s="541"/>
      <c r="HJ68" s="541"/>
      <c r="HK68" s="541"/>
      <c r="HL68" s="541"/>
      <c r="HM68" s="541"/>
      <c r="HN68" s="541"/>
      <c r="HO68" s="541"/>
    </row>
    <row r="69" spans="1:223" s="542" customFormat="1" ht="12.75">
      <c r="A69" s="536"/>
      <c r="B69" s="536"/>
      <c r="C69" s="548" t="s">
        <v>217</v>
      </c>
      <c r="D69" s="549">
        <f>SUM(D54)</f>
        <v>245365457</v>
      </c>
      <c r="E69" s="549">
        <f>SUM(E54)</f>
        <v>6041000</v>
      </c>
      <c r="F69" s="549">
        <f>SUM(D69:E69)</f>
        <v>251406457</v>
      </c>
      <c r="G69" s="536"/>
      <c r="H69" s="536"/>
      <c r="I69" s="536"/>
      <c r="J69" s="536"/>
      <c r="K69" s="540"/>
      <c r="L69" s="540"/>
      <c r="M69" s="540"/>
      <c r="N69" s="540"/>
      <c r="O69" s="540"/>
      <c r="P69" s="540"/>
      <c r="Q69" s="540"/>
      <c r="R69" s="540"/>
      <c r="S69" s="536"/>
      <c r="T69" s="548" t="s">
        <v>217</v>
      </c>
      <c r="U69" s="550"/>
      <c r="V69" s="550"/>
      <c r="W69" s="549">
        <f>SUM(X54)</f>
        <v>167430933</v>
      </c>
      <c r="X69" s="549">
        <f>Y54</f>
        <v>0</v>
      </c>
      <c r="Y69" s="549">
        <f>SUM(W69:X69)</f>
        <v>167430933</v>
      </c>
      <c r="Z69" s="547"/>
      <c r="AA69" s="549">
        <f t="shared" si="0"/>
        <v>-77934524</v>
      </c>
      <c r="AB69" s="549">
        <f t="shared" si="0"/>
        <v>-6041000</v>
      </c>
      <c r="AC69" s="549">
        <f>SUM(AA69:AB69)</f>
        <v>-83975524</v>
      </c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B69" s="541"/>
      <c r="BC69" s="541"/>
      <c r="BD69" s="541"/>
      <c r="BE69" s="541"/>
      <c r="BF69" s="541"/>
      <c r="BG69" s="541"/>
      <c r="BH69" s="541"/>
      <c r="BI69" s="541"/>
      <c r="BJ69" s="541"/>
      <c r="BK69" s="541"/>
      <c r="BL69" s="541"/>
      <c r="BM69" s="541"/>
      <c r="BN69" s="541"/>
      <c r="BO69" s="541"/>
      <c r="BP69" s="541"/>
      <c r="BQ69" s="541"/>
      <c r="BR69" s="541"/>
      <c r="BS69" s="541"/>
      <c r="BT69" s="541"/>
      <c r="BU69" s="541"/>
      <c r="BV69" s="541"/>
      <c r="BW69" s="541"/>
      <c r="BX69" s="541"/>
      <c r="BY69" s="541"/>
      <c r="BZ69" s="541"/>
      <c r="CA69" s="541"/>
      <c r="CB69" s="541"/>
      <c r="CC69" s="541"/>
      <c r="CD69" s="541"/>
      <c r="CE69" s="541"/>
      <c r="CF69" s="541"/>
      <c r="CG69" s="541"/>
      <c r="CH69" s="541"/>
      <c r="CI69" s="541"/>
      <c r="CJ69" s="541"/>
      <c r="CK69" s="541"/>
      <c r="CL69" s="541"/>
      <c r="CM69" s="541"/>
      <c r="CN69" s="541"/>
      <c r="CO69" s="541"/>
      <c r="CP69" s="541"/>
      <c r="CQ69" s="541"/>
      <c r="CR69" s="541"/>
      <c r="CS69" s="541"/>
      <c r="CT69" s="541"/>
      <c r="CU69" s="541"/>
      <c r="CV69" s="541"/>
      <c r="CW69" s="541"/>
      <c r="CX69" s="541"/>
      <c r="CY69" s="541"/>
      <c r="CZ69" s="541"/>
      <c r="DA69" s="541"/>
      <c r="DB69" s="541"/>
      <c r="DC69" s="541"/>
      <c r="DD69" s="541"/>
      <c r="DE69" s="541"/>
      <c r="DF69" s="541"/>
      <c r="DG69" s="541"/>
      <c r="DH69" s="541"/>
      <c r="DI69" s="541"/>
      <c r="DJ69" s="541"/>
      <c r="DK69" s="541"/>
      <c r="DL69" s="541"/>
      <c r="DM69" s="541"/>
      <c r="DN69" s="541"/>
      <c r="DO69" s="541"/>
      <c r="DP69" s="541"/>
      <c r="DQ69" s="541"/>
      <c r="DR69" s="541"/>
      <c r="DS69" s="541"/>
      <c r="DT69" s="541"/>
      <c r="DU69" s="541"/>
      <c r="DV69" s="541"/>
      <c r="DW69" s="541"/>
      <c r="DX69" s="541"/>
      <c r="DY69" s="541"/>
      <c r="DZ69" s="541"/>
      <c r="EA69" s="541"/>
      <c r="EB69" s="541"/>
      <c r="EC69" s="541"/>
      <c r="ED69" s="541"/>
      <c r="EE69" s="541"/>
      <c r="EF69" s="541"/>
      <c r="EG69" s="541"/>
      <c r="EH69" s="541"/>
      <c r="EI69" s="541"/>
      <c r="EJ69" s="541"/>
      <c r="EK69" s="541"/>
      <c r="EL69" s="541"/>
      <c r="EM69" s="541"/>
      <c r="EN69" s="541"/>
      <c r="EO69" s="541"/>
      <c r="EP69" s="541"/>
      <c r="EQ69" s="541"/>
      <c r="ER69" s="541"/>
      <c r="ES69" s="541"/>
      <c r="ET69" s="541"/>
      <c r="EU69" s="541"/>
      <c r="EV69" s="541"/>
      <c r="EW69" s="541"/>
      <c r="EX69" s="541"/>
      <c r="EY69" s="541"/>
      <c r="EZ69" s="541"/>
      <c r="FA69" s="541"/>
      <c r="FB69" s="541"/>
      <c r="FC69" s="541"/>
      <c r="FD69" s="541"/>
      <c r="FE69" s="541"/>
      <c r="FF69" s="541"/>
      <c r="FG69" s="541"/>
      <c r="FH69" s="541"/>
      <c r="FI69" s="541"/>
      <c r="FJ69" s="541"/>
      <c r="FK69" s="541"/>
      <c r="FL69" s="541"/>
      <c r="FM69" s="541"/>
      <c r="FN69" s="541"/>
      <c r="FO69" s="541"/>
      <c r="FP69" s="541"/>
      <c r="FQ69" s="541"/>
      <c r="FR69" s="541"/>
      <c r="FS69" s="541"/>
      <c r="FT69" s="541"/>
      <c r="FU69" s="541"/>
      <c r="FV69" s="541"/>
      <c r="FW69" s="541"/>
      <c r="FX69" s="541"/>
      <c r="FY69" s="541"/>
      <c r="FZ69" s="541"/>
      <c r="GA69" s="541"/>
      <c r="GB69" s="541"/>
      <c r="GC69" s="541"/>
      <c r="GD69" s="541"/>
      <c r="GE69" s="541"/>
      <c r="GF69" s="541"/>
      <c r="GG69" s="541"/>
      <c r="GH69" s="541"/>
      <c r="GI69" s="541"/>
      <c r="GJ69" s="541"/>
      <c r="GK69" s="541"/>
      <c r="GL69" s="541"/>
      <c r="GM69" s="541"/>
      <c r="GN69" s="541"/>
      <c r="GO69" s="541"/>
      <c r="GP69" s="541"/>
      <c r="GQ69" s="541"/>
      <c r="GR69" s="541"/>
      <c r="GS69" s="541"/>
      <c r="GT69" s="541"/>
      <c r="GU69" s="541"/>
      <c r="GV69" s="541"/>
      <c r="GW69" s="541"/>
      <c r="GX69" s="541"/>
      <c r="GY69" s="541"/>
      <c r="GZ69" s="541"/>
      <c r="HA69" s="541"/>
      <c r="HB69" s="541"/>
      <c r="HC69" s="541"/>
      <c r="HD69" s="541"/>
      <c r="HE69" s="541"/>
      <c r="HF69" s="541"/>
      <c r="HG69" s="541"/>
      <c r="HH69" s="541"/>
      <c r="HI69" s="541"/>
      <c r="HJ69" s="541"/>
      <c r="HK69" s="541"/>
      <c r="HL69" s="541"/>
      <c r="HM69" s="541"/>
      <c r="HN69" s="541"/>
      <c r="HO69" s="541"/>
    </row>
    <row r="70" spans="1:223" s="542" customFormat="1" ht="12.75">
      <c r="A70" s="536"/>
      <c r="B70" s="536"/>
      <c r="C70" s="551" t="s">
        <v>540</v>
      </c>
      <c r="D70" s="546">
        <f>SUM(D67:D69)</f>
        <v>973495003</v>
      </c>
      <c r="E70" s="546">
        <f>SUM(E67:E69)</f>
        <v>161544569</v>
      </c>
      <c r="F70" s="546">
        <f>SUM(F67:F69)</f>
        <v>1135039572</v>
      </c>
      <c r="G70" s="536"/>
      <c r="H70" s="536"/>
      <c r="I70" s="536"/>
      <c r="J70" s="536"/>
      <c r="K70" s="540"/>
      <c r="L70" s="540"/>
      <c r="M70" s="540"/>
      <c r="N70" s="540"/>
      <c r="O70" s="540"/>
      <c r="P70" s="540"/>
      <c r="Q70" s="540"/>
      <c r="R70" s="540"/>
      <c r="S70" s="536"/>
      <c r="T70" s="551" t="s">
        <v>540</v>
      </c>
      <c r="U70" s="536"/>
      <c r="V70" s="551"/>
      <c r="W70" s="546">
        <f>SUM(W67:W69)</f>
        <v>977884114</v>
      </c>
      <c r="X70" s="546">
        <f>SUM(X67:X69)</f>
        <v>237611559</v>
      </c>
      <c r="Y70" s="546">
        <f>SUM(Y67:Y69)</f>
        <v>1215495673</v>
      </c>
      <c r="Z70" s="547"/>
      <c r="AA70" s="546">
        <f>SUM(AA67:AA69)</f>
        <v>4389111</v>
      </c>
      <c r="AB70" s="546">
        <f>SUM(AB67:AB69)</f>
        <v>76066990</v>
      </c>
      <c r="AC70" s="546">
        <f>SUM(AC67:AC69)</f>
        <v>80456101</v>
      </c>
      <c r="AD70" s="541"/>
      <c r="AE70" s="541"/>
      <c r="AF70" s="541"/>
      <c r="AG70" s="541"/>
      <c r="AH70" s="541"/>
      <c r="AI70" s="541"/>
      <c r="AJ70" s="541"/>
      <c r="AK70" s="541"/>
      <c r="AL70" s="541"/>
      <c r="AM70" s="541"/>
      <c r="AN70" s="541"/>
      <c r="AO70" s="541"/>
      <c r="AP70" s="541"/>
      <c r="AQ70" s="541"/>
      <c r="AR70" s="541"/>
      <c r="AS70" s="541"/>
      <c r="AT70" s="541"/>
      <c r="AU70" s="541"/>
      <c r="AV70" s="541"/>
      <c r="AW70" s="541"/>
      <c r="AX70" s="541"/>
      <c r="AY70" s="541"/>
      <c r="AZ70" s="541"/>
      <c r="BA70" s="541"/>
      <c r="BB70" s="541"/>
      <c r="BC70" s="541"/>
      <c r="BD70" s="541"/>
      <c r="BE70" s="541"/>
      <c r="BF70" s="541"/>
      <c r="BG70" s="541"/>
      <c r="BH70" s="541"/>
      <c r="BI70" s="541"/>
      <c r="BJ70" s="541"/>
      <c r="BK70" s="541"/>
      <c r="BL70" s="541"/>
      <c r="BM70" s="541"/>
      <c r="BN70" s="541"/>
      <c r="BO70" s="541"/>
      <c r="BP70" s="541"/>
      <c r="BQ70" s="541"/>
      <c r="BR70" s="541"/>
      <c r="BS70" s="541"/>
      <c r="BT70" s="541"/>
      <c r="BU70" s="541"/>
      <c r="BV70" s="541"/>
      <c r="BW70" s="541"/>
      <c r="BX70" s="541"/>
      <c r="BY70" s="541"/>
      <c r="BZ70" s="541"/>
      <c r="CA70" s="541"/>
      <c r="CB70" s="541"/>
      <c r="CC70" s="541"/>
      <c r="CD70" s="541"/>
      <c r="CE70" s="541"/>
      <c r="CF70" s="541"/>
      <c r="CG70" s="541"/>
      <c r="CH70" s="541"/>
      <c r="CI70" s="541"/>
      <c r="CJ70" s="541"/>
      <c r="CK70" s="541"/>
      <c r="CL70" s="541"/>
      <c r="CM70" s="541"/>
      <c r="CN70" s="541"/>
      <c r="CO70" s="541"/>
      <c r="CP70" s="541"/>
      <c r="CQ70" s="541"/>
      <c r="CR70" s="541"/>
      <c r="CS70" s="541"/>
      <c r="CT70" s="541"/>
      <c r="CU70" s="541"/>
      <c r="CV70" s="541"/>
      <c r="CW70" s="541"/>
      <c r="CX70" s="541"/>
      <c r="CY70" s="541"/>
      <c r="CZ70" s="541"/>
      <c r="DA70" s="541"/>
      <c r="DB70" s="541"/>
      <c r="DC70" s="541"/>
      <c r="DD70" s="541"/>
      <c r="DE70" s="541"/>
      <c r="DF70" s="541"/>
      <c r="DG70" s="541"/>
      <c r="DH70" s="541"/>
      <c r="DI70" s="541"/>
      <c r="DJ70" s="541"/>
      <c r="DK70" s="541"/>
      <c r="DL70" s="541"/>
      <c r="DM70" s="541"/>
      <c r="DN70" s="541"/>
      <c r="DO70" s="541"/>
      <c r="DP70" s="541"/>
      <c r="DQ70" s="541"/>
      <c r="DR70" s="541"/>
      <c r="DS70" s="541"/>
      <c r="DT70" s="541"/>
      <c r="DU70" s="541"/>
      <c r="DV70" s="541"/>
      <c r="DW70" s="541"/>
      <c r="DX70" s="541"/>
      <c r="DY70" s="541"/>
      <c r="DZ70" s="541"/>
      <c r="EA70" s="541"/>
      <c r="EB70" s="541"/>
      <c r="EC70" s="541"/>
      <c r="ED70" s="541"/>
      <c r="EE70" s="541"/>
      <c r="EF70" s="541"/>
      <c r="EG70" s="541"/>
      <c r="EH70" s="541"/>
      <c r="EI70" s="541"/>
      <c r="EJ70" s="541"/>
      <c r="EK70" s="541"/>
      <c r="EL70" s="541"/>
      <c r="EM70" s="541"/>
      <c r="EN70" s="541"/>
      <c r="EO70" s="541"/>
      <c r="EP70" s="541"/>
      <c r="EQ70" s="541"/>
      <c r="ER70" s="541"/>
      <c r="ES70" s="541"/>
      <c r="ET70" s="541"/>
      <c r="EU70" s="541"/>
      <c r="EV70" s="541"/>
      <c r="EW70" s="541"/>
      <c r="EX70" s="541"/>
      <c r="EY70" s="541"/>
      <c r="EZ70" s="541"/>
      <c r="FA70" s="541"/>
      <c r="FB70" s="541"/>
      <c r="FC70" s="541"/>
      <c r="FD70" s="541"/>
      <c r="FE70" s="541"/>
      <c r="FF70" s="541"/>
      <c r="FG70" s="541"/>
      <c r="FH70" s="541"/>
      <c r="FI70" s="541"/>
      <c r="FJ70" s="541"/>
      <c r="FK70" s="541"/>
      <c r="FL70" s="541"/>
      <c r="FM70" s="541"/>
      <c r="FN70" s="541"/>
      <c r="FO70" s="541"/>
      <c r="FP70" s="541"/>
      <c r="FQ70" s="541"/>
      <c r="FR70" s="541"/>
      <c r="FS70" s="541"/>
      <c r="FT70" s="541"/>
      <c r="FU70" s="541"/>
      <c r="FV70" s="541"/>
      <c r="FW70" s="541"/>
      <c r="FX70" s="541"/>
      <c r="FY70" s="541"/>
      <c r="FZ70" s="541"/>
      <c r="GA70" s="541"/>
      <c r="GB70" s="541"/>
      <c r="GC70" s="541"/>
      <c r="GD70" s="541"/>
      <c r="GE70" s="541"/>
      <c r="GF70" s="541"/>
      <c r="GG70" s="541"/>
      <c r="GH70" s="541"/>
      <c r="GI70" s="541"/>
      <c r="GJ70" s="541"/>
      <c r="GK70" s="541"/>
      <c r="GL70" s="541"/>
      <c r="GM70" s="541"/>
      <c r="GN70" s="541"/>
      <c r="GO70" s="541"/>
      <c r="GP70" s="541"/>
      <c r="GQ70" s="541"/>
      <c r="GR70" s="541"/>
      <c r="GS70" s="541"/>
      <c r="GT70" s="541"/>
      <c r="GU70" s="541"/>
      <c r="GV70" s="541"/>
      <c r="GW70" s="541"/>
      <c r="GX70" s="541"/>
      <c r="GY70" s="541"/>
      <c r="GZ70" s="541"/>
      <c r="HA70" s="541"/>
      <c r="HB70" s="541"/>
      <c r="HC70" s="541"/>
      <c r="HD70" s="541"/>
      <c r="HE70" s="541"/>
      <c r="HF70" s="541"/>
      <c r="HG70" s="541"/>
      <c r="HH70" s="541"/>
      <c r="HI70" s="541"/>
      <c r="HJ70" s="541"/>
      <c r="HK70" s="541"/>
      <c r="HL70" s="541"/>
      <c r="HM70" s="541"/>
      <c r="HN70" s="541"/>
      <c r="HO70" s="541"/>
    </row>
    <row r="71" spans="1:223" s="542" customFormat="1" ht="12.75">
      <c r="A71" s="536"/>
      <c r="B71" s="536"/>
      <c r="C71" s="536"/>
      <c r="D71" s="546"/>
      <c r="E71" s="546"/>
      <c r="F71" s="546"/>
      <c r="G71" s="536"/>
      <c r="H71" s="536"/>
      <c r="I71" s="536"/>
      <c r="J71" s="536"/>
      <c r="K71" s="536"/>
      <c r="L71" s="540"/>
      <c r="M71" s="540"/>
      <c r="N71" s="540"/>
      <c r="O71" s="540"/>
      <c r="P71" s="540"/>
      <c r="Q71" s="540"/>
      <c r="R71" s="540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40"/>
      <c r="AD71" s="541"/>
      <c r="AE71" s="541"/>
      <c r="AF71" s="541"/>
      <c r="AG71" s="541"/>
      <c r="AH71" s="541"/>
      <c r="AI71" s="541"/>
      <c r="AJ71" s="541"/>
      <c r="AK71" s="541"/>
      <c r="AL71" s="541"/>
      <c r="AM71" s="541"/>
      <c r="AN71" s="541"/>
      <c r="AO71" s="541"/>
      <c r="AP71" s="541"/>
      <c r="AQ71" s="541"/>
      <c r="AR71" s="541"/>
      <c r="AS71" s="541"/>
      <c r="AT71" s="541"/>
      <c r="AU71" s="541"/>
      <c r="AV71" s="541"/>
      <c r="AW71" s="541"/>
      <c r="AX71" s="541"/>
      <c r="AY71" s="541"/>
      <c r="AZ71" s="541"/>
      <c r="BA71" s="541"/>
      <c r="BB71" s="541"/>
      <c r="BC71" s="541"/>
      <c r="BD71" s="541"/>
      <c r="BE71" s="541"/>
      <c r="BF71" s="541"/>
      <c r="BG71" s="541"/>
      <c r="BH71" s="541"/>
      <c r="BI71" s="541"/>
      <c r="BJ71" s="541"/>
      <c r="BK71" s="541"/>
      <c r="BL71" s="541"/>
      <c r="BM71" s="541"/>
      <c r="BN71" s="541"/>
      <c r="BO71" s="541"/>
      <c r="BP71" s="541"/>
      <c r="BQ71" s="541"/>
      <c r="BR71" s="541"/>
      <c r="BS71" s="541"/>
      <c r="BT71" s="541"/>
      <c r="BU71" s="541"/>
      <c r="BV71" s="541"/>
      <c r="BW71" s="541"/>
      <c r="BX71" s="541"/>
      <c r="BY71" s="541"/>
      <c r="BZ71" s="541"/>
      <c r="CA71" s="541"/>
      <c r="CB71" s="541"/>
      <c r="CC71" s="541"/>
      <c r="CD71" s="541"/>
      <c r="CE71" s="541"/>
      <c r="CF71" s="541"/>
      <c r="CG71" s="541"/>
      <c r="CH71" s="541"/>
      <c r="CI71" s="541"/>
      <c r="CJ71" s="541"/>
      <c r="CK71" s="541"/>
      <c r="CL71" s="541"/>
      <c r="CM71" s="541"/>
      <c r="CN71" s="541"/>
      <c r="CO71" s="541"/>
      <c r="CP71" s="541"/>
      <c r="CQ71" s="541"/>
      <c r="CR71" s="541"/>
      <c r="CS71" s="541"/>
      <c r="CT71" s="541"/>
      <c r="CU71" s="541"/>
      <c r="CV71" s="541"/>
      <c r="CW71" s="541"/>
      <c r="CX71" s="541"/>
      <c r="CY71" s="541"/>
      <c r="CZ71" s="541"/>
      <c r="DA71" s="541"/>
      <c r="DB71" s="541"/>
      <c r="DC71" s="541"/>
      <c r="DD71" s="541"/>
      <c r="DE71" s="541"/>
      <c r="DF71" s="541"/>
      <c r="DG71" s="541"/>
      <c r="DH71" s="541"/>
      <c r="DI71" s="541"/>
      <c r="DJ71" s="541"/>
      <c r="DK71" s="541"/>
      <c r="DL71" s="541"/>
      <c r="DM71" s="541"/>
      <c r="DN71" s="541"/>
      <c r="DO71" s="541"/>
      <c r="DP71" s="541"/>
      <c r="DQ71" s="541"/>
      <c r="DR71" s="541"/>
      <c r="DS71" s="541"/>
      <c r="DT71" s="541"/>
      <c r="DU71" s="541"/>
      <c r="DV71" s="541"/>
      <c r="DW71" s="541"/>
      <c r="DX71" s="541"/>
      <c r="DY71" s="541"/>
      <c r="DZ71" s="541"/>
      <c r="EA71" s="541"/>
      <c r="EB71" s="541"/>
      <c r="EC71" s="541"/>
      <c r="ED71" s="541"/>
      <c r="EE71" s="541"/>
      <c r="EF71" s="541"/>
      <c r="EG71" s="541"/>
      <c r="EH71" s="541"/>
      <c r="EI71" s="541"/>
      <c r="EJ71" s="541"/>
      <c r="EK71" s="541"/>
      <c r="EL71" s="541"/>
      <c r="EM71" s="541"/>
      <c r="EN71" s="541"/>
      <c r="EO71" s="541"/>
      <c r="EP71" s="541"/>
      <c r="EQ71" s="541"/>
      <c r="ER71" s="541"/>
      <c r="ES71" s="541"/>
      <c r="ET71" s="541"/>
      <c r="EU71" s="541"/>
      <c r="EV71" s="541"/>
      <c r="EW71" s="541"/>
      <c r="EX71" s="541"/>
      <c r="EY71" s="541"/>
      <c r="EZ71" s="541"/>
      <c r="FA71" s="541"/>
      <c r="FB71" s="541"/>
      <c r="FC71" s="541"/>
      <c r="FD71" s="541"/>
      <c r="FE71" s="541"/>
      <c r="FF71" s="541"/>
      <c r="FG71" s="541"/>
      <c r="FH71" s="541"/>
      <c r="FI71" s="541"/>
      <c r="FJ71" s="541"/>
      <c r="FK71" s="541"/>
      <c r="FL71" s="541"/>
      <c r="FM71" s="541"/>
      <c r="FN71" s="541"/>
      <c r="FO71" s="541"/>
      <c r="FP71" s="541"/>
      <c r="FQ71" s="541"/>
      <c r="FR71" s="541"/>
      <c r="FS71" s="541"/>
      <c r="FT71" s="541"/>
      <c r="FU71" s="541"/>
      <c r="FV71" s="541"/>
      <c r="FW71" s="541"/>
      <c r="FX71" s="541"/>
      <c r="FY71" s="541"/>
      <c r="FZ71" s="541"/>
      <c r="GA71" s="541"/>
      <c r="GB71" s="541"/>
      <c r="GC71" s="541"/>
      <c r="GD71" s="541"/>
      <c r="GE71" s="541"/>
      <c r="GF71" s="541"/>
      <c r="GG71" s="541"/>
      <c r="GH71" s="541"/>
      <c r="GI71" s="541"/>
      <c r="GJ71" s="541"/>
      <c r="GK71" s="541"/>
      <c r="GL71" s="541"/>
      <c r="GM71" s="541"/>
      <c r="GN71" s="541"/>
      <c r="GO71" s="541"/>
      <c r="GP71" s="541"/>
      <c r="GQ71" s="541"/>
      <c r="GR71" s="541"/>
      <c r="GS71" s="541"/>
      <c r="GT71" s="541"/>
      <c r="GU71" s="541"/>
      <c r="GV71" s="541"/>
      <c r="GW71" s="541"/>
      <c r="GX71" s="541"/>
      <c r="GY71" s="541"/>
      <c r="GZ71" s="541"/>
      <c r="HA71" s="541"/>
      <c r="HB71" s="541"/>
      <c r="HC71" s="541"/>
      <c r="HD71" s="541"/>
      <c r="HE71" s="541"/>
      <c r="HF71" s="541"/>
      <c r="HG71" s="541"/>
      <c r="HH71" s="541"/>
      <c r="HI71" s="541"/>
      <c r="HJ71" s="541"/>
      <c r="HK71" s="541"/>
      <c r="HL71" s="541"/>
      <c r="HM71" s="541"/>
      <c r="HN71" s="541"/>
      <c r="HO71" s="541"/>
    </row>
    <row r="72" spans="1:223" s="542" customFormat="1" ht="12.75">
      <c r="A72" s="536"/>
      <c r="B72" s="536"/>
      <c r="C72" s="545" t="s">
        <v>218</v>
      </c>
      <c r="D72" s="546"/>
      <c r="E72" s="546"/>
      <c r="F72" s="546"/>
      <c r="G72" s="536"/>
      <c r="H72" s="536"/>
      <c r="I72" s="536"/>
      <c r="J72" s="536"/>
      <c r="K72" s="536"/>
      <c r="L72" s="540"/>
      <c r="M72" s="540"/>
      <c r="N72" s="540"/>
      <c r="O72" s="540"/>
      <c r="P72" s="540"/>
      <c r="Q72" s="540"/>
      <c r="R72" s="540"/>
      <c r="S72" s="536"/>
      <c r="T72" s="545" t="s">
        <v>218</v>
      </c>
      <c r="U72" s="552"/>
      <c r="V72" s="545"/>
      <c r="W72" s="553"/>
      <c r="X72" s="553"/>
      <c r="Y72" s="536"/>
      <c r="Z72" s="536"/>
      <c r="AA72" s="536"/>
      <c r="AB72" s="536"/>
      <c r="AC72" s="540"/>
      <c r="AD72" s="541"/>
      <c r="AE72" s="541"/>
      <c r="AF72" s="541"/>
      <c r="AG72" s="541"/>
      <c r="AH72" s="541"/>
      <c r="AI72" s="541"/>
      <c r="AJ72" s="541"/>
      <c r="AK72" s="541"/>
      <c r="AL72" s="541"/>
      <c r="AM72" s="541"/>
      <c r="AN72" s="541"/>
      <c r="AO72" s="541"/>
      <c r="AP72" s="541"/>
      <c r="AQ72" s="541"/>
      <c r="AR72" s="541"/>
      <c r="AS72" s="541"/>
      <c r="AT72" s="541"/>
      <c r="AU72" s="541"/>
      <c r="AV72" s="541"/>
      <c r="AW72" s="541"/>
      <c r="AX72" s="541"/>
      <c r="AY72" s="541"/>
      <c r="AZ72" s="541"/>
      <c r="BA72" s="541"/>
      <c r="BB72" s="541"/>
      <c r="BC72" s="541"/>
      <c r="BD72" s="541"/>
      <c r="BE72" s="541"/>
      <c r="BF72" s="541"/>
      <c r="BG72" s="541"/>
      <c r="BH72" s="541"/>
      <c r="BI72" s="541"/>
      <c r="BJ72" s="541"/>
      <c r="BK72" s="541"/>
      <c r="BL72" s="541"/>
      <c r="BM72" s="541"/>
      <c r="BN72" s="541"/>
      <c r="BO72" s="541"/>
      <c r="BP72" s="541"/>
      <c r="BQ72" s="541"/>
      <c r="BR72" s="541"/>
      <c r="BS72" s="541"/>
      <c r="BT72" s="541"/>
      <c r="BU72" s="541"/>
      <c r="BV72" s="541"/>
      <c r="BW72" s="541"/>
      <c r="BX72" s="541"/>
      <c r="BY72" s="541"/>
      <c r="BZ72" s="541"/>
      <c r="CA72" s="541"/>
      <c r="CB72" s="541"/>
      <c r="CC72" s="541"/>
      <c r="CD72" s="541"/>
      <c r="CE72" s="541"/>
      <c r="CF72" s="541"/>
      <c r="CG72" s="541"/>
      <c r="CH72" s="541"/>
      <c r="CI72" s="541"/>
      <c r="CJ72" s="541"/>
      <c r="CK72" s="541"/>
      <c r="CL72" s="541"/>
      <c r="CM72" s="541"/>
      <c r="CN72" s="541"/>
      <c r="CO72" s="541"/>
      <c r="CP72" s="541"/>
      <c r="CQ72" s="541"/>
      <c r="CR72" s="541"/>
      <c r="CS72" s="541"/>
      <c r="CT72" s="541"/>
      <c r="CU72" s="541"/>
      <c r="CV72" s="541"/>
      <c r="CW72" s="541"/>
      <c r="CX72" s="541"/>
      <c r="CY72" s="541"/>
      <c r="CZ72" s="541"/>
      <c r="DA72" s="541"/>
      <c r="DB72" s="541"/>
      <c r="DC72" s="541"/>
      <c r="DD72" s="541"/>
      <c r="DE72" s="541"/>
      <c r="DF72" s="541"/>
      <c r="DG72" s="541"/>
      <c r="DH72" s="541"/>
      <c r="DI72" s="541"/>
      <c r="DJ72" s="541"/>
      <c r="DK72" s="541"/>
      <c r="DL72" s="541"/>
      <c r="DM72" s="541"/>
      <c r="DN72" s="541"/>
      <c r="DO72" s="541"/>
      <c r="DP72" s="541"/>
      <c r="DQ72" s="541"/>
      <c r="DR72" s="541"/>
      <c r="DS72" s="541"/>
      <c r="DT72" s="541"/>
      <c r="DU72" s="541"/>
      <c r="DV72" s="541"/>
      <c r="DW72" s="541"/>
      <c r="DX72" s="541"/>
      <c r="DY72" s="541"/>
      <c r="DZ72" s="541"/>
      <c r="EA72" s="541"/>
      <c r="EB72" s="541"/>
      <c r="EC72" s="541"/>
      <c r="ED72" s="541"/>
      <c r="EE72" s="541"/>
      <c r="EF72" s="541"/>
      <c r="EG72" s="541"/>
      <c r="EH72" s="541"/>
      <c r="EI72" s="541"/>
      <c r="EJ72" s="541"/>
      <c r="EK72" s="541"/>
      <c r="EL72" s="541"/>
      <c r="EM72" s="541"/>
      <c r="EN72" s="541"/>
      <c r="EO72" s="541"/>
      <c r="EP72" s="541"/>
      <c r="EQ72" s="541"/>
      <c r="ER72" s="541"/>
      <c r="ES72" s="541"/>
      <c r="ET72" s="541"/>
      <c r="EU72" s="541"/>
      <c r="EV72" s="541"/>
      <c r="EW72" s="541"/>
      <c r="EX72" s="541"/>
      <c r="EY72" s="541"/>
      <c r="EZ72" s="541"/>
      <c r="FA72" s="541"/>
      <c r="FB72" s="541"/>
      <c r="FC72" s="541"/>
      <c r="FD72" s="541"/>
      <c r="FE72" s="541"/>
      <c r="FF72" s="541"/>
      <c r="FG72" s="541"/>
      <c r="FH72" s="541"/>
      <c r="FI72" s="541"/>
      <c r="FJ72" s="541"/>
      <c r="FK72" s="541"/>
      <c r="FL72" s="541"/>
      <c r="FM72" s="541"/>
      <c r="FN72" s="541"/>
      <c r="FO72" s="541"/>
      <c r="FP72" s="541"/>
      <c r="FQ72" s="541"/>
      <c r="FR72" s="541"/>
      <c r="FS72" s="541"/>
      <c r="FT72" s="541"/>
      <c r="FU72" s="541"/>
      <c r="FV72" s="541"/>
      <c r="FW72" s="541"/>
      <c r="FX72" s="541"/>
      <c r="FY72" s="541"/>
      <c r="FZ72" s="541"/>
      <c r="GA72" s="541"/>
      <c r="GB72" s="541"/>
      <c r="GC72" s="541"/>
      <c r="GD72" s="541"/>
      <c r="GE72" s="541"/>
      <c r="GF72" s="541"/>
      <c r="GG72" s="541"/>
      <c r="GH72" s="541"/>
      <c r="GI72" s="541"/>
      <c r="GJ72" s="541"/>
      <c r="GK72" s="541"/>
      <c r="GL72" s="541"/>
      <c r="GM72" s="541"/>
      <c r="GN72" s="541"/>
      <c r="GO72" s="541"/>
      <c r="GP72" s="541"/>
      <c r="GQ72" s="541"/>
      <c r="GR72" s="541"/>
      <c r="GS72" s="541"/>
      <c r="GT72" s="541"/>
      <c r="GU72" s="541"/>
      <c r="GV72" s="541"/>
      <c r="GW72" s="541"/>
      <c r="GX72" s="541"/>
      <c r="GY72" s="541"/>
      <c r="GZ72" s="541"/>
      <c r="HA72" s="541"/>
      <c r="HB72" s="541"/>
      <c r="HC72" s="541"/>
      <c r="HD72" s="541"/>
      <c r="HE72" s="541"/>
      <c r="HF72" s="541"/>
      <c r="HG72" s="541"/>
      <c r="HH72" s="541"/>
      <c r="HI72" s="541"/>
      <c r="HJ72" s="541"/>
      <c r="HK72" s="541"/>
      <c r="HL72" s="541"/>
      <c r="HM72" s="541"/>
      <c r="HN72" s="541"/>
      <c r="HO72" s="541"/>
    </row>
    <row r="73" spans="1:223" s="542" customFormat="1" ht="12.75">
      <c r="A73" s="536"/>
      <c r="B73" s="536"/>
      <c r="C73" s="536" t="s">
        <v>216</v>
      </c>
      <c r="D73" s="546">
        <f>SUM(D32)</f>
        <v>71989000</v>
      </c>
      <c r="E73" s="546">
        <f>SUM(E32)</f>
        <v>25750314</v>
      </c>
      <c r="F73" s="546">
        <f>SUM(D73:E73)</f>
        <v>97739314</v>
      </c>
      <c r="G73" s="536"/>
      <c r="H73" s="536"/>
      <c r="I73" s="536"/>
      <c r="J73" s="536"/>
      <c r="K73" s="536"/>
      <c r="L73" s="540"/>
      <c r="M73" s="540"/>
      <c r="N73" s="540"/>
      <c r="O73" s="540"/>
      <c r="P73" s="540"/>
      <c r="Q73" s="540"/>
      <c r="R73" s="540"/>
      <c r="S73" s="536"/>
      <c r="T73" s="536" t="s">
        <v>216</v>
      </c>
      <c r="U73" s="536"/>
      <c r="V73" s="536"/>
      <c r="W73" s="546">
        <f>SUM(X32)</f>
        <v>21863196</v>
      </c>
      <c r="X73" s="546">
        <f>Y32</f>
        <v>3000000</v>
      </c>
      <c r="Y73" s="546">
        <f>SUM(W73:X73)</f>
        <v>24863196</v>
      </c>
      <c r="Z73" s="547"/>
      <c r="AA73" s="546">
        <f aca="true" t="shared" si="1" ref="AA73:AB75">W73-D73</f>
        <v>-50125804</v>
      </c>
      <c r="AB73" s="546">
        <f t="shared" si="1"/>
        <v>-22750314</v>
      </c>
      <c r="AC73" s="547">
        <f>SUM(AA73:AB73)</f>
        <v>-72876118</v>
      </c>
      <c r="AD73" s="541"/>
      <c r="AE73" s="541"/>
      <c r="AF73" s="541"/>
      <c r="AG73" s="541"/>
      <c r="AH73" s="541"/>
      <c r="AI73" s="541"/>
      <c r="AJ73" s="541"/>
      <c r="AK73" s="541"/>
      <c r="AL73" s="541"/>
      <c r="AM73" s="541"/>
      <c r="AN73" s="541"/>
      <c r="AO73" s="541"/>
      <c r="AP73" s="541"/>
      <c r="AQ73" s="541"/>
      <c r="AR73" s="541"/>
      <c r="AS73" s="541"/>
      <c r="AT73" s="541"/>
      <c r="AU73" s="541"/>
      <c r="AV73" s="541"/>
      <c r="AW73" s="541"/>
      <c r="AX73" s="541"/>
      <c r="AY73" s="541"/>
      <c r="AZ73" s="541"/>
      <c r="BA73" s="541"/>
      <c r="BB73" s="541"/>
      <c r="BC73" s="541"/>
      <c r="BD73" s="541"/>
      <c r="BE73" s="541"/>
      <c r="BF73" s="541"/>
      <c r="BG73" s="541"/>
      <c r="BH73" s="541"/>
      <c r="BI73" s="541"/>
      <c r="BJ73" s="541"/>
      <c r="BK73" s="541"/>
      <c r="BL73" s="541"/>
      <c r="BM73" s="541"/>
      <c r="BN73" s="541"/>
      <c r="BO73" s="541"/>
      <c r="BP73" s="541"/>
      <c r="BQ73" s="541"/>
      <c r="BR73" s="541"/>
      <c r="BS73" s="541"/>
      <c r="BT73" s="541"/>
      <c r="BU73" s="541"/>
      <c r="BV73" s="541"/>
      <c r="BW73" s="541"/>
      <c r="BX73" s="541"/>
      <c r="BY73" s="541"/>
      <c r="BZ73" s="541"/>
      <c r="CA73" s="541"/>
      <c r="CB73" s="541"/>
      <c r="CC73" s="541"/>
      <c r="CD73" s="541"/>
      <c r="CE73" s="541"/>
      <c r="CF73" s="541"/>
      <c r="CG73" s="541"/>
      <c r="CH73" s="541"/>
      <c r="CI73" s="541"/>
      <c r="CJ73" s="541"/>
      <c r="CK73" s="541"/>
      <c r="CL73" s="541"/>
      <c r="CM73" s="541"/>
      <c r="CN73" s="541"/>
      <c r="CO73" s="541"/>
      <c r="CP73" s="541"/>
      <c r="CQ73" s="541"/>
      <c r="CR73" s="541"/>
      <c r="CS73" s="541"/>
      <c r="CT73" s="541"/>
      <c r="CU73" s="541"/>
      <c r="CV73" s="541"/>
      <c r="CW73" s="541"/>
      <c r="CX73" s="541"/>
      <c r="CY73" s="541"/>
      <c r="CZ73" s="541"/>
      <c r="DA73" s="541"/>
      <c r="DB73" s="541"/>
      <c r="DC73" s="541"/>
      <c r="DD73" s="541"/>
      <c r="DE73" s="541"/>
      <c r="DF73" s="541"/>
      <c r="DG73" s="541"/>
      <c r="DH73" s="541"/>
      <c r="DI73" s="541"/>
      <c r="DJ73" s="541"/>
      <c r="DK73" s="541"/>
      <c r="DL73" s="541"/>
      <c r="DM73" s="541"/>
      <c r="DN73" s="541"/>
      <c r="DO73" s="541"/>
      <c r="DP73" s="541"/>
      <c r="DQ73" s="541"/>
      <c r="DR73" s="541"/>
      <c r="DS73" s="541"/>
      <c r="DT73" s="541"/>
      <c r="DU73" s="541"/>
      <c r="DV73" s="541"/>
      <c r="DW73" s="541"/>
      <c r="DX73" s="541"/>
      <c r="DY73" s="541"/>
      <c r="DZ73" s="541"/>
      <c r="EA73" s="541"/>
      <c r="EB73" s="541"/>
      <c r="EC73" s="541"/>
      <c r="ED73" s="541"/>
      <c r="EE73" s="541"/>
      <c r="EF73" s="541"/>
      <c r="EG73" s="541"/>
      <c r="EH73" s="541"/>
      <c r="EI73" s="541"/>
      <c r="EJ73" s="541"/>
      <c r="EK73" s="541"/>
      <c r="EL73" s="541"/>
      <c r="EM73" s="541"/>
      <c r="EN73" s="541"/>
      <c r="EO73" s="541"/>
      <c r="EP73" s="541"/>
      <c r="EQ73" s="541"/>
      <c r="ER73" s="541"/>
      <c r="ES73" s="541"/>
      <c r="ET73" s="541"/>
      <c r="EU73" s="541"/>
      <c r="EV73" s="541"/>
      <c r="EW73" s="541"/>
      <c r="EX73" s="541"/>
      <c r="EY73" s="541"/>
      <c r="EZ73" s="541"/>
      <c r="FA73" s="541"/>
      <c r="FB73" s="541"/>
      <c r="FC73" s="541"/>
      <c r="FD73" s="541"/>
      <c r="FE73" s="541"/>
      <c r="FF73" s="541"/>
      <c r="FG73" s="541"/>
      <c r="FH73" s="541"/>
      <c r="FI73" s="541"/>
      <c r="FJ73" s="541"/>
      <c r="FK73" s="541"/>
      <c r="FL73" s="541"/>
      <c r="FM73" s="541"/>
      <c r="FN73" s="541"/>
      <c r="FO73" s="541"/>
      <c r="FP73" s="541"/>
      <c r="FQ73" s="541"/>
      <c r="FR73" s="541"/>
      <c r="FS73" s="541"/>
      <c r="FT73" s="541"/>
      <c r="FU73" s="541"/>
      <c r="FV73" s="541"/>
      <c r="FW73" s="541"/>
      <c r="FX73" s="541"/>
      <c r="FY73" s="541"/>
      <c r="FZ73" s="541"/>
      <c r="GA73" s="541"/>
      <c r="GB73" s="541"/>
      <c r="GC73" s="541"/>
      <c r="GD73" s="541"/>
      <c r="GE73" s="541"/>
      <c r="GF73" s="541"/>
      <c r="GG73" s="541"/>
      <c r="GH73" s="541"/>
      <c r="GI73" s="541"/>
      <c r="GJ73" s="541"/>
      <c r="GK73" s="541"/>
      <c r="GL73" s="541"/>
      <c r="GM73" s="541"/>
      <c r="GN73" s="541"/>
      <c r="GO73" s="541"/>
      <c r="GP73" s="541"/>
      <c r="GQ73" s="541"/>
      <c r="GR73" s="541"/>
      <c r="GS73" s="541"/>
      <c r="GT73" s="541"/>
      <c r="GU73" s="541"/>
      <c r="GV73" s="541"/>
      <c r="GW73" s="541"/>
      <c r="GX73" s="541"/>
      <c r="GY73" s="541"/>
      <c r="GZ73" s="541"/>
      <c r="HA73" s="541"/>
      <c r="HB73" s="541"/>
      <c r="HC73" s="541"/>
      <c r="HD73" s="541"/>
      <c r="HE73" s="541"/>
      <c r="HF73" s="541"/>
      <c r="HG73" s="541"/>
      <c r="HH73" s="541"/>
      <c r="HI73" s="541"/>
      <c r="HJ73" s="541"/>
      <c r="HK73" s="541"/>
      <c r="HL73" s="541"/>
      <c r="HM73" s="541"/>
      <c r="HN73" s="541"/>
      <c r="HO73" s="541"/>
    </row>
    <row r="74" spans="1:223" s="542" customFormat="1" ht="12.75">
      <c r="A74" s="536"/>
      <c r="B74" s="536"/>
      <c r="C74" s="536" t="s">
        <v>548</v>
      </c>
      <c r="D74" s="546">
        <v>0</v>
      </c>
      <c r="E74" s="546">
        <v>0</v>
      </c>
      <c r="F74" s="546">
        <f>SUM(D74:E74)</f>
        <v>0</v>
      </c>
      <c r="G74" s="536"/>
      <c r="H74" s="536"/>
      <c r="I74" s="536"/>
      <c r="J74" s="536"/>
      <c r="K74" s="536"/>
      <c r="L74" s="540"/>
      <c r="M74" s="540"/>
      <c r="N74" s="540"/>
      <c r="O74" s="540"/>
      <c r="P74" s="540"/>
      <c r="Q74" s="540"/>
      <c r="R74" s="540"/>
      <c r="S74" s="536"/>
      <c r="T74" s="536" t="s">
        <v>548</v>
      </c>
      <c r="U74" s="536"/>
      <c r="V74" s="536"/>
      <c r="W74" s="546">
        <v>0</v>
      </c>
      <c r="X74" s="546">
        <v>0</v>
      </c>
      <c r="Y74" s="546">
        <f>SUM(W74:X74)</f>
        <v>0</v>
      </c>
      <c r="Z74" s="547"/>
      <c r="AA74" s="546">
        <f t="shared" si="1"/>
        <v>0</v>
      </c>
      <c r="AB74" s="546">
        <f t="shared" si="1"/>
        <v>0</v>
      </c>
      <c r="AC74" s="547">
        <f>SUM(AA74:AB74)</f>
        <v>0</v>
      </c>
      <c r="AD74" s="541"/>
      <c r="AE74" s="541"/>
      <c r="AF74" s="541"/>
      <c r="AG74" s="541"/>
      <c r="AH74" s="541"/>
      <c r="AI74" s="541"/>
      <c r="AJ74" s="541"/>
      <c r="AK74" s="541"/>
      <c r="AL74" s="541"/>
      <c r="AM74" s="541"/>
      <c r="AN74" s="541"/>
      <c r="AO74" s="541"/>
      <c r="AP74" s="541"/>
      <c r="AQ74" s="541"/>
      <c r="AR74" s="541"/>
      <c r="AS74" s="541"/>
      <c r="AT74" s="541"/>
      <c r="AU74" s="541"/>
      <c r="AV74" s="541"/>
      <c r="AW74" s="541"/>
      <c r="AX74" s="541"/>
      <c r="AY74" s="541"/>
      <c r="AZ74" s="541"/>
      <c r="BA74" s="541"/>
      <c r="BB74" s="541"/>
      <c r="BC74" s="541"/>
      <c r="BD74" s="541"/>
      <c r="BE74" s="541"/>
      <c r="BF74" s="541"/>
      <c r="BG74" s="541"/>
      <c r="BH74" s="541"/>
      <c r="BI74" s="541"/>
      <c r="BJ74" s="541"/>
      <c r="BK74" s="541"/>
      <c r="BL74" s="541"/>
      <c r="BM74" s="541"/>
      <c r="BN74" s="541"/>
      <c r="BO74" s="541"/>
      <c r="BP74" s="541"/>
      <c r="BQ74" s="541"/>
      <c r="BR74" s="541"/>
      <c r="BS74" s="541"/>
      <c r="BT74" s="541"/>
      <c r="BU74" s="541"/>
      <c r="BV74" s="541"/>
      <c r="BW74" s="541"/>
      <c r="BX74" s="541"/>
      <c r="BY74" s="541"/>
      <c r="BZ74" s="541"/>
      <c r="CA74" s="541"/>
      <c r="CB74" s="541"/>
      <c r="CC74" s="541"/>
      <c r="CD74" s="541"/>
      <c r="CE74" s="541"/>
      <c r="CF74" s="541"/>
      <c r="CG74" s="541"/>
      <c r="CH74" s="541"/>
      <c r="CI74" s="541"/>
      <c r="CJ74" s="541"/>
      <c r="CK74" s="541"/>
      <c r="CL74" s="541"/>
      <c r="CM74" s="541"/>
      <c r="CN74" s="541"/>
      <c r="CO74" s="541"/>
      <c r="CP74" s="541"/>
      <c r="CQ74" s="541"/>
      <c r="CR74" s="541"/>
      <c r="CS74" s="541"/>
      <c r="CT74" s="541"/>
      <c r="CU74" s="541"/>
      <c r="CV74" s="541"/>
      <c r="CW74" s="541"/>
      <c r="CX74" s="541"/>
      <c r="CY74" s="541"/>
      <c r="CZ74" s="541"/>
      <c r="DA74" s="541"/>
      <c r="DB74" s="541"/>
      <c r="DC74" s="541"/>
      <c r="DD74" s="541"/>
      <c r="DE74" s="541"/>
      <c r="DF74" s="541"/>
      <c r="DG74" s="541"/>
      <c r="DH74" s="541"/>
      <c r="DI74" s="541"/>
      <c r="DJ74" s="541"/>
      <c r="DK74" s="541"/>
      <c r="DL74" s="541"/>
      <c r="DM74" s="541"/>
      <c r="DN74" s="541"/>
      <c r="DO74" s="541"/>
      <c r="DP74" s="541"/>
      <c r="DQ74" s="541"/>
      <c r="DR74" s="541"/>
      <c r="DS74" s="541"/>
      <c r="DT74" s="541"/>
      <c r="DU74" s="541"/>
      <c r="DV74" s="541"/>
      <c r="DW74" s="541"/>
      <c r="DX74" s="541"/>
      <c r="DY74" s="541"/>
      <c r="DZ74" s="541"/>
      <c r="EA74" s="541"/>
      <c r="EB74" s="541"/>
      <c r="EC74" s="541"/>
      <c r="ED74" s="541"/>
      <c r="EE74" s="541"/>
      <c r="EF74" s="541"/>
      <c r="EG74" s="541"/>
      <c r="EH74" s="541"/>
      <c r="EI74" s="541"/>
      <c r="EJ74" s="541"/>
      <c r="EK74" s="541"/>
      <c r="EL74" s="541"/>
      <c r="EM74" s="541"/>
      <c r="EN74" s="541"/>
      <c r="EO74" s="541"/>
      <c r="EP74" s="541"/>
      <c r="EQ74" s="541"/>
      <c r="ER74" s="541"/>
      <c r="ES74" s="541"/>
      <c r="ET74" s="541"/>
      <c r="EU74" s="541"/>
      <c r="EV74" s="541"/>
      <c r="EW74" s="541"/>
      <c r="EX74" s="541"/>
      <c r="EY74" s="541"/>
      <c r="EZ74" s="541"/>
      <c r="FA74" s="541"/>
      <c r="FB74" s="541"/>
      <c r="FC74" s="541"/>
      <c r="FD74" s="541"/>
      <c r="FE74" s="541"/>
      <c r="FF74" s="541"/>
      <c r="FG74" s="541"/>
      <c r="FH74" s="541"/>
      <c r="FI74" s="541"/>
      <c r="FJ74" s="541"/>
      <c r="FK74" s="541"/>
      <c r="FL74" s="541"/>
      <c r="FM74" s="541"/>
      <c r="FN74" s="541"/>
      <c r="FO74" s="541"/>
      <c r="FP74" s="541"/>
      <c r="FQ74" s="541"/>
      <c r="FR74" s="541"/>
      <c r="FS74" s="541"/>
      <c r="FT74" s="541"/>
      <c r="FU74" s="541"/>
      <c r="FV74" s="541"/>
      <c r="FW74" s="541"/>
      <c r="FX74" s="541"/>
      <c r="FY74" s="541"/>
      <c r="FZ74" s="541"/>
      <c r="GA74" s="541"/>
      <c r="GB74" s="541"/>
      <c r="GC74" s="541"/>
      <c r="GD74" s="541"/>
      <c r="GE74" s="541"/>
      <c r="GF74" s="541"/>
      <c r="GG74" s="541"/>
      <c r="GH74" s="541"/>
      <c r="GI74" s="541"/>
      <c r="GJ74" s="541"/>
      <c r="GK74" s="541"/>
      <c r="GL74" s="541"/>
      <c r="GM74" s="541"/>
      <c r="GN74" s="541"/>
      <c r="GO74" s="541"/>
      <c r="GP74" s="541"/>
      <c r="GQ74" s="541"/>
      <c r="GR74" s="541"/>
      <c r="GS74" s="541"/>
      <c r="GT74" s="541"/>
      <c r="GU74" s="541"/>
      <c r="GV74" s="541"/>
      <c r="GW74" s="541"/>
      <c r="GX74" s="541"/>
      <c r="GY74" s="541"/>
      <c r="GZ74" s="541"/>
      <c r="HA74" s="541"/>
      <c r="HB74" s="541"/>
      <c r="HC74" s="541"/>
      <c r="HD74" s="541"/>
      <c r="HE74" s="541"/>
      <c r="HF74" s="541"/>
      <c r="HG74" s="541"/>
      <c r="HH74" s="541"/>
      <c r="HI74" s="541"/>
      <c r="HJ74" s="541"/>
      <c r="HK74" s="541"/>
      <c r="HL74" s="541"/>
      <c r="HM74" s="541"/>
      <c r="HN74" s="541"/>
      <c r="HO74" s="541"/>
    </row>
    <row r="75" spans="1:223" s="542" customFormat="1" ht="12.75">
      <c r="A75" s="536"/>
      <c r="B75" s="536"/>
      <c r="C75" s="548" t="s">
        <v>217</v>
      </c>
      <c r="D75" s="549">
        <f>SUM(D58)</f>
        <v>6223000</v>
      </c>
      <c r="E75" s="549">
        <f>SUM(E58)</f>
        <v>22000</v>
      </c>
      <c r="F75" s="549">
        <f>SUM(D75:E75)</f>
        <v>6245000</v>
      </c>
      <c r="G75" s="536"/>
      <c r="H75" s="536"/>
      <c r="I75" s="536"/>
      <c r="J75" s="536"/>
      <c r="K75" s="536"/>
      <c r="L75" s="540"/>
      <c r="M75" s="540"/>
      <c r="N75" s="540"/>
      <c r="O75" s="540"/>
      <c r="P75" s="540"/>
      <c r="Q75" s="540"/>
      <c r="R75" s="540"/>
      <c r="S75" s="536"/>
      <c r="T75" s="548" t="s">
        <v>217</v>
      </c>
      <c r="U75" s="550"/>
      <c r="V75" s="550"/>
      <c r="W75" s="549">
        <f>SUM(X58)</f>
        <v>6245000</v>
      </c>
      <c r="X75" s="549">
        <v>0</v>
      </c>
      <c r="Y75" s="549">
        <f>SUM(W75:X75)</f>
        <v>6245000</v>
      </c>
      <c r="Z75" s="547"/>
      <c r="AA75" s="549">
        <f t="shared" si="1"/>
        <v>22000</v>
      </c>
      <c r="AB75" s="549">
        <f t="shared" si="1"/>
        <v>-22000</v>
      </c>
      <c r="AC75" s="549">
        <f>SUM(AA75:AB75)</f>
        <v>0</v>
      </c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41"/>
      <c r="BE75" s="541"/>
      <c r="BF75" s="541"/>
      <c r="BG75" s="541"/>
      <c r="BH75" s="541"/>
      <c r="BI75" s="541"/>
      <c r="BJ75" s="541"/>
      <c r="BK75" s="541"/>
      <c r="BL75" s="541"/>
      <c r="BM75" s="541"/>
      <c r="BN75" s="541"/>
      <c r="BO75" s="541"/>
      <c r="BP75" s="541"/>
      <c r="BQ75" s="541"/>
      <c r="BR75" s="541"/>
      <c r="BS75" s="541"/>
      <c r="BT75" s="541"/>
      <c r="BU75" s="541"/>
      <c r="BV75" s="541"/>
      <c r="BW75" s="541"/>
      <c r="BX75" s="541"/>
      <c r="BY75" s="541"/>
      <c r="BZ75" s="541"/>
      <c r="CA75" s="541"/>
      <c r="CB75" s="541"/>
      <c r="CC75" s="541"/>
      <c r="CD75" s="541"/>
      <c r="CE75" s="541"/>
      <c r="CF75" s="541"/>
      <c r="CG75" s="541"/>
      <c r="CH75" s="541"/>
      <c r="CI75" s="541"/>
      <c r="CJ75" s="541"/>
      <c r="CK75" s="541"/>
      <c r="CL75" s="541"/>
      <c r="CM75" s="541"/>
      <c r="CN75" s="541"/>
      <c r="CO75" s="541"/>
      <c r="CP75" s="541"/>
      <c r="CQ75" s="541"/>
      <c r="CR75" s="541"/>
      <c r="CS75" s="541"/>
      <c r="CT75" s="541"/>
      <c r="CU75" s="541"/>
      <c r="CV75" s="541"/>
      <c r="CW75" s="541"/>
      <c r="CX75" s="541"/>
      <c r="CY75" s="541"/>
      <c r="CZ75" s="541"/>
      <c r="DA75" s="541"/>
      <c r="DB75" s="541"/>
      <c r="DC75" s="541"/>
      <c r="DD75" s="541"/>
      <c r="DE75" s="541"/>
      <c r="DF75" s="541"/>
      <c r="DG75" s="541"/>
      <c r="DH75" s="541"/>
      <c r="DI75" s="541"/>
      <c r="DJ75" s="541"/>
      <c r="DK75" s="541"/>
      <c r="DL75" s="541"/>
      <c r="DM75" s="541"/>
      <c r="DN75" s="541"/>
      <c r="DO75" s="541"/>
      <c r="DP75" s="541"/>
      <c r="DQ75" s="541"/>
      <c r="DR75" s="541"/>
      <c r="DS75" s="541"/>
      <c r="DT75" s="541"/>
      <c r="DU75" s="541"/>
      <c r="DV75" s="541"/>
      <c r="DW75" s="541"/>
      <c r="DX75" s="541"/>
      <c r="DY75" s="541"/>
      <c r="DZ75" s="541"/>
      <c r="EA75" s="541"/>
      <c r="EB75" s="541"/>
      <c r="EC75" s="541"/>
      <c r="ED75" s="541"/>
      <c r="EE75" s="541"/>
      <c r="EF75" s="541"/>
      <c r="EG75" s="541"/>
      <c r="EH75" s="541"/>
      <c r="EI75" s="541"/>
      <c r="EJ75" s="541"/>
      <c r="EK75" s="541"/>
      <c r="EL75" s="541"/>
      <c r="EM75" s="541"/>
      <c r="EN75" s="541"/>
      <c r="EO75" s="541"/>
      <c r="EP75" s="541"/>
      <c r="EQ75" s="541"/>
      <c r="ER75" s="541"/>
      <c r="ES75" s="541"/>
      <c r="ET75" s="541"/>
      <c r="EU75" s="541"/>
      <c r="EV75" s="541"/>
      <c r="EW75" s="541"/>
      <c r="EX75" s="541"/>
      <c r="EY75" s="541"/>
      <c r="EZ75" s="541"/>
      <c r="FA75" s="541"/>
      <c r="FB75" s="541"/>
      <c r="FC75" s="541"/>
      <c r="FD75" s="541"/>
      <c r="FE75" s="541"/>
      <c r="FF75" s="541"/>
      <c r="FG75" s="541"/>
      <c r="FH75" s="541"/>
      <c r="FI75" s="541"/>
      <c r="FJ75" s="541"/>
      <c r="FK75" s="541"/>
      <c r="FL75" s="541"/>
      <c r="FM75" s="541"/>
      <c r="FN75" s="541"/>
      <c r="FO75" s="541"/>
      <c r="FP75" s="541"/>
      <c r="FQ75" s="541"/>
      <c r="FR75" s="541"/>
      <c r="FS75" s="541"/>
      <c r="FT75" s="541"/>
      <c r="FU75" s="541"/>
      <c r="FV75" s="541"/>
      <c r="FW75" s="541"/>
      <c r="FX75" s="541"/>
      <c r="FY75" s="541"/>
      <c r="FZ75" s="541"/>
      <c r="GA75" s="541"/>
      <c r="GB75" s="541"/>
      <c r="GC75" s="541"/>
      <c r="GD75" s="541"/>
      <c r="GE75" s="541"/>
      <c r="GF75" s="541"/>
      <c r="GG75" s="541"/>
      <c r="GH75" s="541"/>
      <c r="GI75" s="541"/>
      <c r="GJ75" s="541"/>
      <c r="GK75" s="541"/>
      <c r="GL75" s="541"/>
      <c r="GM75" s="541"/>
      <c r="GN75" s="541"/>
      <c r="GO75" s="541"/>
      <c r="GP75" s="541"/>
      <c r="GQ75" s="541"/>
      <c r="GR75" s="541"/>
      <c r="GS75" s="541"/>
      <c r="GT75" s="541"/>
      <c r="GU75" s="541"/>
      <c r="GV75" s="541"/>
      <c r="GW75" s="541"/>
      <c r="GX75" s="541"/>
      <c r="GY75" s="541"/>
      <c r="GZ75" s="541"/>
      <c r="HA75" s="541"/>
      <c r="HB75" s="541"/>
      <c r="HC75" s="541"/>
      <c r="HD75" s="541"/>
      <c r="HE75" s="541"/>
      <c r="HF75" s="541"/>
      <c r="HG75" s="541"/>
      <c r="HH75" s="541"/>
      <c r="HI75" s="541"/>
      <c r="HJ75" s="541"/>
      <c r="HK75" s="541"/>
      <c r="HL75" s="541"/>
      <c r="HM75" s="541"/>
      <c r="HN75" s="541"/>
      <c r="HO75" s="541"/>
    </row>
    <row r="76" spans="1:223" s="542" customFormat="1" ht="12.75">
      <c r="A76" s="536"/>
      <c r="B76" s="536"/>
      <c r="C76" s="551" t="s">
        <v>540</v>
      </c>
      <c r="D76" s="546">
        <f>SUM(D73:D75)</f>
        <v>78212000</v>
      </c>
      <c r="E76" s="546">
        <f>SUM(E73:E75)</f>
        <v>25772314</v>
      </c>
      <c r="F76" s="546">
        <f>SUM(F73:F75)</f>
        <v>103984314</v>
      </c>
      <c r="G76" s="536"/>
      <c r="H76" s="536"/>
      <c r="I76" s="536"/>
      <c r="J76" s="536"/>
      <c r="K76" s="536"/>
      <c r="L76" s="540"/>
      <c r="M76" s="540"/>
      <c r="N76" s="540"/>
      <c r="O76" s="540"/>
      <c r="P76" s="540"/>
      <c r="Q76" s="540"/>
      <c r="R76" s="540"/>
      <c r="S76" s="536"/>
      <c r="T76" s="551" t="s">
        <v>540</v>
      </c>
      <c r="U76" s="536"/>
      <c r="V76" s="551"/>
      <c r="W76" s="546">
        <f>SUM(W73:W75)</f>
        <v>28108196</v>
      </c>
      <c r="X76" s="546">
        <f>SUM(X73:X75)</f>
        <v>3000000</v>
      </c>
      <c r="Y76" s="546">
        <f>SUM(Y73:Y75)</f>
        <v>31108196</v>
      </c>
      <c r="Z76" s="547"/>
      <c r="AA76" s="546">
        <f>SUM(AA73:AA75)</f>
        <v>-50103804</v>
      </c>
      <c r="AB76" s="546">
        <f>SUM(AB73:AB75)</f>
        <v>-22772314</v>
      </c>
      <c r="AC76" s="546">
        <f>SUM(AC73:AC75)</f>
        <v>-72876118</v>
      </c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41"/>
      <c r="BE76" s="541"/>
      <c r="BF76" s="541"/>
      <c r="BG76" s="541"/>
      <c r="BH76" s="541"/>
      <c r="BI76" s="541"/>
      <c r="BJ76" s="541"/>
      <c r="BK76" s="541"/>
      <c r="BL76" s="541"/>
      <c r="BM76" s="541"/>
      <c r="BN76" s="541"/>
      <c r="BO76" s="541"/>
      <c r="BP76" s="541"/>
      <c r="BQ76" s="541"/>
      <c r="BR76" s="541"/>
      <c r="BS76" s="541"/>
      <c r="BT76" s="541"/>
      <c r="BU76" s="541"/>
      <c r="BV76" s="541"/>
      <c r="BW76" s="541"/>
      <c r="BX76" s="541"/>
      <c r="BY76" s="541"/>
      <c r="BZ76" s="541"/>
      <c r="CA76" s="541"/>
      <c r="CB76" s="541"/>
      <c r="CC76" s="541"/>
      <c r="CD76" s="541"/>
      <c r="CE76" s="541"/>
      <c r="CF76" s="541"/>
      <c r="CG76" s="541"/>
      <c r="CH76" s="541"/>
      <c r="CI76" s="541"/>
      <c r="CJ76" s="541"/>
      <c r="CK76" s="541"/>
      <c r="CL76" s="541"/>
      <c r="CM76" s="541"/>
      <c r="CN76" s="541"/>
      <c r="CO76" s="541"/>
      <c r="CP76" s="541"/>
      <c r="CQ76" s="541"/>
      <c r="CR76" s="541"/>
      <c r="CS76" s="541"/>
      <c r="CT76" s="541"/>
      <c r="CU76" s="541"/>
      <c r="CV76" s="541"/>
      <c r="CW76" s="541"/>
      <c r="CX76" s="541"/>
      <c r="CY76" s="541"/>
      <c r="CZ76" s="541"/>
      <c r="DA76" s="541"/>
      <c r="DB76" s="541"/>
      <c r="DC76" s="541"/>
      <c r="DD76" s="541"/>
      <c r="DE76" s="541"/>
      <c r="DF76" s="541"/>
      <c r="DG76" s="541"/>
      <c r="DH76" s="541"/>
      <c r="DI76" s="541"/>
      <c r="DJ76" s="541"/>
      <c r="DK76" s="541"/>
      <c r="DL76" s="541"/>
      <c r="DM76" s="541"/>
      <c r="DN76" s="541"/>
      <c r="DO76" s="541"/>
      <c r="DP76" s="541"/>
      <c r="DQ76" s="541"/>
      <c r="DR76" s="541"/>
      <c r="DS76" s="541"/>
      <c r="DT76" s="541"/>
      <c r="DU76" s="541"/>
      <c r="DV76" s="541"/>
      <c r="DW76" s="541"/>
      <c r="DX76" s="541"/>
      <c r="DY76" s="541"/>
      <c r="DZ76" s="541"/>
      <c r="EA76" s="541"/>
      <c r="EB76" s="541"/>
      <c r="EC76" s="541"/>
      <c r="ED76" s="541"/>
      <c r="EE76" s="541"/>
      <c r="EF76" s="541"/>
      <c r="EG76" s="541"/>
      <c r="EH76" s="541"/>
      <c r="EI76" s="541"/>
      <c r="EJ76" s="541"/>
      <c r="EK76" s="541"/>
      <c r="EL76" s="541"/>
      <c r="EM76" s="541"/>
      <c r="EN76" s="541"/>
      <c r="EO76" s="541"/>
      <c r="EP76" s="541"/>
      <c r="EQ76" s="541"/>
      <c r="ER76" s="541"/>
      <c r="ES76" s="541"/>
      <c r="ET76" s="541"/>
      <c r="EU76" s="541"/>
      <c r="EV76" s="541"/>
      <c r="EW76" s="541"/>
      <c r="EX76" s="541"/>
      <c r="EY76" s="541"/>
      <c r="EZ76" s="541"/>
      <c r="FA76" s="541"/>
      <c r="FB76" s="541"/>
      <c r="FC76" s="541"/>
      <c r="FD76" s="541"/>
      <c r="FE76" s="541"/>
      <c r="FF76" s="541"/>
      <c r="FG76" s="541"/>
      <c r="FH76" s="541"/>
      <c r="FI76" s="541"/>
      <c r="FJ76" s="541"/>
      <c r="FK76" s="541"/>
      <c r="FL76" s="541"/>
      <c r="FM76" s="541"/>
      <c r="FN76" s="541"/>
      <c r="FO76" s="541"/>
      <c r="FP76" s="541"/>
      <c r="FQ76" s="541"/>
      <c r="FR76" s="541"/>
      <c r="FS76" s="541"/>
      <c r="FT76" s="541"/>
      <c r="FU76" s="541"/>
      <c r="FV76" s="541"/>
      <c r="FW76" s="541"/>
      <c r="FX76" s="541"/>
      <c r="FY76" s="541"/>
      <c r="FZ76" s="541"/>
      <c r="GA76" s="541"/>
      <c r="GB76" s="541"/>
      <c r="GC76" s="541"/>
      <c r="GD76" s="541"/>
      <c r="GE76" s="541"/>
      <c r="GF76" s="541"/>
      <c r="GG76" s="541"/>
      <c r="GH76" s="541"/>
      <c r="GI76" s="541"/>
      <c r="GJ76" s="541"/>
      <c r="GK76" s="541"/>
      <c r="GL76" s="541"/>
      <c r="GM76" s="541"/>
      <c r="GN76" s="541"/>
      <c r="GO76" s="541"/>
      <c r="GP76" s="541"/>
      <c r="GQ76" s="541"/>
      <c r="GR76" s="541"/>
      <c r="GS76" s="541"/>
      <c r="GT76" s="541"/>
      <c r="GU76" s="541"/>
      <c r="GV76" s="541"/>
      <c r="GW76" s="541"/>
      <c r="GX76" s="541"/>
      <c r="GY76" s="541"/>
      <c r="GZ76" s="541"/>
      <c r="HA76" s="541"/>
      <c r="HB76" s="541"/>
      <c r="HC76" s="541"/>
      <c r="HD76" s="541"/>
      <c r="HE76" s="541"/>
      <c r="HF76" s="541"/>
      <c r="HG76" s="541"/>
      <c r="HH76" s="541"/>
      <c r="HI76" s="541"/>
      <c r="HJ76" s="541"/>
      <c r="HK76" s="541"/>
      <c r="HL76" s="541"/>
      <c r="HM76" s="541"/>
      <c r="HN76" s="541"/>
      <c r="HO76" s="541"/>
    </row>
    <row r="77" spans="1:223" s="542" customFormat="1" ht="12.75">
      <c r="A77" s="536"/>
      <c r="B77" s="536"/>
      <c r="C77" s="536"/>
      <c r="D77" s="546"/>
      <c r="E77" s="546"/>
      <c r="F77" s="54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40"/>
      <c r="AA77" s="546"/>
      <c r="AB77" s="546"/>
      <c r="AC77" s="540"/>
      <c r="AD77" s="541"/>
      <c r="AE77" s="541"/>
      <c r="AF77" s="541"/>
      <c r="AG77" s="541"/>
      <c r="AH77" s="541"/>
      <c r="AI77" s="541"/>
      <c r="AJ77" s="541"/>
      <c r="AK77" s="541"/>
      <c r="AL77" s="541"/>
      <c r="AM77" s="541"/>
      <c r="AN77" s="541"/>
      <c r="AO77" s="541"/>
      <c r="AP77" s="541"/>
      <c r="AQ77" s="541"/>
      <c r="AR77" s="541"/>
      <c r="AS77" s="541"/>
      <c r="AT77" s="541"/>
      <c r="AU77" s="541"/>
      <c r="AV77" s="541"/>
      <c r="AW77" s="541"/>
      <c r="AX77" s="541"/>
      <c r="AY77" s="541"/>
      <c r="AZ77" s="541"/>
      <c r="BA77" s="541"/>
      <c r="BB77" s="541"/>
      <c r="BC77" s="541"/>
      <c r="BD77" s="541"/>
      <c r="BE77" s="541"/>
      <c r="BF77" s="541"/>
      <c r="BG77" s="541"/>
      <c r="BH77" s="541"/>
      <c r="BI77" s="541"/>
      <c r="BJ77" s="541"/>
      <c r="BK77" s="541"/>
      <c r="BL77" s="541"/>
      <c r="BM77" s="541"/>
      <c r="BN77" s="541"/>
      <c r="BO77" s="541"/>
      <c r="BP77" s="541"/>
      <c r="BQ77" s="541"/>
      <c r="BR77" s="541"/>
      <c r="BS77" s="541"/>
      <c r="BT77" s="541"/>
      <c r="BU77" s="541"/>
      <c r="BV77" s="541"/>
      <c r="BW77" s="541"/>
      <c r="BX77" s="541"/>
      <c r="BY77" s="541"/>
      <c r="BZ77" s="541"/>
      <c r="CA77" s="541"/>
      <c r="CB77" s="541"/>
      <c r="CC77" s="541"/>
      <c r="CD77" s="541"/>
      <c r="CE77" s="541"/>
      <c r="CF77" s="541"/>
      <c r="CG77" s="541"/>
      <c r="CH77" s="541"/>
      <c r="CI77" s="541"/>
      <c r="CJ77" s="541"/>
      <c r="CK77" s="541"/>
      <c r="CL77" s="541"/>
      <c r="CM77" s="541"/>
      <c r="CN77" s="541"/>
      <c r="CO77" s="541"/>
      <c r="CP77" s="541"/>
      <c r="CQ77" s="541"/>
      <c r="CR77" s="541"/>
      <c r="CS77" s="541"/>
      <c r="CT77" s="541"/>
      <c r="CU77" s="541"/>
      <c r="CV77" s="541"/>
      <c r="CW77" s="541"/>
      <c r="CX77" s="541"/>
      <c r="CY77" s="541"/>
      <c r="CZ77" s="541"/>
      <c r="DA77" s="541"/>
      <c r="DB77" s="541"/>
      <c r="DC77" s="541"/>
      <c r="DD77" s="541"/>
      <c r="DE77" s="541"/>
      <c r="DF77" s="541"/>
      <c r="DG77" s="541"/>
      <c r="DH77" s="541"/>
      <c r="DI77" s="541"/>
      <c r="DJ77" s="541"/>
      <c r="DK77" s="541"/>
      <c r="DL77" s="541"/>
      <c r="DM77" s="541"/>
      <c r="DN77" s="541"/>
      <c r="DO77" s="541"/>
      <c r="DP77" s="541"/>
      <c r="DQ77" s="541"/>
      <c r="DR77" s="541"/>
      <c r="DS77" s="541"/>
      <c r="DT77" s="541"/>
      <c r="DU77" s="541"/>
      <c r="DV77" s="541"/>
      <c r="DW77" s="541"/>
      <c r="DX77" s="541"/>
      <c r="DY77" s="541"/>
      <c r="DZ77" s="541"/>
      <c r="EA77" s="541"/>
      <c r="EB77" s="541"/>
      <c r="EC77" s="541"/>
      <c r="ED77" s="541"/>
      <c r="EE77" s="541"/>
      <c r="EF77" s="541"/>
      <c r="EG77" s="541"/>
      <c r="EH77" s="541"/>
      <c r="EI77" s="541"/>
      <c r="EJ77" s="541"/>
      <c r="EK77" s="541"/>
      <c r="EL77" s="541"/>
      <c r="EM77" s="541"/>
      <c r="EN77" s="541"/>
      <c r="EO77" s="541"/>
      <c r="EP77" s="541"/>
      <c r="EQ77" s="541"/>
      <c r="ER77" s="541"/>
      <c r="ES77" s="541"/>
      <c r="ET77" s="541"/>
      <c r="EU77" s="541"/>
      <c r="EV77" s="541"/>
      <c r="EW77" s="541"/>
      <c r="EX77" s="541"/>
      <c r="EY77" s="541"/>
      <c r="EZ77" s="541"/>
      <c r="FA77" s="541"/>
      <c r="FB77" s="541"/>
      <c r="FC77" s="541"/>
      <c r="FD77" s="541"/>
      <c r="FE77" s="541"/>
      <c r="FF77" s="541"/>
      <c r="FG77" s="541"/>
      <c r="FH77" s="541"/>
      <c r="FI77" s="541"/>
      <c r="FJ77" s="541"/>
      <c r="FK77" s="541"/>
      <c r="FL77" s="541"/>
      <c r="FM77" s="541"/>
      <c r="FN77" s="541"/>
      <c r="FO77" s="541"/>
      <c r="FP77" s="541"/>
      <c r="FQ77" s="541"/>
      <c r="FR77" s="541"/>
      <c r="FS77" s="541"/>
      <c r="FT77" s="541"/>
      <c r="FU77" s="541"/>
      <c r="FV77" s="541"/>
      <c r="FW77" s="541"/>
      <c r="FX77" s="541"/>
      <c r="FY77" s="541"/>
      <c r="FZ77" s="541"/>
      <c r="GA77" s="541"/>
      <c r="GB77" s="541"/>
      <c r="GC77" s="541"/>
      <c r="GD77" s="541"/>
      <c r="GE77" s="541"/>
      <c r="GF77" s="541"/>
      <c r="GG77" s="541"/>
      <c r="GH77" s="541"/>
      <c r="GI77" s="541"/>
      <c r="GJ77" s="541"/>
      <c r="GK77" s="541"/>
      <c r="GL77" s="541"/>
      <c r="GM77" s="541"/>
      <c r="GN77" s="541"/>
      <c r="GO77" s="541"/>
      <c r="GP77" s="541"/>
      <c r="GQ77" s="541"/>
      <c r="GR77" s="541"/>
      <c r="GS77" s="541"/>
      <c r="GT77" s="541"/>
      <c r="GU77" s="541"/>
      <c r="GV77" s="541"/>
      <c r="GW77" s="541"/>
      <c r="GX77" s="541"/>
      <c r="GY77" s="541"/>
      <c r="GZ77" s="541"/>
      <c r="HA77" s="541"/>
      <c r="HB77" s="541"/>
      <c r="HC77" s="541"/>
      <c r="HD77" s="541"/>
      <c r="HE77" s="541"/>
      <c r="HF77" s="541"/>
      <c r="HG77" s="541"/>
      <c r="HH77" s="541"/>
      <c r="HI77" s="541"/>
      <c r="HJ77" s="541"/>
      <c r="HK77" s="541"/>
      <c r="HL77" s="541"/>
      <c r="HM77" s="541"/>
      <c r="HN77" s="541"/>
      <c r="HO77" s="541"/>
    </row>
    <row r="78" spans="1:223" s="542" customFormat="1" ht="12.75">
      <c r="A78" s="536"/>
      <c r="B78" s="536"/>
      <c r="C78" s="545" t="s">
        <v>219</v>
      </c>
      <c r="D78" s="546"/>
      <c r="E78" s="546"/>
      <c r="F78" s="54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45" t="s">
        <v>219</v>
      </c>
      <c r="U78" s="536"/>
      <c r="V78" s="545"/>
      <c r="W78" s="536"/>
      <c r="X78" s="536"/>
      <c r="Y78" s="536"/>
      <c r="Z78" s="540"/>
      <c r="AA78" s="546"/>
      <c r="AB78" s="546"/>
      <c r="AC78" s="540"/>
      <c r="AD78" s="541"/>
      <c r="AE78" s="541"/>
      <c r="AF78" s="541"/>
      <c r="AG78" s="541"/>
      <c r="AH78" s="541"/>
      <c r="AI78" s="541"/>
      <c r="AJ78" s="541"/>
      <c r="AK78" s="541"/>
      <c r="AL78" s="541"/>
      <c r="AM78" s="541"/>
      <c r="AN78" s="541"/>
      <c r="AO78" s="541"/>
      <c r="AP78" s="541"/>
      <c r="AQ78" s="541"/>
      <c r="AR78" s="541"/>
      <c r="AS78" s="541"/>
      <c r="AT78" s="541"/>
      <c r="AU78" s="541"/>
      <c r="AV78" s="541"/>
      <c r="AW78" s="541"/>
      <c r="AX78" s="541"/>
      <c r="AY78" s="541"/>
      <c r="AZ78" s="541"/>
      <c r="BA78" s="541"/>
      <c r="BB78" s="541"/>
      <c r="BC78" s="541"/>
      <c r="BD78" s="541"/>
      <c r="BE78" s="541"/>
      <c r="BF78" s="541"/>
      <c r="BG78" s="541"/>
      <c r="BH78" s="541"/>
      <c r="BI78" s="541"/>
      <c r="BJ78" s="541"/>
      <c r="BK78" s="541"/>
      <c r="BL78" s="541"/>
      <c r="BM78" s="541"/>
      <c r="BN78" s="541"/>
      <c r="BO78" s="541"/>
      <c r="BP78" s="541"/>
      <c r="BQ78" s="541"/>
      <c r="BR78" s="541"/>
      <c r="BS78" s="541"/>
      <c r="BT78" s="541"/>
      <c r="BU78" s="541"/>
      <c r="BV78" s="541"/>
      <c r="BW78" s="541"/>
      <c r="BX78" s="541"/>
      <c r="BY78" s="541"/>
      <c r="BZ78" s="541"/>
      <c r="CA78" s="541"/>
      <c r="CB78" s="541"/>
      <c r="CC78" s="541"/>
      <c r="CD78" s="541"/>
      <c r="CE78" s="541"/>
      <c r="CF78" s="541"/>
      <c r="CG78" s="541"/>
      <c r="CH78" s="541"/>
      <c r="CI78" s="541"/>
      <c r="CJ78" s="541"/>
      <c r="CK78" s="541"/>
      <c r="CL78" s="541"/>
      <c r="CM78" s="541"/>
      <c r="CN78" s="541"/>
      <c r="CO78" s="541"/>
      <c r="CP78" s="541"/>
      <c r="CQ78" s="541"/>
      <c r="CR78" s="541"/>
      <c r="CS78" s="541"/>
      <c r="CT78" s="541"/>
      <c r="CU78" s="541"/>
      <c r="CV78" s="541"/>
      <c r="CW78" s="541"/>
      <c r="CX78" s="541"/>
      <c r="CY78" s="541"/>
      <c r="CZ78" s="541"/>
      <c r="DA78" s="541"/>
      <c r="DB78" s="541"/>
      <c r="DC78" s="541"/>
      <c r="DD78" s="541"/>
      <c r="DE78" s="541"/>
      <c r="DF78" s="541"/>
      <c r="DG78" s="541"/>
      <c r="DH78" s="541"/>
      <c r="DI78" s="541"/>
      <c r="DJ78" s="541"/>
      <c r="DK78" s="541"/>
      <c r="DL78" s="541"/>
      <c r="DM78" s="541"/>
      <c r="DN78" s="541"/>
      <c r="DO78" s="541"/>
      <c r="DP78" s="541"/>
      <c r="DQ78" s="541"/>
      <c r="DR78" s="541"/>
      <c r="DS78" s="541"/>
      <c r="DT78" s="541"/>
      <c r="DU78" s="541"/>
      <c r="DV78" s="541"/>
      <c r="DW78" s="541"/>
      <c r="DX78" s="541"/>
      <c r="DY78" s="541"/>
      <c r="DZ78" s="541"/>
      <c r="EA78" s="541"/>
      <c r="EB78" s="541"/>
      <c r="EC78" s="541"/>
      <c r="ED78" s="541"/>
      <c r="EE78" s="541"/>
      <c r="EF78" s="541"/>
      <c r="EG78" s="541"/>
      <c r="EH78" s="541"/>
      <c r="EI78" s="541"/>
      <c r="EJ78" s="541"/>
      <c r="EK78" s="541"/>
      <c r="EL78" s="541"/>
      <c r="EM78" s="541"/>
      <c r="EN78" s="541"/>
      <c r="EO78" s="541"/>
      <c r="EP78" s="541"/>
      <c r="EQ78" s="541"/>
      <c r="ER78" s="541"/>
      <c r="ES78" s="541"/>
      <c r="ET78" s="541"/>
      <c r="EU78" s="541"/>
      <c r="EV78" s="541"/>
      <c r="EW78" s="541"/>
      <c r="EX78" s="541"/>
      <c r="EY78" s="541"/>
      <c r="EZ78" s="541"/>
      <c r="FA78" s="541"/>
      <c r="FB78" s="541"/>
      <c r="FC78" s="541"/>
      <c r="FD78" s="541"/>
      <c r="FE78" s="541"/>
      <c r="FF78" s="541"/>
      <c r="FG78" s="541"/>
      <c r="FH78" s="541"/>
      <c r="FI78" s="541"/>
      <c r="FJ78" s="541"/>
      <c r="FK78" s="541"/>
      <c r="FL78" s="541"/>
      <c r="FM78" s="541"/>
      <c r="FN78" s="541"/>
      <c r="FO78" s="541"/>
      <c r="FP78" s="541"/>
      <c r="FQ78" s="541"/>
      <c r="FR78" s="541"/>
      <c r="FS78" s="541"/>
      <c r="FT78" s="541"/>
      <c r="FU78" s="541"/>
      <c r="FV78" s="541"/>
      <c r="FW78" s="541"/>
      <c r="FX78" s="541"/>
      <c r="FY78" s="541"/>
      <c r="FZ78" s="541"/>
      <c r="GA78" s="541"/>
      <c r="GB78" s="541"/>
      <c r="GC78" s="541"/>
      <c r="GD78" s="541"/>
      <c r="GE78" s="541"/>
      <c r="GF78" s="541"/>
      <c r="GG78" s="541"/>
      <c r="GH78" s="541"/>
      <c r="GI78" s="541"/>
      <c r="GJ78" s="541"/>
      <c r="GK78" s="541"/>
      <c r="GL78" s="541"/>
      <c r="GM78" s="541"/>
      <c r="GN78" s="541"/>
      <c r="GO78" s="541"/>
      <c r="GP78" s="541"/>
      <c r="GQ78" s="541"/>
      <c r="GR78" s="541"/>
      <c r="GS78" s="541"/>
      <c r="GT78" s="541"/>
      <c r="GU78" s="541"/>
      <c r="GV78" s="541"/>
      <c r="GW78" s="541"/>
      <c r="GX78" s="541"/>
      <c r="GY78" s="541"/>
      <c r="GZ78" s="541"/>
      <c r="HA78" s="541"/>
      <c r="HB78" s="541"/>
      <c r="HC78" s="541"/>
      <c r="HD78" s="541"/>
      <c r="HE78" s="541"/>
      <c r="HF78" s="541"/>
      <c r="HG78" s="541"/>
      <c r="HH78" s="541"/>
      <c r="HI78" s="541"/>
      <c r="HJ78" s="541"/>
      <c r="HK78" s="541"/>
      <c r="HL78" s="541"/>
      <c r="HM78" s="541"/>
      <c r="HN78" s="541"/>
      <c r="HO78" s="541"/>
    </row>
    <row r="79" spans="1:223" s="542" customFormat="1" ht="12.75">
      <c r="A79" s="536"/>
      <c r="B79" s="536"/>
      <c r="C79" s="536" t="s">
        <v>216</v>
      </c>
      <c r="D79" s="546">
        <f>SUM(D28)</f>
        <v>42015733</v>
      </c>
      <c r="E79" s="546">
        <f>SUM(E28)</f>
        <v>1176000</v>
      </c>
      <c r="F79" s="546">
        <f>SUM(D79:E79)</f>
        <v>43191733</v>
      </c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 t="s">
        <v>216</v>
      </c>
      <c r="U79" s="536"/>
      <c r="V79" s="536"/>
      <c r="W79" s="546">
        <f>SUM(X28)</f>
        <v>35608000</v>
      </c>
      <c r="X79" s="546">
        <v>0</v>
      </c>
      <c r="Y79" s="546">
        <f>SUM(W79:X79)</f>
        <v>35608000</v>
      </c>
      <c r="Z79" s="547"/>
      <c r="AA79" s="546">
        <f aca="true" t="shared" si="2" ref="AA79:AB81">W79-D79</f>
        <v>-6407733</v>
      </c>
      <c r="AB79" s="546">
        <f t="shared" si="2"/>
        <v>-1176000</v>
      </c>
      <c r="AC79" s="547">
        <f>SUM(AA79:AB79)</f>
        <v>-7583733</v>
      </c>
      <c r="AD79" s="541"/>
      <c r="AE79" s="541"/>
      <c r="AF79" s="541"/>
      <c r="AG79" s="541"/>
      <c r="AH79" s="541"/>
      <c r="AI79" s="541"/>
      <c r="AJ79" s="541"/>
      <c r="AK79" s="541"/>
      <c r="AL79" s="541"/>
      <c r="AM79" s="541"/>
      <c r="AN79" s="541"/>
      <c r="AO79" s="541"/>
      <c r="AP79" s="541"/>
      <c r="AQ79" s="541"/>
      <c r="AR79" s="541"/>
      <c r="AS79" s="541"/>
      <c r="AT79" s="541"/>
      <c r="AU79" s="541"/>
      <c r="AV79" s="541"/>
      <c r="AW79" s="541"/>
      <c r="AX79" s="541"/>
      <c r="AY79" s="541"/>
      <c r="AZ79" s="541"/>
      <c r="BA79" s="541"/>
      <c r="BB79" s="541"/>
      <c r="BC79" s="541"/>
      <c r="BD79" s="541"/>
      <c r="BE79" s="541"/>
      <c r="BF79" s="541"/>
      <c r="BG79" s="541"/>
      <c r="BH79" s="541"/>
      <c r="BI79" s="541"/>
      <c r="BJ79" s="541"/>
      <c r="BK79" s="541"/>
      <c r="BL79" s="541"/>
      <c r="BM79" s="541"/>
      <c r="BN79" s="541"/>
      <c r="BO79" s="541"/>
      <c r="BP79" s="541"/>
      <c r="BQ79" s="541"/>
      <c r="BR79" s="541"/>
      <c r="BS79" s="541"/>
      <c r="BT79" s="541"/>
      <c r="BU79" s="541"/>
      <c r="BV79" s="541"/>
      <c r="BW79" s="541"/>
      <c r="BX79" s="541"/>
      <c r="BY79" s="541"/>
      <c r="BZ79" s="541"/>
      <c r="CA79" s="541"/>
      <c r="CB79" s="541"/>
      <c r="CC79" s="541"/>
      <c r="CD79" s="541"/>
      <c r="CE79" s="541"/>
      <c r="CF79" s="541"/>
      <c r="CG79" s="541"/>
      <c r="CH79" s="541"/>
      <c r="CI79" s="541"/>
      <c r="CJ79" s="541"/>
      <c r="CK79" s="541"/>
      <c r="CL79" s="541"/>
      <c r="CM79" s="541"/>
      <c r="CN79" s="541"/>
      <c r="CO79" s="541"/>
      <c r="CP79" s="541"/>
      <c r="CQ79" s="541"/>
      <c r="CR79" s="541"/>
      <c r="CS79" s="541"/>
      <c r="CT79" s="541"/>
      <c r="CU79" s="541"/>
      <c r="CV79" s="541"/>
      <c r="CW79" s="541"/>
      <c r="CX79" s="541"/>
      <c r="CY79" s="541"/>
      <c r="CZ79" s="541"/>
      <c r="DA79" s="541"/>
      <c r="DB79" s="541"/>
      <c r="DC79" s="541"/>
      <c r="DD79" s="541"/>
      <c r="DE79" s="541"/>
      <c r="DF79" s="541"/>
      <c r="DG79" s="541"/>
      <c r="DH79" s="541"/>
      <c r="DI79" s="541"/>
      <c r="DJ79" s="541"/>
      <c r="DK79" s="541"/>
      <c r="DL79" s="541"/>
      <c r="DM79" s="541"/>
      <c r="DN79" s="541"/>
      <c r="DO79" s="541"/>
      <c r="DP79" s="541"/>
      <c r="DQ79" s="541"/>
      <c r="DR79" s="541"/>
      <c r="DS79" s="541"/>
      <c r="DT79" s="541"/>
      <c r="DU79" s="541"/>
      <c r="DV79" s="541"/>
      <c r="DW79" s="541"/>
      <c r="DX79" s="541"/>
      <c r="DY79" s="541"/>
      <c r="DZ79" s="541"/>
      <c r="EA79" s="541"/>
      <c r="EB79" s="541"/>
      <c r="EC79" s="541"/>
      <c r="ED79" s="541"/>
      <c r="EE79" s="541"/>
      <c r="EF79" s="541"/>
      <c r="EG79" s="541"/>
      <c r="EH79" s="541"/>
      <c r="EI79" s="541"/>
      <c r="EJ79" s="541"/>
      <c r="EK79" s="541"/>
      <c r="EL79" s="541"/>
      <c r="EM79" s="541"/>
      <c r="EN79" s="541"/>
      <c r="EO79" s="541"/>
      <c r="EP79" s="541"/>
      <c r="EQ79" s="541"/>
      <c r="ER79" s="541"/>
      <c r="ES79" s="541"/>
      <c r="ET79" s="541"/>
      <c r="EU79" s="541"/>
      <c r="EV79" s="541"/>
      <c r="EW79" s="541"/>
      <c r="EX79" s="541"/>
      <c r="EY79" s="541"/>
      <c r="EZ79" s="541"/>
      <c r="FA79" s="541"/>
      <c r="FB79" s="541"/>
      <c r="FC79" s="541"/>
      <c r="FD79" s="541"/>
      <c r="FE79" s="541"/>
      <c r="FF79" s="541"/>
      <c r="FG79" s="541"/>
      <c r="FH79" s="541"/>
      <c r="FI79" s="541"/>
      <c r="FJ79" s="541"/>
      <c r="FK79" s="541"/>
      <c r="FL79" s="541"/>
      <c r="FM79" s="541"/>
      <c r="FN79" s="541"/>
      <c r="FO79" s="541"/>
      <c r="FP79" s="541"/>
      <c r="FQ79" s="541"/>
      <c r="FR79" s="541"/>
      <c r="FS79" s="541"/>
      <c r="FT79" s="541"/>
      <c r="FU79" s="541"/>
      <c r="FV79" s="541"/>
      <c r="FW79" s="541"/>
      <c r="FX79" s="541"/>
      <c r="FY79" s="541"/>
      <c r="FZ79" s="541"/>
      <c r="GA79" s="541"/>
      <c r="GB79" s="541"/>
      <c r="GC79" s="541"/>
      <c r="GD79" s="541"/>
      <c r="GE79" s="541"/>
      <c r="GF79" s="541"/>
      <c r="GG79" s="541"/>
      <c r="GH79" s="541"/>
      <c r="GI79" s="541"/>
      <c r="GJ79" s="541"/>
      <c r="GK79" s="541"/>
      <c r="GL79" s="541"/>
      <c r="GM79" s="541"/>
      <c r="GN79" s="541"/>
      <c r="GO79" s="541"/>
      <c r="GP79" s="541"/>
      <c r="GQ79" s="541"/>
      <c r="GR79" s="541"/>
      <c r="GS79" s="541"/>
      <c r="GT79" s="541"/>
      <c r="GU79" s="541"/>
      <c r="GV79" s="541"/>
      <c r="GW79" s="541"/>
      <c r="GX79" s="541"/>
      <c r="GY79" s="541"/>
      <c r="GZ79" s="541"/>
      <c r="HA79" s="541"/>
      <c r="HB79" s="541"/>
      <c r="HC79" s="541"/>
      <c r="HD79" s="541"/>
      <c r="HE79" s="541"/>
      <c r="HF79" s="541"/>
      <c r="HG79" s="541"/>
      <c r="HH79" s="541"/>
      <c r="HI79" s="541"/>
      <c r="HJ79" s="541"/>
      <c r="HK79" s="541"/>
      <c r="HL79" s="541"/>
      <c r="HM79" s="541"/>
      <c r="HN79" s="541"/>
      <c r="HO79" s="541"/>
    </row>
    <row r="80" spans="1:223" s="542" customFormat="1" ht="12.75">
      <c r="A80" s="536"/>
      <c r="B80" s="536"/>
      <c r="C80" s="536" t="s">
        <v>548</v>
      </c>
      <c r="D80" s="546">
        <f>SUM(D44)</f>
        <v>0</v>
      </c>
      <c r="E80" s="546">
        <f>SUM(E44)</f>
        <v>0</v>
      </c>
      <c r="F80" s="546">
        <f>SUM(D80:E80)</f>
        <v>0</v>
      </c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 t="s">
        <v>548</v>
      </c>
      <c r="U80" s="536"/>
      <c r="V80" s="536"/>
      <c r="W80" s="546">
        <f>SUM(X44)</f>
        <v>3750</v>
      </c>
      <c r="X80" s="546">
        <v>0</v>
      </c>
      <c r="Y80" s="546">
        <f>SUM(W80:X80)</f>
        <v>3750</v>
      </c>
      <c r="Z80" s="547"/>
      <c r="AA80" s="546">
        <f t="shared" si="2"/>
        <v>3750</v>
      </c>
      <c r="AB80" s="546">
        <f t="shared" si="2"/>
        <v>0</v>
      </c>
      <c r="AC80" s="547">
        <f>SUM(AA80:AB80)</f>
        <v>3750</v>
      </c>
      <c r="AD80" s="541"/>
      <c r="AE80" s="541"/>
      <c r="AF80" s="541"/>
      <c r="AG80" s="541"/>
      <c r="AH80" s="541"/>
      <c r="AI80" s="541"/>
      <c r="AJ80" s="541"/>
      <c r="AK80" s="541"/>
      <c r="AL80" s="541"/>
      <c r="AM80" s="541"/>
      <c r="AN80" s="541"/>
      <c r="AO80" s="541"/>
      <c r="AP80" s="541"/>
      <c r="AQ80" s="541"/>
      <c r="AR80" s="541"/>
      <c r="AS80" s="541"/>
      <c r="AT80" s="541"/>
      <c r="AU80" s="541"/>
      <c r="AV80" s="541"/>
      <c r="AW80" s="541"/>
      <c r="AX80" s="541"/>
      <c r="AY80" s="541"/>
      <c r="AZ80" s="541"/>
      <c r="BA80" s="541"/>
      <c r="BB80" s="541"/>
      <c r="BC80" s="541"/>
      <c r="BD80" s="541"/>
      <c r="BE80" s="541"/>
      <c r="BF80" s="541"/>
      <c r="BG80" s="541"/>
      <c r="BH80" s="541"/>
      <c r="BI80" s="541"/>
      <c r="BJ80" s="541"/>
      <c r="BK80" s="541"/>
      <c r="BL80" s="541"/>
      <c r="BM80" s="541"/>
      <c r="BN80" s="541"/>
      <c r="BO80" s="541"/>
      <c r="BP80" s="541"/>
      <c r="BQ80" s="541"/>
      <c r="BR80" s="541"/>
      <c r="BS80" s="541"/>
      <c r="BT80" s="541"/>
      <c r="BU80" s="541"/>
      <c r="BV80" s="541"/>
      <c r="BW80" s="541"/>
      <c r="BX80" s="541"/>
      <c r="BY80" s="541"/>
      <c r="BZ80" s="541"/>
      <c r="CA80" s="541"/>
      <c r="CB80" s="541"/>
      <c r="CC80" s="541"/>
      <c r="CD80" s="541"/>
      <c r="CE80" s="541"/>
      <c r="CF80" s="541"/>
      <c r="CG80" s="541"/>
      <c r="CH80" s="541"/>
      <c r="CI80" s="541"/>
      <c r="CJ80" s="541"/>
      <c r="CK80" s="541"/>
      <c r="CL80" s="541"/>
      <c r="CM80" s="541"/>
      <c r="CN80" s="541"/>
      <c r="CO80" s="541"/>
      <c r="CP80" s="541"/>
      <c r="CQ80" s="541"/>
      <c r="CR80" s="541"/>
      <c r="CS80" s="541"/>
      <c r="CT80" s="541"/>
      <c r="CU80" s="541"/>
      <c r="CV80" s="541"/>
      <c r="CW80" s="541"/>
      <c r="CX80" s="541"/>
      <c r="CY80" s="541"/>
      <c r="CZ80" s="541"/>
      <c r="DA80" s="541"/>
      <c r="DB80" s="541"/>
      <c r="DC80" s="541"/>
      <c r="DD80" s="541"/>
      <c r="DE80" s="541"/>
      <c r="DF80" s="541"/>
      <c r="DG80" s="541"/>
      <c r="DH80" s="541"/>
      <c r="DI80" s="541"/>
      <c r="DJ80" s="541"/>
      <c r="DK80" s="541"/>
      <c r="DL80" s="541"/>
      <c r="DM80" s="541"/>
      <c r="DN80" s="541"/>
      <c r="DO80" s="541"/>
      <c r="DP80" s="541"/>
      <c r="DQ80" s="541"/>
      <c r="DR80" s="541"/>
      <c r="DS80" s="541"/>
      <c r="DT80" s="541"/>
      <c r="DU80" s="541"/>
      <c r="DV80" s="541"/>
      <c r="DW80" s="541"/>
      <c r="DX80" s="541"/>
      <c r="DY80" s="541"/>
      <c r="DZ80" s="541"/>
      <c r="EA80" s="541"/>
      <c r="EB80" s="541"/>
      <c r="EC80" s="541"/>
      <c r="ED80" s="541"/>
      <c r="EE80" s="541"/>
      <c r="EF80" s="541"/>
      <c r="EG80" s="541"/>
      <c r="EH80" s="541"/>
      <c r="EI80" s="541"/>
      <c r="EJ80" s="541"/>
      <c r="EK80" s="541"/>
      <c r="EL80" s="541"/>
      <c r="EM80" s="541"/>
      <c r="EN80" s="541"/>
      <c r="EO80" s="541"/>
      <c r="EP80" s="541"/>
      <c r="EQ80" s="541"/>
      <c r="ER80" s="541"/>
      <c r="ES80" s="541"/>
      <c r="ET80" s="541"/>
      <c r="EU80" s="541"/>
      <c r="EV80" s="541"/>
      <c r="EW80" s="541"/>
      <c r="EX80" s="541"/>
      <c r="EY80" s="541"/>
      <c r="EZ80" s="541"/>
      <c r="FA80" s="541"/>
      <c r="FB80" s="541"/>
      <c r="FC80" s="541"/>
      <c r="FD80" s="541"/>
      <c r="FE80" s="541"/>
      <c r="FF80" s="541"/>
      <c r="FG80" s="541"/>
      <c r="FH80" s="541"/>
      <c r="FI80" s="541"/>
      <c r="FJ80" s="541"/>
      <c r="FK80" s="541"/>
      <c r="FL80" s="541"/>
      <c r="FM80" s="541"/>
      <c r="FN80" s="541"/>
      <c r="FO80" s="541"/>
      <c r="FP80" s="541"/>
      <c r="FQ80" s="541"/>
      <c r="FR80" s="541"/>
      <c r="FS80" s="541"/>
      <c r="FT80" s="541"/>
      <c r="FU80" s="541"/>
      <c r="FV80" s="541"/>
      <c r="FW80" s="541"/>
      <c r="FX80" s="541"/>
      <c r="FY80" s="541"/>
      <c r="FZ80" s="541"/>
      <c r="GA80" s="541"/>
      <c r="GB80" s="541"/>
      <c r="GC80" s="541"/>
      <c r="GD80" s="541"/>
      <c r="GE80" s="541"/>
      <c r="GF80" s="541"/>
      <c r="GG80" s="541"/>
      <c r="GH80" s="541"/>
      <c r="GI80" s="541"/>
      <c r="GJ80" s="541"/>
      <c r="GK80" s="541"/>
      <c r="GL80" s="541"/>
      <c r="GM80" s="541"/>
      <c r="GN80" s="541"/>
      <c r="GO80" s="541"/>
      <c r="GP80" s="541"/>
      <c r="GQ80" s="541"/>
      <c r="GR80" s="541"/>
      <c r="GS80" s="541"/>
      <c r="GT80" s="541"/>
      <c r="GU80" s="541"/>
      <c r="GV80" s="541"/>
      <c r="GW80" s="541"/>
      <c r="GX80" s="541"/>
      <c r="GY80" s="541"/>
      <c r="GZ80" s="541"/>
      <c r="HA80" s="541"/>
      <c r="HB80" s="541"/>
      <c r="HC80" s="541"/>
      <c r="HD80" s="541"/>
      <c r="HE80" s="541"/>
      <c r="HF80" s="541"/>
      <c r="HG80" s="541"/>
      <c r="HH80" s="541"/>
      <c r="HI80" s="541"/>
      <c r="HJ80" s="541"/>
      <c r="HK80" s="541"/>
      <c r="HL80" s="541"/>
      <c r="HM80" s="541"/>
      <c r="HN80" s="541"/>
      <c r="HO80" s="541"/>
    </row>
    <row r="81" spans="1:223" s="542" customFormat="1" ht="12.75">
      <c r="A81" s="536"/>
      <c r="B81" s="536"/>
      <c r="C81" s="548" t="s">
        <v>217</v>
      </c>
      <c r="D81" s="549">
        <v>0</v>
      </c>
      <c r="E81" s="549">
        <v>0</v>
      </c>
      <c r="F81" s="549">
        <f>SUM(D81:E81)</f>
        <v>0</v>
      </c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48" t="s">
        <v>217</v>
      </c>
      <c r="U81" s="550"/>
      <c r="V81" s="550"/>
      <c r="W81" s="549">
        <v>0</v>
      </c>
      <c r="X81" s="549">
        <v>0</v>
      </c>
      <c r="Y81" s="549">
        <f>SUM(W81:X81)</f>
        <v>0</v>
      </c>
      <c r="Z81" s="547"/>
      <c r="AA81" s="549">
        <f t="shared" si="2"/>
        <v>0</v>
      </c>
      <c r="AB81" s="549">
        <f t="shared" si="2"/>
        <v>0</v>
      </c>
      <c r="AC81" s="549">
        <f>SUM(AA81:AB81)</f>
        <v>0</v>
      </c>
      <c r="AD81" s="541"/>
      <c r="AE81" s="541"/>
      <c r="AF81" s="541"/>
      <c r="AG81" s="541"/>
      <c r="AH81" s="541"/>
      <c r="AI81" s="541"/>
      <c r="AJ81" s="541"/>
      <c r="AK81" s="541"/>
      <c r="AL81" s="541"/>
      <c r="AM81" s="541"/>
      <c r="AN81" s="541"/>
      <c r="AO81" s="541"/>
      <c r="AP81" s="541"/>
      <c r="AQ81" s="541"/>
      <c r="AR81" s="541"/>
      <c r="AS81" s="541"/>
      <c r="AT81" s="541"/>
      <c r="AU81" s="541"/>
      <c r="AV81" s="541"/>
      <c r="AW81" s="541"/>
      <c r="AX81" s="541"/>
      <c r="AY81" s="541"/>
      <c r="AZ81" s="541"/>
      <c r="BA81" s="541"/>
      <c r="BB81" s="541"/>
      <c r="BC81" s="541"/>
      <c r="BD81" s="541"/>
      <c r="BE81" s="541"/>
      <c r="BF81" s="541"/>
      <c r="BG81" s="541"/>
      <c r="BH81" s="541"/>
      <c r="BI81" s="541"/>
      <c r="BJ81" s="541"/>
      <c r="BK81" s="541"/>
      <c r="BL81" s="541"/>
      <c r="BM81" s="541"/>
      <c r="BN81" s="541"/>
      <c r="BO81" s="541"/>
      <c r="BP81" s="541"/>
      <c r="BQ81" s="541"/>
      <c r="BR81" s="541"/>
      <c r="BS81" s="541"/>
      <c r="BT81" s="541"/>
      <c r="BU81" s="541"/>
      <c r="BV81" s="541"/>
      <c r="BW81" s="541"/>
      <c r="BX81" s="541"/>
      <c r="BY81" s="541"/>
      <c r="BZ81" s="541"/>
      <c r="CA81" s="541"/>
      <c r="CB81" s="541"/>
      <c r="CC81" s="541"/>
      <c r="CD81" s="541"/>
      <c r="CE81" s="541"/>
      <c r="CF81" s="541"/>
      <c r="CG81" s="541"/>
      <c r="CH81" s="541"/>
      <c r="CI81" s="541"/>
      <c r="CJ81" s="541"/>
      <c r="CK81" s="541"/>
      <c r="CL81" s="541"/>
      <c r="CM81" s="541"/>
      <c r="CN81" s="541"/>
      <c r="CO81" s="541"/>
      <c r="CP81" s="541"/>
      <c r="CQ81" s="541"/>
      <c r="CR81" s="541"/>
      <c r="CS81" s="541"/>
      <c r="CT81" s="541"/>
      <c r="CU81" s="541"/>
      <c r="CV81" s="541"/>
      <c r="CW81" s="541"/>
      <c r="CX81" s="541"/>
      <c r="CY81" s="541"/>
      <c r="CZ81" s="541"/>
      <c r="DA81" s="541"/>
      <c r="DB81" s="541"/>
      <c r="DC81" s="541"/>
      <c r="DD81" s="541"/>
      <c r="DE81" s="541"/>
      <c r="DF81" s="541"/>
      <c r="DG81" s="541"/>
      <c r="DH81" s="541"/>
      <c r="DI81" s="541"/>
      <c r="DJ81" s="541"/>
      <c r="DK81" s="541"/>
      <c r="DL81" s="541"/>
      <c r="DM81" s="541"/>
      <c r="DN81" s="541"/>
      <c r="DO81" s="541"/>
      <c r="DP81" s="541"/>
      <c r="DQ81" s="541"/>
      <c r="DR81" s="541"/>
      <c r="DS81" s="541"/>
      <c r="DT81" s="541"/>
      <c r="DU81" s="541"/>
      <c r="DV81" s="541"/>
      <c r="DW81" s="541"/>
      <c r="DX81" s="541"/>
      <c r="DY81" s="541"/>
      <c r="DZ81" s="541"/>
      <c r="EA81" s="541"/>
      <c r="EB81" s="541"/>
      <c r="EC81" s="541"/>
      <c r="ED81" s="541"/>
      <c r="EE81" s="541"/>
      <c r="EF81" s="541"/>
      <c r="EG81" s="541"/>
      <c r="EH81" s="541"/>
      <c r="EI81" s="541"/>
      <c r="EJ81" s="541"/>
      <c r="EK81" s="541"/>
      <c r="EL81" s="541"/>
      <c r="EM81" s="541"/>
      <c r="EN81" s="541"/>
      <c r="EO81" s="541"/>
      <c r="EP81" s="541"/>
      <c r="EQ81" s="541"/>
      <c r="ER81" s="541"/>
      <c r="ES81" s="541"/>
      <c r="ET81" s="541"/>
      <c r="EU81" s="541"/>
      <c r="EV81" s="541"/>
      <c r="EW81" s="541"/>
      <c r="EX81" s="541"/>
      <c r="EY81" s="541"/>
      <c r="EZ81" s="541"/>
      <c r="FA81" s="541"/>
      <c r="FB81" s="541"/>
      <c r="FC81" s="541"/>
      <c r="FD81" s="541"/>
      <c r="FE81" s="541"/>
      <c r="FF81" s="541"/>
      <c r="FG81" s="541"/>
      <c r="FH81" s="541"/>
      <c r="FI81" s="541"/>
      <c r="FJ81" s="541"/>
      <c r="FK81" s="541"/>
      <c r="FL81" s="541"/>
      <c r="FM81" s="541"/>
      <c r="FN81" s="541"/>
      <c r="FO81" s="541"/>
      <c r="FP81" s="541"/>
      <c r="FQ81" s="541"/>
      <c r="FR81" s="541"/>
      <c r="FS81" s="541"/>
      <c r="FT81" s="541"/>
      <c r="FU81" s="541"/>
      <c r="FV81" s="541"/>
      <c r="FW81" s="541"/>
      <c r="FX81" s="541"/>
      <c r="FY81" s="541"/>
      <c r="FZ81" s="541"/>
      <c r="GA81" s="541"/>
      <c r="GB81" s="541"/>
      <c r="GC81" s="541"/>
      <c r="GD81" s="541"/>
      <c r="GE81" s="541"/>
      <c r="GF81" s="541"/>
      <c r="GG81" s="541"/>
      <c r="GH81" s="541"/>
      <c r="GI81" s="541"/>
      <c r="GJ81" s="541"/>
      <c r="GK81" s="541"/>
      <c r="GL81" s="541"/>
      <c r="GM81" s="541"/>
      <c r="GN81" s="541"/>
      <c r="GO81" s="541"/>
      <c r="GP81" s="541"/>
      <c r="GQ81" s="541"/>
      <c r="GR81" s="541"/>
      <c r="GS81" s="541"/>
      <c r="GT81" s="541"/>
      <c r="GU81" s="541"/>
      <c r="GV81" s="541"/>
      <c r="GW81" s="541"/>
      <c r="GX81" s="541"/>
      <c r="GY81" s="541"/>
      <c r="GZ81" s="541"/>
      <c r="HA81" s="541"/>
      <c r="HB81" s="541"/>
      <c r="HC81" s="541"/>
      <c r="HD81" s="541"/>
      <c r="HE81" s="541"/>
      <c r="HF81" s="541"/>
      <c r="HG81" s="541"/>
      <c r="HH81" s="541"/>
      <c r="HI81" s="541"/>
      <c r="HJ81" s="541"/>
      <c r="HK81" s="541"/>
      <c r="HL81" s="541"/>
      <c r="HM81" s="541"/>
      <c r="HN81" s="541"/>
      <c r="HO81" s="541"/>
    </row>
    <row r="82" spans="1:223" s="542" customFormat="1" ht="12.75">
      <c r="A82" s="536"/>
      <c r="B82" s="536"/>
      <c r="C82" s="551" t="s">
        <v>540</v>
      </c>
      <c r="D82" s="546">
        <f>SUM(D79:D81)</f>
        <v>42015733</v>
      </c>
      <c r="E82" s="546">
        <f>SUM(E79:E81)</f>
        <v>1176000</v>
      </c>
      <c r="F82" s="546">
        <f>SUM(F79:F81)</f>
        <v>43191733</v>
      </c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51" t="s">
        <v>540</v>
      </c>
      <c r="U82" s="536"/>
      <c r="V82" s="551"/>
      <c r="W82" s="546">
        <f>SUM(W79:W81)</f>
        <v>35611750</v>
      </c>
      <c r="X82" s="546">
        <f>SUM(X79:X81)</f>
        <v>0</v>
      </c>
      <c r="Y82" s="546">
        <f>SUM(Y79:Y81)</f>
        <v>35611750</v>
      </c>
      <c r="Z82" s="547"/>
      <c r="AA82" s="546">
        <f>SUM(AA79:AA81)</f>
        <v>-6403983</v>
      </c>
      <c r="AB82" s="546">
        <f>SUM(AB79:AB81)</f>
        <v>-1176000</v>
      </c>
      <c r="AC82" s="546">
        <f>SUM(AC79:AC81)</f>
        <v>-7579983</v>
      </c>
      <c r="AD82" s="541"/>
      <c r="AE82" s="541"/>
      <c r="AF82" s="541"/>
      <c r="AG82" s="541"/>
      <c r="AH82" s="541"/>
      <c r="AI82" s="541"/>
      <c r="AJ82" s="541"/>
      <c r="AK82" s="541"/>
      <c r="AL82" s="541"/>
      <c r="AM82" s="541"/>
      <c r="AN82" s="541"/>
      <c r="AO82" s="541"/>
      <c r="AP82" s="541"/>
      <c r="AQ82" s="541"/>
      <c r="AR82" s="541"/>
      <c r="AS82" s="541"/>
      <c r="AT82" s="541"/>
      <c r="AU82" s="541"/>
      <c r="AV82" s="541"/>
      <c r="AW82" s="541"/>
      <c r="AX82" s="541"/>
      <c r="AY82" s="541"/>
      <c r="AZ82" s="541"/>
      <c r="BA82" s="541"/>
      <c r="BB82" s="541"/>
      <c r="BC82" s="541"/>
      <c r="BD82" s="541"/>
      <c r="BE82" s="541"/>
      <c r="BF82" s="541"/>
      <c r="BG82" s="541"/>
      <c r="BH82" s="541"/>
      <c r="BI82" s="541"/>
      <c r="BJ82" s="541"/>
      <c r="BK82" s="541"/>
      <c r="BL82" s="541"/>
      <c r="BM82" s="541"/>
      <c r="BN82" s="541"/>
      <c r="BO82" s="541"/>
      <c r="BP82" s="541"/>
      <c r="BQ82" s="541"/>
      <c r="BR82" s="541"/>
      <c r="BS82" s="541"/>
      <c r="BT82" s="541"/>
      <c r="BU82" s="541"/>
      <c r="BV82" s="541"/>
      <c r="BW82" s="541"/>
      <c r="BX82" s="541"/>
      <c r="BY82" s="541"/>
      <c r="BZ82" s="541"/>
      <c r="CA82" s="541"/>
      <c r="CB82" s="541"/>
      <c r="CC82" s="541"/>
      <c r="CD82" s="541"/>
      <c r="CE82" s="541"/>
      <c r="CF82" s="541"/>
      <c r="CG82" s="541"/>
      <c r="CH82" s="541"/>
      <c r="CI82" s="541"/>
      <c r="CJ82" s="541"/>
      <c r="CK82" s="541"/>
      <c r="CL82" s="541"/>
      <c r="CM82" s="541"/>
      <c r="CN82" s="541"/>
      <c r="CO82" s="541"/>
      <c r="CP82" s="541"/>
      <c r="CQ82" s="541"/>
      <c r="CR82" s="541"/>
      <c r="CS82" s="541"/>
      <c r="CT82" s="541"/>
      <c r="CU82" s="541"/>
      <c r="CV82" s="541"/>
      <c r="CW82" s="541"/>
      <c r="CX82" s="541"/>
      <c r="CY82" s="541"/>
      <c r="CZ82" s="541"/>
      <c r="DA82" s="541"/>
      <c r="DB82" s="541"/>
      <c r="DC82" s="541"/>
      <c r="DD82" s="541"/>
      <c r="DE82" s="541"/>
      <c r="DF82" s="541"/>
      <c r="DG82" s="541"/>
      <c r="DH82" s="541"/>
      <c r="DI82" s="541"/>
      <c r="DJ82" s="541"/>
      <c r="DK82" s="541"/>
      <c r="DL82" s="541"/>
      <c r="DM82" s="541"/>
      <c r="DN82" s="541"/>
      <c r="DO82" s="541"/>
      <c r="DP82" s="541"/>
      <c r="DQ82" s="541"/>
      <c r="DR82" s="541"/>
      <c r="DS82" s="541"/>
      <c r="DT82" s="541"/>
      <c r="DU82" s="541"/>
      <c r="DV82" s="541"/>
      <c r="DW82" s="541"/>
      <c r="DX82" s="541"/>
      <c r="DY82" s="541"/>
      <c r="DZ82" s="541"/>
      <c r="EA82" s="541"/>
      <c r="EB82" s="541"/>
      <c r="EC82" s="541"/>
      <c r="ED82" s="541"/>
      <c r="EE82" s="541"/>
      <c r="EF82" s="541"/>
      <c r="EG82" s="541"/>
      <c r="EH82" s="541"/>
      <c r="EI82" s="541"/>
      <c r="EJ82" s="541"/>
      <c r="EK82" s="541"/>
      <c r="EL82" s="541"/>
      <c r="EM82" s="541"/>
      <c r="EN82" s="541"/>
      <c r="EO82" s="541"/>
      <c r="EP82" s="541"/>
      <c r="EQ82" s="541"/>
      <c r="ER82" s="541"/>
      <c r="ES82" s="541"/>
      <c r="ET82" s="541"/>
      <c r="EU82" s="541"/>
      <c r="EV82" s="541"/>
      <c r="EW82" s="541"/>
      <c r="EX82" s="541"/>
      <c r="EY82" s="541"/>
      <c r="EZ82" s="541"/>
      <c r="FA82" s="541"/>
      <c r="FB82" s="541"/>
      <c r="FC82" s="541"/>
      <c r="FD82" s="541"/>
      <c r="FE82" s="541"/>
      <c r="FF82" s="541"/>
      <c r="FG82" s="541"/>
      <c r="FH82" s="541"/>
      <c r="FI82" s="541"/>
      <c r="FJ82" s="541"/>
      <c r="FK82" s="541"/>
      <c r="FL82" s="541"/>
      <c r="FM82" s="541"/>
      <c r="FN82" s="541"/>
      <c r="FO82" s="541"/>
      <c r="FP82" s="541"/>
      <c r="FQ82" s="541"/>
      <c r="FR82" s="541"/>
      <c r="FS82" s="541"/>
      <c r="FT82" s="541"/>
      <c r="FU82" s="541"/>
      <c r="FV82" s="541"/>
      <c r="FW82" s="541"/>
      <c r="FX82" s="541"/>
      <c r="FY82" s="541"/>
      <c r="FZ82" s="541"/>
      <c r="GA82" s="541"/>
      <c r="GB82" s="541"/>
      <c r="GC82" s="541"/>
      <c r="GD82" s="541"/>
      <c r="GE82" s="541"/>
      <c r="GF82" s="541"/>
      <c r="GG82" s="541"/>
      <c r="GH82" s="541"/>
      <c r="GI82" s="541"/>
      <c r="GJ82" s="541"/>
      <c r="GK82" s="541"/>
      <c r="GL82" s="541"/>
      <c r="GM82" s="541"/>
      <c r="GN82" s="541"/>
      <c r="GO82" s="541"/>
      <c r="GP82" s="541"/>
      <c r="GQ82" s="541"/>
      <c r="GR82" s="541"/>
      <c r="GS82" s="541"/>
      <c r="GT82" s="541"/>
      <c r="GU82" s="541"/>
      <c r="GV82" s="541"/>
      <c r="GW82" s="541"/>
      <c r="GX82" s="541"/>
      <c r="GY82" s="541"/>
      <c r="GZ82" s="541"/>
      <c r="HA82" s="541"/>
      <c r="HB82" s="541"/>
      <c r="HC82" s="541"/>
      <c r="HD82" s="541"/>
      <c r="HE82" s="541"/>
      <c r="HF82" s="541"/>
      <c r="HG82" s="541"/>
      <c r="HH82" s="541"/>
      <c r="HI82" s="541"/>
      <c r="HJ82" s="541"/>
      <c r="HK82" s="541"/>
      <c r="HL82" s="541"/>
      <c r="HM82" s="541"/>
      <c r="HN82" s="541"/>
      <c r="HO82" s="541"/>
    </row>
    <row r="83" spans="1:223" s="542" customFormat="1" ht="12.75">
      <c r="A83" s="536"/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40"/>
      <c r="AA83" s="546"/>
      <c r="AB83" s="546"/>
      <c r="AC83" s="540"/>
      <c r="AD83" s="541"/>
      <c r="AE83" s="541"/>
      <c r="AF83" s="541"/>
      <c r="AG83" s="541"/>
      <c r="AH83" s="541"/>
      <c r="AI83" s="541"/>
      <c r="AJ83" s="541"/>
      <c r="AK83" s="541"/>
      <c r="AL83" s="541"/>
      <c r="AM83" s="541"/>
      <c r="AN83" s="541"/>
      <c r="AO83" s="541"/>
      <c r="AP83" s="541"/>
      <c r="AQ83" s="541"/>
      <c r="AR83" s="541"/>
      <c r="AS83" s="541"/>
      <c r="AT83" s="541"/>
      <c r="AU83" s="541"/>
      <c r="AV83" s="541"/>
      <c r="AW83" s="541"/>
      <c r="AX83" s="541"/>
      <c r="AY83" s="541"/>
      <c r="AZ83" s="541"/>
      <c r="BA83" s="541"/>
      <c r="BB83" s="541"/>
      <c r="BC83" s="541"/>
      <c r="BD83" s="541"/>
      <c r="BE83" s="541"/>
      <c r="BF83" s="541"/>
      <c r="BG83" s="541"/>
      <c r="BH83" s="541"/>
      <c r="BI83" s="541"/>
      <c r="BJ83" s="541"/>
      <c r="BK83" s="541"/>
      <c r="BL83" s="541"/>
      <c r="BM83" s="541"/>
      <c r="BN83" s="541"/>
      <c r="BO83" s="541"/>
      <c r="BP83" s="541"/>
      <c r="BQ83" s="541"/>
      <c r="BR83" s="541"/>
      <c r="BS83" s="541"/>
      <c r="BT83" s="541"/>
      <c r="BU83" s="541"/>
      <c r="BV83" s="541"/>
      <c r="BW83" s="541"/>
      <c r="BX83" s="541"/>
      <c r="BY83" s="541"/>
      <c r="BZ83" s="541"/>
      <c r="CA83" s="541"/>
      <c r="CB83" s="541"/>
      <c r="CC83" s="541"/>
      <c r="CD83" s="541"/>
      <c r="CE83" s="541"/>
      <c r="CF83" s="541"/>
      <c r="CG83" s="541"/>
      <c r="CH83" s="541"/>
      <c r="CI83" s="541"/>
      <c r="CJ83" s="541"/>
      <c r="CK83" s="541"/>
      <c r="CL83" s="541"/>
      <c r="CM83" s="541"/>
      <c r="CN83" s="541"/>
      <c r="CO83" s="541"/>
      <c r="CP83" s="541"/>
      <c r="CQ83" s="541"/>
      <c r="CR83" s="541"/>
      <c r="CS83" s="541"/>
      <c r="CT83" s="541"/>
      <c r="CU83" s="541"/>
      <c r="CV83" s="541"/>
      <c r="CW83" s="541"/>
      <c r="CX83" s="541"/>
      <c r="CY83" s="541"/>
      <c r="CZ83" s="541"/>
      <c r="DA83" s="541"/>
      <c r="DB83" s="541"/>
      <c r="DC83" s="541"/>
      <c r="DD83" s="541"/>
      <c r="DE83" s="541"/>
      <c r="DF83" s="541"/>
      <c r="DG83" s="541"/>
      <c r="DH83" s="541"/>
      <c r="DI83" s="541"/>
      <c r="DJ83" s="541"/>
      <c r="DK83" s="541"/>
      <c r="DL83" s="541"/>
      <c r="DM83" s="541"/>
      <c r="DN83" s="541"/>
      <c r="DO83" s="541"/>
      <c r="DP83" s="541"/>
      <c r="DQ83" s="541"/>
      <c r="DR83" s="541"/>
      <c r="DS83" s="541"/>
      <c r="DT83" s="541"/>
      <c r="DU83" s="541"/>
      <c r="DV83" s="541"/>
      <c r="DW83" s="541"/>
      <c r="DX83" s="541"/>
      <c r="DY83" s="541"/>
      <c r="DZ83" s="541"/>
      <c r="EA83" s="541"/>
      <c r="EB83" s="541"/>
      <c r="EC83" s="541"/>
      <c r="ED83" s="541"/>
      <c r="EE83" s="541"/>
      <c r="EF83" s="541"/>
      <c r="EG83" s="541"/>
      <c r="EH83" s="541"/>
      <c r="EI83" s="541"/>
      <c r="EJ83" s="541"/>
      <c r="EK83" s="541"/>
      <c r="EL83" s="541"/>
      <c r="EM83" s="541"/>
      <c r="EN83" s="541"/>
      <c r="EO83" s="541"/>
      <c r="EP83" s="541"/>
      <c r="EQ83" s="541"/>
      <c r="ER83" s="541"/>
      <c r="ES83" s="541"/>
      <c r="ET83" s="541"/>
      <c r="EU83" s="541"/>
      <c r="EV83" s="541"/>
      <c r="EW83" s="541"/>
      <c r="EX83" s="541"/>
      <c r="EY83" s="541"/>
      <c r="EZ83" s="541"/>
      <c r="FA83" s="541"/>
      <c r="FB83" s="541"/>
      <c r="FC83" s="541"/>
      <c r="FD83" s="541"/>
      <c r="FE83" s="541"/>
      <c r="FF83" s="541"/>
      <c r="FG83" s="541"/>
      <c r="FH83" s="541"/>
      <c r="FI83" s="541"/>
      <c r="FJ83" s="541"/>
      <c r="FK83" s="541"/>
      <c r="FL83" s="541"/>
      <c r="FM83" s="541"/>
      <c r="FN83" s="541"/>
      <c r="FO83" s="541"/>
      <c r="FP83" s="541"/>
      <c r="FQ83" s="541"/>
      <c r="FR83" s="541"/>
      <c r="FS83" s="541"/>
      <c r="FT83" s="541"/>
      <c r="FU83" s="541"/>
      <c r="FV83" s="541"/>
      <c r="FW83" s="541"/>
      <c r="FX83" s="541"/>
      <c r="FY83" s="541"/>
      <c r="FZ83" s="541"/>
      <c r="GA83" s="541"/>
      <c r="GB83" s="541"/>
      <c r="GC83" s="541"/>
      <c r="GD83" s="541"/>
      <c r="GE83" s="541"/>
      <c r="GF83" s="541"/>
      <c r="GG83" s="541"/>
      <c r="GH83" s="541"/>
      <c r="GI83" s="541"/>
      <c r="GJ83" s="541"/>
      <c r="GK83" s="541"/>
      <c r="GL83" s="541"/>
      <c r="GM83" s="541"/>
      <c r="GN83" s="541"/>
      <c r="GO83" s="541"/>
      <c r="GP83" s="541"/>
      <c r="GQ83" s="541"/>
      <c r="GR83" s="541"/>
      <c r="GS83" s="541"/>
      <c r="GT83" s="541"/>
      <c r="GU83" s="541"/>
      <c r="GV83" s="541"/>
      <c r="GW83" s="541"/>
      <c r="GX83" s="541"/>
      <c r="GY83" s="541"/>
      <c r="GZ83" s="541"/>
      <c r="HA83" s="541"/>
      <c r="HB83" s="541"/>
      <c r="HC83" s="541"/>
      <c r="HD83" s="541"/>
      <c r="HE83" s="541"/>
      <c r="HF83" s="541"/>
      <c r="HG83" s="541"/>
      <c r="HH83" s="541"/>
      <c r="HI83" s="541"/>
      <c r="HJ83" s="541"/>
      <c r="HK83" s="541"/>
      <c r="HL83" s="541"/>
      <c r="HM83" s="541"/>
      <c r="HN83" s="541"/>
      <c r="HO83" s="541"/>
    </row>
    <row r="84" spans="1:223" s="542" customFormat="1" ht="12.75">
      <c r="A84" s="554"/>
      <c r="B84" s="554"/>
      <c r="C84" s="554" t="s">
        <v>220</v>
      </c>
      <c r="D84" s="555">
        <f>SUM(D82,D76,D70)</f>
        <v>1093722736</v>
      </c>
      <c r="E84" s="555">
        <f>SUM(E82,E76,E70)</f>
        <v>188492883</v>
      </c>
      <c r="F84" s="555">
        <f>SUM(F82,F76,F70)</f>
        <v>1282215619</v>
      </c>
      <c r="G84" s="554"/>
      <c r="H84" s="554"/>
      <c r="I84" s="554"/>
      <c r="J84" s="554"/>
      <c r="K84" s="554"/>
      <c r="L84" s="554"/>
      <c r="M84" s="554"/>
      <c r="N84" s="554"/>
      <c r="O84" s="554"/>
      <c r="P84" s="554"/>
      <c r="Q84" s="554"/>
      <c r="R84" s="554"/>
      <c r="S84" s="554"/>
      <c r="T84" s="554" t="s">
        <v>220</v>
      </c>
      <c r="U84" s="554"/>
      <c r="V84" s="554"/>
      <c r="W84" s="555">
        <f>SUM(W82,W76,W70)</f>
        <v>1041604060</v>
      </c>
      <c r="X84" s="555">
        <f>SUM(X82,X76,X70)</f>
        <v>240611559</v>
      </c>
      <c r="Y84" s="555">
        <f>SUM(Y82,Y76,Y70)</f>
        <v>1282215619</v>
      </c>
      <c r="Z84" s="556"/>
      <c r="AA84" s="555">
        <f>SUM(AA82,AA76,AA70)</f>
        <v>-52118676</v>
      </c>
      <c r="AB84" s="555">
        <f>SUM(AB82,AB76,AB70)</f>
        <v>52118676</v>
      </c>
      <c r="AC84" s="555">
        <f>SUM(AC82,AC76,AC70)</f>
        <v>0</v>
      </c>
      <c r="AD84" s="541"/>
      <c r="AE84" s="541"/>
      <c r="AF84" s="541"/>
      <c r="AG84" s="541"/>
      <c r="AH84" s="541"/>
      <c r="AI84" s="541"/>
      <c r="AJ84" s="541"/>
      <c r="AK84" s="541"/>
      <c r="AL84" s="541"/>
      <c r="AM84" s="541"/>
      <c r="AN84" s="541"/>
      <c r="AO84" s="541"/>
      <c r="AP84" s="541"/>
      <c r="AQ84" s="541"/>
      <c r="AR84" s="541"/>
      <c r="AS84" s="541"/>
      <c r="AT84" s="541"/>
      <c r="AU84" s="541"/>
      <c r="AV84" s="541"/>
      <c r="AW84" s="541"/>
      <c r="AX84" s="541"/>
      <c r="AY84" s="541"/>
      <c r="AZ84" s="541"/>
      <c r="BA84" s="541"/>
      <c r="BB84" s="541"/>
      <c r="BC84" s="541"/>
      <c r="BD84" s="541"/>
      <c r="BE84" s="541"/>
      <c r="BF84" s="541"/>
      <c r="BG84" s="541"/>
      <c r="BH84" s="541"/>
      <c r="BI84" s="541"/>
      <c r="BJ84" s="541"/>
      <c r="BK84" s="541"/>
      <c r="BL84" s="541"/>
      <c r="BM84" s="541"/>
      <c r="BN84" s="541"/>
      <c r="BO84" s="541"/>
      <c r="BP84" s="541"/>
      <c r="BQ84" s="541"/>
      <c r="BR84" s="541"/>
      <c r="BS84" s="541"/>
      <c r="BT84" s="541"/>
      <c r="BU84" s="541"/>
      <c r="BV84" s="541"/>
      <c r="BW84" s="541"/>
      <c r="BX84" s="541"/>
      <c r="BY84" s="541"/>
      <c r="BZ84" s="541"/>
      <c r="CA84" s="541"/>
      <c r="CB84" s="541"/>
      <c r="CC84" s="541"/>
      <c r="CD84" s="541"/>
      <c r="CE84" s="541"/>
      <c r="CF84" s="541"/>
      <c r="CG84" s="541"/>
      <c r="CH84" s="541"/>
      <c r="CI84" s="541"/>
      <c r="CJ84" s="541"/>
      <c r="CK84" s="541"/>
      <c r="CL84" s="541"/>
      <c r="CM84" s="541"/>
      <c r="CN84" s="541"/>
      <c r="CO84" s="541"/>
      <c r="CP84" s="541"/>
      <c r="CQ84" s="541"/>
      <c r="CR84" s="541"/>
      <c r="CS84" s="541"/>
      <c r="CT84" s="541"/>
      <c r="CU84" s="541"/>
      <c r="CV84" s="541"/>
      <c r="CW84" s="541"/>
      <c r="CX84" s="541"/>
      <c r="CY84" s="541"/>
      <c r="CZ84" s="541"/>
      <c r="DA84" s="541"/>
      <c r="DB84" s="541"/>
      <c r="DC84" s="541"/>
      <c r="DD84" s="541"/>
      <c r="DE84" s="541"/>
      <c r="DF84" s="541"/>
      <c r="DG84" s="541"/>
      <c r="DH84" s="541"/>
      <c r="DI84" s="541"/>
      <c r="DJ84" s="541"/>
      <c r="DK84" s="541"/>
      <c r="DL84" s="541"/>
      <c r="DM84" s="541"/>
      <c r="DN84" s="541"/>
      <c r="DO84" s="541"/>
      <c r="DP84" s="541"/>
      <c r="DQ84" s="541"/>
      <c r="DR84" s="541"/>
      <c r="DS84" s="541"/>
      <c r="DT84" s="541"/>
      <c r="DU84" s="541"/>
      <c r="DV84" s="541"/>
      <c r="DW84" s="541"/>
      <c r="DX84" s="541"/>
      <c r="DY84" s="541"/>
      <c r="DZ84" s="541"/>
      <c r="EA84" s="541"/>
      <c r="EB84" s="541"/>
      <c r="EC84" s="541"/>
      <c r="ED84" s="541"/>
      <c r="EE84" s="541"/>
      <c r="EF84" s="541"/>
      <c r="EG84" s="541"/>
      <c r="EH84" s="541"/>
      <c r="EI84" s="541"/>
      <c r="EJ84" s="541"/>
      <c r="EK84" s="541"/>
      <c r="EL84" s="541"/>
      <c r="EM84" s="541"/>
      <c r="EN84" s="541"/>
      <c r="EO84" s="541"/>
      <c r="EP84" s="541"/>
      <c r="EQ84" s="541"/>
      <c r="ER84" s="541"/>
      <c r="ES84" s="541"/>
      <c r="ET84" s="541"/>
      <c r="EU84" s="541"/>
      <c r="EV84" s="541"/>
      <c r="EW84" s="541"/>
      <c r="EX84" s="541"/>
      <c r="EY84" s="541"/>
      <c r="EZ84" s="541"/>
      <c r="FA84" s="541"/>
      <c r="FB84" s="541"/>
      <c r="FC84" s="541"/>
      <c r="FD84" s="541"/>
      <c r="FE84" s="541"/>
      <c r="FF84" s="541"/>
      <c r="FG84" s="541"/>
      <c r="FH84" s="541"/>
      <c r="FI84" s="541"/>
      <c r="FJ84" s="541"/>
      <c r="FK84" s="541"/>
      <c r="FL84" s="541"/>
      <c r="FM84" s="541"/>
      <c r="FN84" s="541"/>
      <c r="FO84" s="541"/>
      <c r="FP84" s="541"/>
      <c r="FQ84" s="541"/>
      <c r="FR84" s="541"/>
      <c r="FS84" s="541"/>
      <c r="FT84" s="541"/>
      <c r="FU84" s="541"/>
      <c r="FV84" s="541"/>
      <c r="FW84" s="541"/>
      <c r="FX84" s="541"/>
      <c r="FY84" s="541"/>
      <c r="FZ84" s="541"/>
      <c r="GA84" s="541"/>
      <c r="GB84" s="541"/>
      <c r="GC84" s="541"/>
      <c r="GD84" s="541"/>
      <c r="GE84" s="541"/>
      <c r="GF84" s="541"/>
      <c r="GG84" s="541"/>
      <c r="GH84" s="541"/>
      <c r="GI84" s="541"/>
      <c r="GJ84" s="541"/>
      <c r="GK84" s="541"/>
      <c r="GL84" s="541"/>
      <c r="GM84" s="541"/>
      <c r="GN84" s="541"/>
      <c r="GO84" s="541"/>
      <c r="GP84" s="541"/>
      <c r="GQ84" s="541"/>
      <c r="GR84" s="541"/>
      <c r="GS84" s="541"/>
      <c r="GT84" s="541"/>
      <c r="GU84" s="541"/>
      <c r="GV84" s="541"/>
      <c r="GW84" s="541"/>
      <c r="GX84" s="541"/>
      <c r="GY84" s="541"/>
      <c r="GZ84" s="541"/>
      <c r="HA84" s="541"/>
      <c r="HB84" s="541"/>
      <c r="HC84" s="541"/>
      <c r="HD84" s="541"/>
      <c r="HE84" s="541"/>
      <c r="HF84" s="541"/>
      <c r="HG84" s="541"/>
      <c r="HH84" s="541"/>
      <c r="HI84" s="541"/>
      <c r="HJ84" s="541"/>
      <c r="HK84" s="541"/>
      <c r="HL84" s="541"/>
      <c r="HM84" s="541"/>
      <c r="HN84" s="541"/>
      <c r="HO84" s="541"/>
    </row>
    <row r="85" spans="1:223" s="542" customFormat="1" ht="12.75">
      <c r="A85" s="536"/>
      <c r="B85" s="536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40"/>
      <c r="AD85" s="541"/>
      <c r="AE85" s="541"/>
      <c r="AF85" s="541"/>
      <c r="AG85" s="541"/>
      <c r="AH85" s="541"/>
      <c r="AI85" s="541"/>
      <c r="AJ85" s="541"/>
      <c r="AK85" s="541"/>
      <c r="AL85" s="541"/>
      <c r="AM85" s="541"/>
      <c r="AN85" s="541"/>
      <c r="AO85" s="541"/>
      <c r="AP85" s="541"/>
      <c r="AQ85" s="541"/>
      <c r="AR85" s="541"/>
      <c r="AS85" s="541"/>
      <c r="AT85" s="541"/>
      <c r="AU85" s="541"/>
      <c r="AV85" s="541"/>
      <c r="AW85" s="541"/>
      <c r="AX85" s="541"/>
      <c r="AY85" s="541"/>
      <c r="AZ85" s="541"/>
      <c r="BA85" s="541"/>
      <c r="BB85" s="541"/>
      <c r="BC85" s="541"/>
      <c r="BD85" s="541"/>
      <c r="BE85" s="541"/>
      <c r="BF85" s="541"/>
      <c r="BG85" s="541"/>
      <c r="BH85" s="541"/>
      <c r="BI85" s="541"/>
      <c r="BJ85" s="541"/>
      <c r="BK85" s="541"/>
      <c r="BL85" s="541"/>
      <c r="BM85" s="541"/>
      <c r="BN85" s="541"/>
      <c r="BO85" s="541"/>
      <c r="BP85" s="541"/>
      <c r="BQ85" s="541"/>
      <c r="BR85" s="541"/>
      <c r="BS85" s="541"/>
      <c r="BT85" s="541"/>
      <c r="BU85" s="541"/>
      <c r="BV85" s="541"/>
      <c r="BW85" s="541"/>
      <c r="BX85" s="541"/>
      <c r="BY85" s="541"/>
      <c r="BZ85" s="541"/>
      <c r="CA85" s="541"/>
      <c r="CB85" s="541"/>
      <c r="CC85" s="541"/>
      <c r="CD85" s="541"/>
      <c r="CE85" s="541"/>
      <c r="CF85" s="541"/>
      <c r="CG85" s="541"/>
      <c r="CH85" s="541"/>
      <c r="CI85" s="541"/>
      <c r="CJ85" s="541"/>
      <c r="CK85" s="541"/>
      <c r="CL85" s="541"/>
      <c r="CM85" s="541"/>
      <c r="CN85" s="541"/>
      <c r="CO85" s="541"/>
      <c r="CP85" s="541"/>
      <c r="CQ85" s="541"/>
      <c r="CR85" s="541"/>
      <c r="CS85" s="541"/>
      <c r="CT85" s="541"/>
      <c r="CU85" s="541"/>
      <c r="CV85" s="541"/>
      <c r="CW85" s="541"/>
      <c r="CX85" s="541"/>
      <c r="CY85" s="541"/>
      <c r="CZ85" s="541"/>
      <c r="DA85" s="541"/>
      <c r="DB85" s="541"/>
      <c r="DC85" s="541"/>
      <c r="DD85" s="541"/>
      <c r="DE85" s="541"/>
      <c r="DF85" s="541"/>
      <c r="DG85" s="541"/>
      <c r="DH85" s="541"/>
      <c r="DI85" s="541"/>
      <c r="DJ85" s="541"/>
      <c r="DK85" s="541"/>
      <c r="DL85" s="541"/>
      <c r="DM85" s="541"/>
      <c r="DN85" s="541"/>
      <c r="DO85" s="541"/>
      <c r="DP85" s="541"/>
      <c r="DQ85" s="541"/>
      <c r="DR85" s="541"/>
      <c r="DS85" s="541"/>
      <c r="DT85" s="541"/>
      <c r="DU85" s="541"/>
      <c r="DV85" s="541"/>
      <c r="DW85" s="541"/>
      <c r="DX85" s="541"/>
      <c r="DY85" s="541"/>
      <c r="DZ85" s="541"/>
      <c r="EA85" s="541"/>
      <c r="EB85" s="541"/>
      <c r="EC85" s="541"/>
      <c r="ED85" s="541"/>
      <c r="EE85" s="541"/>
      <c r="EF85" s="541"/>
      <c r="EG85" s="541"/>
      <c r="EH85" s="541"/>
      <c r="EI85" s="541"/>
      <c r="EJ85" s="541"/>
      <c r="EK85" s="541"/>
      <c r="EL85" s="541"/>
      <c r="EM85" s="541"/>
      <c r="EN85" s="541"/>
      <c r="EO85" s="541"/>
      <c r="EP85" s="541"/>
      <c r="EQ85" s="541"/>
      <c r="ER85" s="541"/>
      <c r="ES85" s="541"/>
      <c r="ET85" s="541"/>
      <c r="EU85" s="541"/>
      <c r="EV85" s="541"/>
      <c r="EW85" s="541"/>
      <c r="EX85" s="541"/>
      <c r="EY85" s="541"/>
      <c r="EZ85" s="541"/>
      <c r="FA85" s="541"/>
      <c r="FB85" s="541"/>
      <c r="FC85" s="541"/>
      <c r="FD85" s="541"/>
      <c r="FE85" s="541"/>
      <c r="FF85" s="541"/>
      <c r="FG85" s="541"/>
      <c r="FH85" s="541"/>
      <c r="FI85" s="541"/>
      <c r="FJ85" s="541"/>
      <c r="FK85" s="541"/>
      <c r="FL85" s="541"/>
      <c r="FM85" s="541"/>
      <c r="FN85" s="541"/>
      <c r="FO85" s="541"/>
      <c r="FP85" s="541"/>
      <c r="FQ85" s="541"/>
      <c r="FR85" s="541"/>
      <c r="FS85" s="541"/>
      <c r="FT85" s="541"/>
      <c r="FU85" s="541"/>
      <c r="FV85" s="541"/>
      <c r="FW85" s="541"/>
      <c r="FX85" s="541"/>
      <c r="FY85" s="541"/>
      <c r="FZ85" s="541"/>
      <c r="GA85" s="541"/>
      <c r="GB85" s="541"/>
      <c r="GC85" s="541"/>
      <c r="GD85" s="541"/>
      <c r="GE85" s="541"/>
      <c r="GF85" s="541"/>
      <c r="GG85" s="541"/>
      <c r="GH85" s="541"/>
      <c r="GI85" s="541"/>
      <c r="GJ85" s="541"/>
      <c r="GK85" s="541"/>
      <c r="GL85" s="541"/>
      <c r="GM85" s="541"/>
      <c r="GN85" s="541"/>
      <c r="GO85" s="541"/>
      <c r="GP85" s="541"/>
      <c r="GQ85" s="541"/>
      <c r="GR85" s="541"/>
      <c r="GS85" s="541"/>
      <c r="GT85" s="541"/>
      <c r="GU85" s="541"/>
      <c r="GV85" s="541"/>
      <c r="GW85" s="541"/>
      <c r="GX85" s="541"/>
      <c r="GY85" s="541"/>
      <c r="GZ85" s="541"/>
      <c r="HA85" s="541"/>
      <c r="HB85" s="541"/>
      <c r="HC85" s="541"/>
      <c r="HD85" s="541"/>
      <c r="HE85" s="541"/>
      <c r="HF85" s="541"/>
      <c r="HG85" s="541"/>
      <c r="HH85" s="541"/>
      <c r="HI85" s="541"/>
      <c r="HJ85" s="541"/>
      <c r="HK85" s="541"/>
      <c r="HL85" s="541"/>
      <c r="HM85" s="541"/>
      <c r="HN85" s="541"/>
      <c r="HO85" s="541"/>
    </row>
    <row r="86" spans="1:223" s="542" customFormat="1" ht="12.75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40"/>
      <c r="AD86" s="541"/>
      <c r="AE86" s="541"/>
      <c r="AF86" s="541"/>
      <c r="AG86" s="541"/>
      <c r="AH86" s="541"/>
      <c r="AI86" s="541"/>
      <c r="AJ86" s="541"/>
      <c r="AK86" s="541"/>
      <c r="AL86" s="541"/>
      <c r="AM86" s="541"/>
      <c r="AN86" s="541"/>
      <c r="AO86" s="541"/>
      <c r="AP86" s="541"/>
      <c r="AQ86" s="541"/>
      <c r="AR86" s="541"/>
      <c r="AS86" s="541"/>
      <c r="AT86" s="541"/>
      <c r="AU86" s="541"/>
      <c r="AV86" s="541"/>
      <c r="AW86" s="541"/>
      <c r="AX86" s="541"/>
      <c r="AY86" s="541"/>
      <c r="AZ86" s="541"/>
      <c r="BA86" s="541"/>
      <c r="BB86" s="541"/>
      <c r="BC86" s="541"/>
      <c r="BD86" s="541"/>
      <c r="BE86" s="541"/>
      <c r="BF86" s="541"/>
      <c r="BG86" s="541"/>
      <c r="BH86" s="541"/>
      <c r="BI86" s="541"/>
      <c r="BJ86" s="541"/>
      <c r="BK86" s="541"/>
      <c r="BL86" s="541"/>
      <c r="BM86" s="541"/>
      <c r="BN86" s="541"/>
      <c r="BO86" s="541"/>
      <c r="BP86" s="541"/>
      <c r="BQ86" s="541"/>
      <c r="BR86" s="541"/>
      <c r="BS86" s="541"/>
      <c r="BT86" s="541"/>
      <c r="BU86" s="541"/>
      <c r="BV86" s="541"/>
      <c r="BW86" s="541"/>
      <c r="BX86" s="541"/>
      <c r="BY86" s="541"/>
      <c r="BZ86" s="541"/>
      <c r="CA86" s="541"/>
      <c r="CB86" s="541"/>
      <c r="CC86" s="541"/>
      <c r="CD86" s="541"/>
      <c r="CE86" s="541"/>
      <c r="CF86" s="541"/>
      <c r="CG86" s="541"/>
      <c r="CH86" s="541"/>
      <c r="CI86" s="541"/>
      <c r="CJ86" s="541"/>
      <c r="CK86" s="541"/>
      <c r="CL86" s="541"/>
      <c r="CM86" s="541"/>
      <c r="CN86" s="541"/>
      <c r="CO86" s="541"/>
      <c r="CP86" s="541"/>
      <c r="CQ86" s="541"/>
      <c r="CR86" s="541"/>
      <c r="CS86" s="541"/>
      <c r="CT86" s="541"/>
      <c r="CU86" s="541"/>
      <c r="CV86" s="541"/>
      <c r="CW86" s="541"/>
      <c r="CX86" s="541"/>
      <c r="CY86" s="541"/>
      <c r="CZ86" s="541"/>
      <c r="DA86" s="541"/>
      <c r="DB86" s="541"/>
      <c r="DC86" s="541"/>
      <c r="DD86" s="541"/>
      <c r="DE86" s="541"/>
      <c r="DF86" s="541"/>
      <c r="DG86" s="541"/>
      <c r="DH86" s="541"/>
      <c r="DI86" s="541"/>
      <c r="DJ86" s="541"/>
      <c r="DK86" s="541"/>
      <c r="DL86" s="541"/>
      <c r="DM86" s="541"/>
      <c r="DN86" s="541"/>
      <c r="DO86" s="541"/>
      <c r="DP86" s="541"/>
      <c r="DQ86" s="541"/>
      <c r="DR86" s="541"/>
      <c r="DS86" s="541"/>
      <c r="DT86" s="541"/>
      <c r="DU86" s="541"/>
      <c r="DV86" s="541"/>
      <c r="DW86" s="541"/>
      <c r="DX86" s="541"/>
      <c r="DY86" s="541"/>
      <c r="DZ86" s="541"/>
      <c r="EA86" s="541"/>
      <c r="EB86" s="541"/>
      <c r="EC86" s="541"/>
      <c r="ED86" s="541"/>
      <c r="EE86" s="541"/>
      <c r="EF86" s="541"/>
      <c r="EG86" s="541"/>
      <c r="EH86" s="541"/>
      <c r="EI86" s="541"/>
      <c r="EJ86" s="541"/>
      <c r="EK86" s="541"/>
      <c r="EL86" s="541"/>
      <c r="EM86" s="541"/>
      <c r="EN86" s="541"/>
      <c r="EO86" s="541"/>
      <c r="EP86" s="541"/>
      <c r="EQ86" s="541"/>
      <c r="ER86" s="541"/>
      <c r="ES86" s="541"/>
      <c r="ET86" s="541"/>
      <c r="EU86" s="541"/>
      <c r="EV86" s="541"/>
      <c r="EW86" s="541"/>
      <c r="EX86" s="541"/>
      <c r="EY86" s="541"/>
      <c r="EZ86" s="541"/>
      <c r="FA86" s="541"/>
      <c r="FB86" s="541"/>
      <c r="FC86" s="541"/>
      <c r="FD86" s="541"/>
      <c r="FE86" s="541"/>
      <c r="FF86" s="541"/>
      <c r="FG86" s="541"/>
      <c r="FH86" s="541"/>
      <c r="FI86" s="541"/>
      <c r="FJ86" s="541"/>
      <c r="FK86" s="541"/>
      <c r="FL86" s="541"/>
      <c r="FM86" s="541"/>
      <c r="FN86" s="541"/>
      <c r="FO86" s="541"/>
      <c r="FP86" s="541"/>
      <c r="FQ86" s="541"/>
      <c r="FR86" s="541"/>
      <c r="FS86" s="541"/>
      <c r="FT86" s="541"/>
      <c r="FU86" s="541"/>
      <c r="FV86" s="541"/>
      <c r="FW86" s="541"/>
      <c r="FX86" s="541"/>
      <c r="FY86" s="541"/>
      <c r="FZ86" s="541"/>
      <c r="GA86" s="541"/>
      <c r="GB86" s="541"/>
      <c r="GC86" s="541"/>
      <c r="GD86" s="541"/>
      <c r="GE86" s="541"/>
      <c r="GF86" s="541"/>
      <c r="GG86" s="541"/>
      <c r="GH86" s="541"/>
      <c r="GI86" s="541"/>
      <c r="GJ86" s="541"/>
      <c r="GK86" s="541"/>
      <c r="GL86" s="541"/>
      <c r="GM86" s="541"/>
      <c r="GN86" s="541"/>
      <c r="GO86" s="541"/>
      <c r="GP86" s="541"/>
      <c r="GQ86" s="541"/>
      <c r="GR86" s="541"/>
      <c r="GS86" s="541"/>
      <c r="GT86" s="541"/>
      <c r="GU86" s="541"/>
      <c r="GV86" s="541"/>
      <c r="GW86" s="541"/>
      <c r="GX86" s="541"/>
      <c r="GY86" s="541"/>
      <c r="GZ86" s="541"/>
      <c r="HA86" s="541"/>
      <c r="HB86" s="541"/>
      <c r="HC86" s="541"/>
      <c r="HD86" s="541"/>
      <c r="HE86" s="541"/>
      <c r="HF86" s="541"/>
      <c r="HG86" s="541"/>
      <c r="HH86" s="541"/>
      <c r="HI86" s="541"/>
      <c r="HJ86" s="541"/>
      <c r="HK86" s="541"/>
      <c r="HL86" s="541"/>
      <c r="HM86" s="541"/>
      <c r="HN86" s="541"/>
      <c r="HO86" s="541"/>
    </row>
    <row r="87" spans="24:223" s="542" customFormat="1" ht="12.75"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1"/>
      <c r="AK87" s="541"/>
      <c r="AL87" s="541"/>
      <c r="AM87" s="541"/>
      <c r="AN87" s="541"/>
      <c r="AO87" s="541"/>
      <c r="AP87" s="541"/>
      <c r="AQ87" s="541"/>
      <c r="AR87" s="541"/>
      <c r="AS87" s="541"/>
      <c r="AT87" s="541"/>
      <c r="AU87" s="541"/>
      <c r="AV87" s="541"/>
      <c r="AW87" s="541"/>
      <c r="AX87" s="541"/>
      <c r="AY87" s="541"/>
      <c r="AZ87" s="541"/>
      <c r="BA87" s="541"/>
      <c r="BB87" s="541"/>
      <c r="BC87" s="541"/>
      <c r="BD87" s="541"/>
      <c r="BE87" s="541"/>
      <c r="BF87" s="541"/>
      <c r="BG87" s="541"/>
      <c r="BH87" s="541"/>
      <c r="BI87" s="541"/>
      <c r="BJ87" s="541"/>
      <c r="BK87" s="541"/>
      <c r="BL87" s="541"/>
      <c r="BM87" s="541"/>
      <c r="BN87" s="541"/>
      <c r="BO87" s="541"/>
      <c r="BP87" s="541"/>
      <c r="BQ87" s="541"/>
      <c r="BR87" s="541"/>
      <c r="BS87" s="541"/>
      <c r="BT87" s="541"/>
      <c r="BU87" s="541"/>
      <c r="BV87" s="541"/>
      <c r="BW87" s="541"/>
      <c r="BX87" s="541"/>
      <c r="BY87" s="541"/>
      <c r="BZ87" s="541"/>
      <c r="CA87" s="541"/>
      <c r="CB87" s="541"/>
      <c r="CC87" s="541"/>
      <c r="CD87" s="541"/>
      <c r="CE87" s="541"/>
      <c r="CF87" s="541"/>
      <c r="CG87" s="541"/>
      <c r="CH87" s="541"/>
      <c r="CI87" s="541"/>
      <c r="CJ87" s="541"/>
      <c r="CK87" s="541"/>
      <c r="CL87" s="541"/>
      <c r="CM87" s="541"/>
      <c r="CN87" s="541"/>
      <c r="CO87" s="541"/>
      <c r="CP87" s="541"/>
      <c r="CQ87" s="541"/>
      <c r="CR87" s="541"/>
      <c r="CS87" s="541"/>
      <c r="CT87" s="541"/>
      <c r="CU87" s="541"/>
      <c r="CV87" s="541"/>
      <c r="CW87" s="541"/>
      <c r="CX87" s="541"/>
      <c r="CY87" s="541"/>
      <c r="CZ87" s="541"/>
      <c r="DA87" s="541"/>
      <c r="DB87" s="541"/>
      <c r="DC87" s="541"/>
      <c r="DD87" s="541"/>
      <c r="DE87" s="541"/>
      <c r="DF87" s="541"/>
      <c r="DG87" s="541"/>
      <c r="DH87" s="541"/>
      <c r="DI87" s="541"/>
      <c r="DJ87" s="541"/>
      <c r="DK87" s="541"/>
      <c r="DL87" s="541"/>
      <c r="DM87" s="541"/>
      <c r="DN87" s="541"/>
      <c r="DO87" s="541"/>
      <c r="DP87" s="541"/>
      <c r="DQ87" s="541"/>
      <c r="DR87" s="541"/>
      <c r="DS87" s="541"/>
      <c r="DT87" s="541"/>
      <c r="DU87" s="541"/>
      <c r="DV87" s="541"/>
      <c r="DW87" s="541"/>
      <c r="DX87" s="541"/>
      <c r="DY87" s="541"/>
      <c r="DZ87" s="541"/>
      <c r="EA87" s="541"/>
      <c r="EB87" s="541"/>
      <c r="EC87" s="541"/>
      <c r="ED87" s="541"/>
      <c r="EE87" s="541"/>
      <c r="EF87" s="541"/>
      <c r="EG87" s="541"/>
      <c r="EH87" s="541"/>
      <c r="EI87" s="541"/>
      <c r="EJ87" s="541"/>
      <c r="EK87" s="541"/>
      <c r="EL87" s="541"/>
      <c r="EM87" s="541"/>
      <c r="EN87" s="541"/>
      <c r="EO87" s="541"/>
      <c r="EP87" s="541"/>
      <c r="EQ87" s="541"/>
      <c r="ER87" s="541"/>
      <c r="ES87" s="541"/>
      <c r="ET87" s="541"/>
      <c r="EU87" s="541"/>
      <c r="EV87" s="541"/>
      <c r="EW87" s="541"/>
      <c r="EX87" s="541"/>
      <c r="EY87" s="541"/>
      <c r="EZ87" s="541"/>
      <c r="FA87" s="541"/>
      <c r="FB87" s="541"/>
      <c r="FC87" s="541"/>
      <c r="FD87" s="541"/>
      <c r="FE87" s="541"/>
      <c r="FF87" s="541"/>
      <c r="FG87" s="541"/>
      <c r="FH87" s="541"/>
      <c r="FI87" s="541"/>
      <c r="FJ87" s="541"/>
      <c r="FK87" s="541"/>
      <c r="FL87" s="541"/>
      <c r="FM87" s="541"/>
      <c r="FN87" s="541"/>
      <c r="FO87" s="541"/>
      <c r="FP87" s="541"/>
      <c r="FQ87" s="541"/>
      <c r="FR87" s="541"/>
      <c r="FS87" s="541"/>
      <c r="FT87" s="541"/>
      <c r="FU87" s="541"/>
      <c r="FV87" s="541"/>
      <c r="FW87" s="541"/>
      <c r="FX87" s="541"/>
      <c r="FY87" s="541"/>
      <c r="FZ87" s="541"/>
      <c r="GA87" s="541"/>
      <c r="GB87" s="541"/>
      <c r="GC87" s="541"/>
      <c r="GD87" s="541"/>
      <c r="GE87" s="541"/>
      <c r="GF87" s="541"/>
      <c r="GG87" s="541"/>
      <c r="GH87" s="541"/>
      <c r="GI87" s="541"/>
      <c r="GJ87" s="541"/>
      <c r="GK87" s="541"/>
      <c r="GL87" s="541"/>
      <c r="GM87" s="541"/>
      <c r="GN87" s="541"/>
      <c r="GO87" s="541"/>
      <c r="GP87" s="541"/>
      <c r="GQ87" s="541"/>
      <c r="GR87" s="541"/>
      <c r="GS87" s="541"/>
      <c r="GT87" s="541"/>
      <c r="GU87" s="541"/>
      <c r="GV87" s="541"/>
      <c r="GW87" s="541"/>
      <c r="GX87" s="541"/>
      <c r="GY87" s="541"/>
      <c r="GZ87" s="541"/>
      <c r="HA87" s="541"/>
      <c r="HB87" s="541"/>
      <c r="HC87" s="541"/>
      <c r="HD87" s="541"/>
      <c r="HE87" s="541"/>
      <c r="HF87" s="541"/>
      <c r="HG87" s="541"/>
      <c r="HH87" s="541"/>
      <c r="HI87" s="541"/>
      <c r="HJ87" s="541"/>
      <c r="HK87" s="541"/>
      <c r="HL87" s="541"/>
      <c r="HM87" s="541"/>
      <c r="HN87" s="541"/>
      <c r="HO87" s="541"/>
    </row>
    <row r="88" spans="24:223" s="542" customFormat="1" ht="12.75"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1"/>
      <c r="AK88" s="541"/>
      <c r="AL88" s="541"/>
      <c r="AM88" s="541"/>
      <c r="AN88" s="541"/>
      <c r="AO88" s="541"/>
      <c r="AP88" s="541"/>
      <c r="AQ88" s="541"/>
      <c r="AR88" s="541"/>
      <c r="AS88" s="541"/>
      <c r="AT88" s="541"/>
      <c r="AU88" s="541"/>
      <c r="AV88" s="541"/>
      <c r="AW88" s="541"/>
      <c r="AX88" s="541"/>
      <c r="AY88" s="541"/>
      <c r="AZ88" s="541"/>
      <c r="BA88" s="541"/>
      <c r="BB88" s="541"/>
      <c r="BC88" s="541"/>
      <c r="BD88" s="541"/>
      <c r="BE88" s="541"/>
      <c r="BF88" s="541"/>
      <c r="BG88" s="541"/>
      <c r="BH88" s="541"/>
      <c r="BI88" s="541"/>
      <c r="BJ88" s="541"/>
      <c r="BK88" s="541"/>
      <c r="BL88" s="541"/>
      <c r="BM88" s="541"/>
      <c r="BN88" s="541"/>
      <c r="BO88" s="541"/>
      <c r="BP88" s="541"/>
      <c r="BQ88" s="541"/>
      <c r="BR88" s="541"/>
      <c r="BS88" s="541"/>
      <c r="BT88" s="541"/>
      <c r="BU88" s="541"/>
      <c r="BV88" s="541"/>
      <c r="BW88" s="541"/>
      <c r="BX88" s="541"/>
      <c r="BY88" s="541"/>
      <c r="BZ88" s="541"/>
      <c r="CA88" s="541"/>
      <c r="CB88" s="541"/>
      <c r="CC88" s="541"/>
      <c r="CD88" s="541"/>
      <c r="CE88" s="541"/>
      <c r="CF88" s="541"/>
      <c r="CG88" s="541"/>
      <c r="CH88" s="541"/>
      <c r="CI88" s="541"/>
      <c r="CJ88" s="541"/>
      <c r="CK88" s="541"/>
      <c r="CL88" s="541"/>
      <c r="CM88" s="541"/>
      <c r="CN88" s="541"/>
      <c r="CO88" s="541"/>
      <c r="CP88" s="541"/>
      <c r="CQ88" s="541"/>
      <c r="CR88" s="541"/>
      <c r="CS88" s="541"/>
      <c r="CT88" s="541"/>
      <c r="CU88" s="541"/>
      <c r="CV88" s="541"/>
      <c r="CW88" s="541"/>
      <c r="CX88" s="541"/>
      <c r="CY88" s="541"/>
      <c r="CZ88" s="541"/>
      <c r="DA88" s="541"/>
      <c r="DB88" s="541"/>
      <c r="DC88" s="541"/>
      <c r="DD88" s="541"/>
      <c r="DE88" s="541"/>
      <c r="DF88" s="541"/>
      <c r="DG88" s="541"/>
      <c r="DH88" s="541"/>
      <c r="DI88" s="541"/>
      <c r="DJ88" s="541"/>
      <c r="DK88" s="541"/>
      <c r="DL88" s="541"/>
      <c r="DM88" s="541"/>
      <c r="DN88" s="541"/>
      <c r="DO88" s="541"/>
      <c r="DP88" s="541"/>
      <c r="DQ88" s="541"/>
      <c r="DR88" s="541"/>
      <c r="DS88" s="541"/>
      <c r="DT88" s="541"/>
      <c r="DU88" s="541"/>
      <c r="DV88" s="541"/>
      <c r="DW88" s="541"/>
      <c r="DX88" s="541"/>
      <c r="DY88" s="541"/>
      <c r="DZ88" s="541"/>
      <c r="EA88" s="541"/>
      <c r="EB88" s="541"/>
      <c r="EC88" s="541"/>
      <c r="ED88" s="541"/>
      <c r="EE88" s="541"/>
      <c r="EF88" s="541"/>
      <c r="EG88" s="541"/>
      <c r="EH88" s="541"/>
      <c r="EI88" s="541"/>
      <c r="EJ88" s="541"/>
      <c r="EK88" s="541"/>
      <c r="EL88" s="541"/>
      <c r="EM88" s="541"/>
      <c r="EN88" s="541"/>
      <c r="EO88" s="541"/>
      <c r="EP88" s="541"/>
      <c r="EQ88" s="541"/>
      <c r="ER88" s="541"/>
      <c r="ES88" s="541"/>
      <c r="ET88" s="541"/>
      <c r="EU88" s="541"/>
      <c r="EV88" s="541"/>
      <c r="EW88" s="541"/>
      <c r="EX88" s="541"/>
      <c r="EY88" s="541"/>
      <c r="EZ88" s="541"/>
      <c r="FA88" s="541"/>
      <c r="FB88" s="541"/>
      <c r="FC88" s="541"/>
      <c r="FD88" s="541"/>
      <c r="FE88" s="541"/>
      <c r="FF88" s="541"/>
      <c r="FG88" s="541"/>
      <c r="FH88" s="541"/>
      <c r="FI88" s="541"/>
      <c r="FJ88" s="541"/>
      <c r="FK88" s="541"/>
      <c r="FL88" s="541"/>
      <c r="FM88" s="541"/>
      <c r="FN88" s="541"/>
      <c r="FO88" s="541"/>
      <c r="FP88" s="541"/>
      <c r="FQ88" s="541"/>
      <c r="FR88" s="541"/>
      <c r="FS88" s="541"/>
      <c r="FT88" s="541"/>
      <c r="FU88" s="541"/>
      <c r="FV88" s="541"/>
      <c r="FW88" s="541"/>
      <c r="FX88" s="541"/>
      <c r="FY88" s="541"/>
      <c r="FZ88" s="541"/>
      <c r="GA88" s="541"/>
      <c r="GB88" s="541"/>
      <c r="GC88" s="541"/>
      <c r="GD88" s="541"/>
      <c r="GE88" s="541"/>
      <c r="GF88" s="541"/>
      <c r="GG88" s="541"/>
      <c r="GH88" s="541"/>
      <c r="GI88" s="541"/>
      <c r="GJ88" s="541"/>
      <c r="GK88" s="541"/>
      <c r="GL88" s="541"/>
      <c r="GM88" s="541"/>
      <c r="GN88" s="541"/>
      <c r="GO88" s="541"/>
      <c r="GP88" s="541"/>
      <c r="GQ88" s="541"/>
      <c r="GR88" s="541"/>
      <c r="GS88" s="541"/>
      <c r="GT88" s="541"/>
      <c r="GU88" s="541"/>
      <c r="GV88" s="541"/>
      <c r="GW88" s="541"/>
      <c r="GX88" s="541"/>
      <c r="GY88" s="541"/>
      <c r="GZ88" s="541"/>
      <c r="HA88" s="541"/>
      <c r="HB88" s="541"/>
      <c r="HC88" s="541"/>
      <c r="HD88" s="541"/>
      <c r="HE88" s="541"/>
      <c r="HF88" s="541"/>
      <c r="HG88" s="541"/>
      <c r="HH88" s="541"/>
      <c r="HI88" s="541"/>
      <c r="HJ88" s="541"/>
      <c r="HK88" s="541"/>
      <c r="HL88" s="541"/>
      <c r="HM88" s="541"/>
      <c r="HN88" s="541"/>
      <c r="HO88" s="541"/>
    </row>
    <row r="89" spans="24:223" s="542" customFormat="1" ht="12.75"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1"/>
      <c r="AK89" s="541"/>
      <c r="AL89" s="541"/>
      <c r="AM89" s="541"/>
      <c r="AN89" s="541"/>
      <c r="AO89" s="541"/>
      <c r="AP89" s="541"/>
      <c r="AQ89" s="541"/>
      <c r="AR89" s="541"/>
      <c r="AS89" s="541"/>
      <c r="AT89" s="541"/>
      <c r="AU89" s="541"/>
      <c r="AV89" s="541"/>
      <c r="AW89" s="541"/>
      <c r="AX89" s="541"/>
      <c r="AY89" s="541"/>
      <c r="AZ89" s="541"/>
      <c r="BA89" s="541"/>
      <c r="BB89" s="541"/>
      <c r="BC89" s="541"/>
      <c r="BD89" s="541"/>
      <c r="BE89" s="541"/>
      <c r="BF89" s="541"/>
      <c r="BG89" s="541"/>
      <c r="BH89" s="541"/>
      <c r="BI89" s="541"/>
      <c r="BJ89" s="541"/>
      <c r="BK89" s="541"/>
      <c r="BL89" s="541"/>
      <c r="BM89" s="541"/>
      <c r="BN89" s="541"/>
      <c r="BO89" s="541"/>
      <c r="BP89" s="541"/>
      <c r="BQ89" s="541"/>
      <c r="BR89" s="541"/>
      <c r="BS89" s="541"/>
      <c r="BT89" s="541"/>
      <c r="BU89" s="541"/>
      <c r="BV89" s="541"/>
      <c r="BW89" s="541"/>
      <c r="BX89" s="541"/>
      <c r="BY89" s="541"/>
      <c r="BZ89" s="541"/>
      <c r="CA89" s="541"/>
      <c r="CB89" s="541"/>
      <c r="CC89" s="541"/>
      <c r="CD89" s="541"/>
      <c r="CE89" s="541"/>
      <c r="CF89" s="541"/>
      <c r="CG89" s="541"/>
      <c r="CH89" s="541"/>
      <c r="CI89" s="541"/>
      <c r="CJ89" s="541"/>
      <c r="CK89" s="541"/>
      <c r="CL89" s="541"/>
      <c r="CM89" s="541"/>
      <c r="CN89" s="541"/>
      <c r="CO89" s="541"/>
      <c r="CP89" s="541"/>
      <c r="CQ89" s="541"/>
      <c r="CR89" s="541"/>
      <c r="CS89" s="541"/>
      <c r="CT89" s="541"/>
      <c r="CU89" s="541"/>
      <c r="CV89" s="541"/>
      <c r="CW89" s="541"/>
      <c r="CX89" s="541"/>
      <c r="CY89" s="541"/>
      <c r="CZ89" s="541"/>
      <c r="DA89" s="541"/>
      <c r="DB89" s="541"/>
      <c r="DC89" s="541"/>
      <c r="DD89" s="541"/>
      <c r="DE89" s="541"/>
      <c r="DF89" s="541"/>
      <c r="DG89" s="541"/>
      <c r="DH89" s="541"/>
      <c r="DI89" s="541"/>
      <c r="DJ89" s="541"/>
      <c r="DK89" s="541"/>
      <c r="DL89" s="541"/>
      <c r="DM89" s="541"/>
      <c r="DN89" s="541"/>
      <c r="DO89" s="541"/>
      <c r="DP89" s="541"/>
      <c r="DQ89" s="541"/>
      <c r="DR89" s="541"/>
      <c r="DS89" s="541"/>
      <c r="DT89" s="541"/>
      <c r="DU89" s="541"/>
      <c r="DV89" s="541"/>
      <c r="DW89" s="541"/>
      <c r="DX89" s="541"/>
      <c r="DY89" s="541"/>
      <c r="DZ89" s="541"/>
      <c r="EA89" s="541"/>
      <c r="EB89" s="541"/>
      <c r="EC89" s="541"/>
      <c r="ED89" s="541"/>
      <c r="EE89" s="541"/>
      <c r="EF89" s="541"/>
      <c r="EG89" s="541"/>
      <c r="EH89" s="541"/>
      <c r="EI89" s="541"/>
      <c r="EJ89" s="541"/>
      <c r="EK89" s="541"/>
      <c r="EL89" s="541"/>
      <c r="EM89" s="541"/>
      <c r="EN89" s="541"/>
      <c r="EO89" s="541"/>
      <c r="EP89" s="541"/>
      <c r="EQ89" s="541"/>
      <c r="ER89" s="541"/>
      <c r="ES89" s="541"/>
      <c r="ET89" s="541"/>
      <c r="EU89" s="541"/>
      <c r="EV89" s="541"/>
      <c r="EW89" s="541"/>
      <c r="EX89" s="541"/>
      <c r="EY89" s="541"/>
      <c r="EZ89" s="541"/>
      <c r="FA89" s="541"/>
      <c r="FB89" s="541"/>
      <c r="FC89" s="541"/>
      <c r="FD89" s="541"/>
      <c r="FE89" s="541"/>
      <c r="FF89" s="541"/>
      <c r="FG89" s="541"/>
      <c r="FH89" s="541"/>
      <c r="FI89" s="541"/>
      <c r="FJ89" s="541"/>
      <c r="FK89" s="541"/>
      <c r="FL89" s="541"/>
      <c r="FM89" s="541"/>
      <c r="FN89" s="541"/>
      <c r="FO89" s="541"/>
      <c r="FP89" s="541"/>
      <c r="FQ89" s="541"/>
      <c r="FR89" s="541"/>
      <c r="FS89" s="541"/>
      <c r="FT89" s="541"/>
      <c r="FU89" s="541"/>
      <c r="FV89" s="541"/>
      <c r="FW89" s="541"/>
      <c r="FX89" s="541"/>
      <c r="FY89" s="541"/>
      <c r="FZ89" s="541"/>
      <c r="GA89" s="541"/>
      <c r="GB89" s="541"/>
      <c r="GC89" s="541"/>
      <c r="GD89" s="541"/>
      <c r="GE89" s="541"/>
      <c r="GF89" s="541"/>
      <c r="GG89" s="541"/>
      <c r="GH89" s="541"/>
      <c r="GI89" s="541"/>
      <c r="GJ89" s="541"/>
      <c r="GK89" s="541"/>
      <c r="GL89" s="541"/>
      <c r="GM89" s="541"/>
      <c r="GN89" s="541"/>
      <c r="GO89" s="541"/>
      <c r="GP89" s="541"/>
      <c r="GQ89" s="541"/>
      <c r="GR89" s="541"/>
      <c r="GS89" s="541"/>
      <c r="GT89" s="541"/>
      <c r="GU89" s="541"/>
      <c r="GV89" s="541"/>
      <c r="GW89" s="541"/>
      <c r="GX89" s="541"/>
      <c r="GY89" s="541"/>
      <c r="GZ89" s="541"/>
      <c r="HA89" s="541"/>
      <c r="HB89" s="541"/>
      <c r="HC89" s="541"/>
      <c r="HD89" s="541"/>
      <c r="HE89" s="541"/>
      <c r="HF89" s="541"/>
      <c r="HG89" s="541"/>
      <c r="HH89" s="541"/>
      <c r="HI89" s="541"/>
      <c r="HJ89" s="541"/>
      <c r="HK89" s="541"/>
      <c r="HL89" s="541"/>
      <c r="HM89" s="541"/>
      <c r="HN89" s="541"/>
      <c r="HO89" s="541"/>
    </row>
    <row r="90" spans="24:223" s="542" customFormat="1" ht="12.75"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1"/>
      <c r="AV90" s="541"/>
      <c r="AW90" s="541"/>
      <c r="AX90" s="541"/>
      <c r="AY90" s="541"/>
      <c r="AZ90" s="541"/>
      <c r="BA90" s="541"/>
      <c r="BB90" s="541"/>
      <c r="BC90" s="541"/>
      <c r="BD90" s="541"/>
      <c r="BE90" s="541"/>
      <c r="BF90" s="541"/>
      <c r="BG90" s="541"/>
      <c r="BH90" s="541"/>
      <c r="BI90" s="541"/>
      <c r="BJ90" s="541"/>
      <c r="BK90" s="541"/>
      <c r="BL90" s="541"/>
      <c r="BM90" s="541"/>
      <c r="BN90" s="541"/>
      <c r="BO90" s="541"/>
      <c r="BP90" s="541"/>
      <c r="BQ90" s="541"/>
      <c r="BR90" s="541"/>
      <c r="BS90" s="541"/>
      <c r="BT90" s="541"/>
      <c r="BU90" s="541"/>
      <c r="BV90" s="541"/>
      <c r="BW90" s="541"/>
      <c r="BX90" s="541"/>
      <c r="BY90" s="541"/>
      <c r="BZ90" s="541"/>
      <c r="CA90" s="541"/>
      <c r="CB90" s="541"/>
      <c r="CC90" s="541"/>
      <c r="CD90" s="541"/>
      <c r="CE90" s="541"/>
      <c r="CF90" s="541"/>
      <c r="CG90" s="541"/>
      <c r="CH90" s="541"/>
      <c r="CI90" s="541"/>
      <c r="CJ90" s="541"/>
      <c r="CK90" s="541"/>
      <c r="CL90" s="541"/>
      <c r="CM90" s="541"/>
      <c r="CN90" s="541"/>
      <c r="CO90" s="541"/>
      <c r="CP90" s="541"/>
      <c r="CQ90" s="541"/>
      <c r="CR90" s="541"/>
      <c r="CS90" s="541"/>
      <c r="CT90" s="541"/>
      <c r="CU90" s="541"/>
      <c r="CV90" s="541"/>
      <c r="CW90" s="541"/>
      <c r="CX90" s="541"/>
      <c r="CY90" s="541"/>
      <c r="CZ90" s="541"/>
      <c r="DA90" s="541"/>
      <c r="DB90" s="541"/>
      <c r="DC90" s="541"/>
      <c r="DD90" s="541"/>
      <c r="DE90" s="541"/>
      <c r="DF90" s="541"/>
      <c r="DG90" s="541"/>
      <c r="DH90" s="541"/>
      <c r="DI90" s="541"/>
      <c r="DJ90" s="541"/>
      <c r="DK90" s="541"/>
      <c r="DL90" s="541"/>
      <c r="DM90" s="541"/>
      <c r="DN90" s="541"/>
      <c r="DO90" s="541"/>
      <c r="DP90" s="541"/>
      <c r="DQ90" s="541"/>
      <c r="DR90" s="541"/>
      <c r="DS90" s="541"/>
      <c r="DT90" s="541"/>
      <c r="DU90" s="541"/>
      <c r="DV90" s="541"/>
      <c r="DW90" s="541"/>
      <c r="DX90" s="541"/>
      <c r="DY90" s="541"/>
      <c r="DZ90" s="541"/>
      <c r="EA90" s="541"/>
      <c r="EB90" s="541"/>
      <c r="EC90" s="541"/>
      <c r="ED90" s="541"/>
      <c r="EE90" s="541"/>
      <c r="EF90" s="541"/>
      <c r="EG90" s="541"/>
      <c r="EH90" s="541"/>
      <c r="EI90" s="541"/>
      <c r="EJ90" s="541"/>
      <c r="EK90" s="541"/>
      <c r="EL90" s="541"/>
      <c r="EM90" s="541"/>
      <c r="EN90" s="541"/>
      <c r="EO90" s="541"/>
      <c r="EP90" s="541"/>
      <c r="EQ90" s="541"/>
      <c r="ER90" s="541"/>
      <c r="ES90" s="541"/>
      <c r="ET90" s="541"/>
      <c r="EU90" s="541"/>
      <c r="EV90" s="541"/>
      <c r="EW90" s="541"/>
      <c r="EX90" s="541"/>
      <c r="EY90" s="541"/>
      <c r="EZ90" s="541"/>
      <c r="FA90" s="541"/>
      <c r="FB90" s="541"/>
      <c r="FC90" s="541"/>
      <c r="FD90" s="541"/>
      <c r="FE90" s="541"/>
      <c r="FF90" s="541"/>
      <c r="FG90" s="541"/>
      <c r="FH90" s="541"/>
      <c r="FI90" s="541"/>
      <c r="FJ90" s="541"/>
      <c r="FK90" s="541"/>
      <c r="FL90" s="541"/>
      <c r="FM90" s="541"/>
      <c r="FN90" s="541"/>
      <c r="FO90" s="541"/>
      <c r="FP90" s="541"/>
      <c r="FQ90" s="541"/>
      <c r="FR90" s="541"/>
      <c r="FS90" s="541"/>
      <c r="FT90" s="541"/>
      <c r="FU90" s="541"/>
      <c r="FV90" s="541"/>
      <c r="FW90" s="541"/>
      <c r="FX90" s="541"/>
      <c r="FY90" s="541"/>
      <c r="FZ90" s="541"/>
      <c r="GA90" s="541"/>
      <c r="GB90" s="541"/>
      <c r="GC90" s="541"/>
      <c r="GD90" s="541"/>
      <c r="GE90" s="541"/>
      <c r="GF90" s="541"/>
      <c r="GG90" s="541"/>
      <c r="GH90" s="541"/>
      <c r="GI90" s="541"/>
      <c r="GJ90" s="541"/>
      <c r="GK90" s="541"/>
      <c r="GL90" s="541"/>
      <c r="GM90" s="541"/>
      <c r="GN90" s="541"/>
      <c r="GO90" s="541"/>
      <c r="GP90" s="541"/>
      <c r="GQ90" s="541"/>
      <c r="GR90" s="541"/>
      <c r="GS90" s="541"/>
      <c r="GT90" s="541"/>
      <c r="GU90" s="541"/>
      <c r="GV90" s="541"/>
      <c r="GW90" s="541"/>
      <c r="GX90" s="541"/>
      <c r="GY90" s="541"/>
      <c r="GZ90" s="541"/>
      <c r="HA90" s="541"/>
      <c r="HB90" s="541"/>
      <c r="HC90" s="541"/>
      <c r="HD90" s="541"/>
      <c r="HE90" s="541"/>
      <c r="HF90" s="541"/>
      <c r="HG90" s="541"/>
      <c r="HH90" s="541"/>
      <c r="HI90" s="541"/>
      <c r="HJ90" s="541"/>
      <c r="HK90" s="541"/>
      <c r="HL90" s="541"/>
      <c r="HM90" s="541"/>
      <c r="HN90" s="541"/>
      <c r="HO90" s="541"/>
    </row>
    <row r="91" spans="24:223" s="542" customFormat="1" ht="12.75">
      <c r="X91" s="541"/>
      <c r="Y91" s="541"/>
      <c r="Z91" s="541"/>
      <c r="AA91" s="541"/>
      <c r="AB91" s="541"/>
      <c r="AC91" s="541"/>
      <c r="AD91" s="541"/>
      <c r="AE91" s="541"/>
      <c r="AF91" s="541"/>
      <c r="AG91" s="541"/>
      <c r="AH91" s="541"/>
      <c r="AI91" s="541"/>
      <c r="AJ91" s="541"/>
      <c r="AK91" s="541"/>
      <c r="AL91" s="541"/>
      <c r="AM91" s="541"/>
      <c r="AN91" s="541"/>
      <c r="AO91" s="541"/>
      <c r="AP91" s="541"/>
      <c r="AQ91" s="541"/>
      <c r="AR91" s="541"/>
      <c r="AS91" s="541"/>
      <c r="AT91" s="541"/>
      <c r="AU91" s="541"/>
      <c r="AV91" s="541"/>
      <c r="AW91" s="541"/>
      <c r="AX91" s="541"/>
      <c r="AY91" s="541"/>
      <c r="AZ91" s="541"/>
      <c r="BA91" s="541"/>
      <c r="BB91" s="541"/>
      <c r="BC91" s="541"/>
      <c r="BD91" s="541"/>
      <c r="BE91" s="541"/>
      <c r="BF91" s="541"/>
      <c r="BG91" s="541"/>
      <c r="BH91" s="541"/>
      <c r="BI91" s="541"/>
      <c r="BJ91" s="541"/>
      <c r="BK91" s="541"/>
      <c r="BL91" s="541"/>
      <c r="BM91" s="541"/>
      <c r="BN91" s="541"/>
      <c r="BO91" s="541"/>
      <c r="BP91" s="541"/>
      <c r="BQ91" s="541"/>
      <c r="BR91" s="541"/>
      <c r="BS91" s="541"/>
      <c r="BT91" s="541"/>
      <c r="BU91" s="541"/>
      <c r="BV91" s="541"/>
      <c r="BW91" s="541"/>
      <c r="BX91" s="541"/>
      <c r="BY91" s="541"/>
      <c r="BZ91" s="541"/>
      <c r="CA91" s="541"/>
      <c r="CB91" s="541"/>
      <c r="CC91" s="541"/>
      <c r="CD91" s="541"/>
      <c r="CE91" s="541"/>
      <c r="CF91" s="541"/>
      <c r="CG91" s="541"/>
      <c r="CH91" s="541"/>
      <c r="CI91" s="541"/>
      <c r="CJ91" s="541"/>
      <c r="CK91" s="541"/>
      <c r="CL91" s="541"/>
      <c r="CM91" s="541"/>
      <c r="CN91" s="541"/>
      <c r="CO91" s="541"/>
      <c r="CP91" s="541"/>
      <c r="CQ91" s="541"/>
      <c r="CR91" s="541"/>
      <c r="CS91" s="541"/>
      <c r="CT91" s="541"/>
      <c r="CU91" s="541"/>
      <c r="CV91" s="541"/>
      <c r="CW91" s="541"/>
      <c r="CX91" s="541"/>
      <c r="CY91" s="541"/>
      <c r="CZ91" s="541"/>
      <c r="DA91" s="541"/>
      <c r="DB91" s="541"/>
      <c r="DC91" s="541"/>
      <c r="DD91" s="541"/>
      <c r="DE91" s="541"/>
      <c r="DF91" s="541"/>
      <c r="DG91" s="541"/>
      <c r="DH91" s="541"/>
      <c r="DI91" s="541"/>
      <c r="DJ91" s="541"/>
      <c r="DK91" s="541"/>
      <c r="DL91" s="541"/>
      <c r="DM91" s="541"/>
      <c r="DN91" s="541"/>
      <c r="DO91" s="541"/>
      <c r="DP91" s="541"/>
      <c r="DQ91" s="541"/>
      <c r="DR91" s="541"/>
      <c r="DS91" s="541"/>
      <c r="DT91" s="541"/>
      <c r="DU91" s="541"/>
      <c r="DV91" s="541"/>
      <c r="DW91" s="541"/>
      <c r="DX91" s="541"/>
      <c r="DY91" s="541"/>
      <c r="DZ91" s="541"/>
      <c r="EA91" s="541"/>
      <c r="EB91" s="541"/>
      <c r="EC91" s="541"/>
      <c r="ED91" s="541"/>
      <c r="EE91" s="541"/>
      <c r="EF91" s="541"/>
      <c r="EG91" s="541"/>
      <c r="EH91" s="541"/>
      <c r="EI91" s="541"/>
      <c r="EJ91" s="541"/>
      <c r="EK91" s="541"/>
      <c r="EL91" s="541"/>
      <c r="EM91" s="541"/>
      <c r="EN91" s="541"/>
      <c r="EO91" s="541"/>
      <c r="EP91" s="541"/>
      <c r="EQ91" s="541"/>
      <c r="ER91" s="541"/>
      <c r="ES91" s="541"/>
      <c r="ET91" s="541"/>
      <c r="EU91" s="541"/>
      <c r="EV91" s="541"/>
      <c r="EW91" s="541"/>
      <c r="EX91" s="541"/>
      <c r="EY91" s="541"/>
      <c r="EZ91" s="541"/>
      <c r="FA91" s="541"/>
      <c r="FB91" s="541"/>
      <c r="FC91" s="541"/>
      <c r="FD91" s="541"/>
      <c r="FE91" s="541"/>
      <c r="FF91" s="541"/>
      <c r="FG91" s="541"/>
      <c r="FH91" s="541"/>
      <c r="FI91" s="541"/>
      <c r="FJ91" s="541"/>
      <c r="FK91" s="541"/>
      <c r="FL91" s="541"/>
      <c r="FM91" s="541"/>
      <c r="FN91" s="541"/>
      <c r="FO91" s="541"/>
      <c r="FP91" s="541"/>
      <c r="FQ91" s="541"/>
      <c r="FR91" s="541"/>
      <c r="FS91" s="541"/>
      <c r="FT91" s="541"/>
      <c r="FU91" s="541"/>
      <c r="FV91" s="541"/>
      <c r="FW91" s="541"/>
      <c r="FX91" s="541"/>
      <c r="FY91" s="541"/>
      <c r="FZ91" s="541"/>
      <c r="GA91" s="541"/>
      <c r="GB91" s="541"/>
      <c r="GC91" s="541"/>
      <c r="GD91" s="541"/>
      <c r="GE91" s="541"/>
      <c r="GF91" s="541"/>
      <c r="GG91" s="541"/>
      <c r="GH91" s="541"/>
      <c r="GI91" s="541"/>
      <c r="GJ91" s="541"/>
      <c r="GK91" s="541"/>
      <c r="GL91" s="541"/>
      <c r="GM91" s="541"/>
      <c r="GN91" s="541"/>
      <c r="GO91" s="541"/>
      <c r="GP91" s="541"/>
      <c r="GQ91" s="541"/>
      <c r="GR91" s="541"/>
      <c r="GS91" s="541"/>
      <c r="GT91" s="541"/>
      <c r="GU91" s="541"/>
      <c r="GV91" s="541"/>
      <c r="GW91" s="541"/>
      <c r="GX91" s="541"/>
      <c r="GY91" s="541"/>
      <c r="GZ91" s="541"/>
      <c r="HA91" s="541"/>
      <c r="HB91" s="541"/>
      <c r="HC91" s="541"/>
      <c r="HD91" s="541"/>
      <c r="HE91" s="541"/>
      <c r="HF91" s="541"/>
      <c r="HG91" s="541"/>
      <c r="HH91" s="541"/>
      <c r="HI91" s="541"/>
      <c r="HJ91" s="541"/>
      <c r="HK91" s="541"/>
      <c r="HL91" s="541"/>
      <c r="HM91" s="541"/>
      <c r="HN91" s="541"/>
      <c r="HO91" s="541"/>
    </row>
    <row r="92" spans="24:223" s="542" customFormat="1" ht="12.75">
      <c r="X92" s="541"/>
      <c r="Y92" s="541"/>
      <c r="Z92" s="541"/>
      <c r="AA92" s="541"/>
      <c r="AB92" s="541"/>
      <c r="AC92" s="541"/>
      <c r="AD92" s="541"/>
      <c r="AE92" s="541"/>
      <c r="AF92" s="541"/>
      <c r="AG92" s="541"/>
      <c r="AH92" s="541"/>
      <c r="AI92" s="541"/>
      <c r="AJ92" s="541"/>
      <c r="AK92" s="541"/>
      <c r="AL92" s="541"/>
      <c r="AM92" s="541"/>
      <c r="AN92" s="541"/>
      <c r="AO92" s="541"/>
      <c r="AP92" s="541"/>
      <c r="AQ92" s="541"/>
      <c r="AR92" s="541"/>
      <c r="AS92" s="541"/>
      <c r="AT92" s="541"/>
      <c r="AU92" s="541"/>
      <c r="AV92" s="541"/>
      <c r="AW92" s="541"/>
      <c r="AX92" s="541"/>
      <c r="AY92" s="541"/>
      <c r="AZ92" s="541"/>
      <c r="BA92" s="541"/>
      <c r="BB92" s="541"/>
      <c r="BC92" s="541"/>
      <c r="BD92" s="541"/>
      <c r="BE92" s="541"/>
      <c r="BF92" s="541"/>
      <c r="BG92" s="541"/>
      <c r="BH92" s="541"/>
      <c r="BI92" s="541"/>
      <c r="BJ92" s="541"/>
      <c r="BK92" s="541"/>
      <c r="BL92" s="541"/>
      <c r="BM92" s="541"/>
      <c r="BN92" s="541"/>
      <c r="BO92" s="541"/>
      <c r="BP92" s="541"/>
      <c r="BQ92" s="541"/>
      <c r="BR92" s="541"/>
      <c r="BS92" s="541"/>
      <c r="BT92" s="541"/>
      <c r="BU92" s="541"/>
      <c r="BV92" s="541"/>
      <c r="BW92" s="541"/>
      <c r="BX92" s="541"/>
      <c r="BY92" s="541"/>
      <c r="BZ92" s="541"/>
      <c r="CA92" s="541"/>
      <c r="CB92" s="541"/>
      <c r="CC92" s="541"/>
      <c r="CD92" s="541"/>
      <c r="CE92" s="541"/>
      <c r="CF92" s="541"/>
      <c r="CG92" s="541"/>
      <c r="CH92" s="541"/>
      <c r="CI92" s="541"/>
      <c r="CJ92" s="541"/>
      <c r="CK92" s="541"/>
      <c r="CL92" s="541"/>
      <c r="CM92" s="541"/>
      <c r="CN92" s="541"/>
      <c r="CO92" s="541"/>
      <c r="CP92" s="541"/>
      <c r="CQ92" s="541"/>
      <c r="CR92" s="541"/>
      <c r="CS92" s="541"/>
      <c r="CT92" s="541"/>
      <c r="CU92" s="541"/>
      <c r="CV92" s="541"/>
      <c r="CW92" s="541"/>
      <c r="CX92" s="541"/>
      <c r="CY92" s="541"/>
      <c r="CZ92" s="541"/>
      <c r="DA92" s="541"/>
      <c r="DB92" s="541"/>
      <c r="DC92" s="541"/>
      <c r="DD92" s="541"/>
      <c r="DE92" s="541"/>
      <c r="DF92" s="541"/>
      <c r="DG92" s="541"/>
      <c r="DH92" s="541"/>
      <c r="DI92" s="541"/>
      <c r="DJ92" s="541"/>
      <c r="DK92" s="541"/>
      <c r="DL92" s="541"/>
      <c r="DM92" s="541"/>
      <c r="DN92" s="541"/>
      <c r="DO92" s="541"/>
      <c r="DP92" s="541"/>
      <c r="DQ92" s="541"/>
      <c r="DR92" s="541"/>
      <c r="DS92" s="541"/>
      <c r="DT92" s="541"/>
      <c r="DU92" s="541"/>
      <c r="DV92" s="541"/>
      <c r="DW92" s="541"/>
      <c r="DX92" s="541"/>
      <c r="DY92" s="541"/>
      <c r="DZ92" s="541"/>
      <c r="EA92" s="541"/>
      <c r="EB92" s="541"/>
      <c r="EC92" s="541"/>
      <c r="ED92" s="541"/>
      <c r="EE92" s="541"/>
      <c r="EF92" s="541"/>
      <c r="EG92" s="541"/>
      <c r="EH92" s="541"/>
      <c r="EI92" s="541"/>
      <c r="EJ92" s="541"/>
      <c r="EK92" s="541"/>
      <c r="EL92" s="541"/>
      <c r="EM92" s="541"/>
      <c r="EN92" s="541"/>
      <c r="EO92" s="541"/>
      <c r="EP92" s="541"/>
      <c r="EQ92" s="541"/>
      <c r="ER92" s="541"/>
      <c r="ES92" s="541"/>
      <c r="ET92" s="541"/>
      <c r="EU92" s="541"/>
      <c r="EV92" s="541"/>
      <c r="EW92" s="541"/>
      <c r="EX92" s="541"/>
      <c r="EY92" s="541"/>
      <c r="EZ92" s="541"/>
      <c r="FA92" s="541"/>
      <c r="FB92" s="541"/>
      <c r="FC92" s="541"/>
      <c r="FD92" s="541"/>
      <c r="FE92" s="541"/>
      <c r="FF92" s="541"/>
      <c r="FG92" s="541"/>
      <c r="FH92" s="541"/>
      <c r="FI92" s="541"/>
      <c r="FJ92" s="541"/>
      <c r="FK92" s="541"/>
      <c r="FL92" s="541"/>
      <c r="FM92" s="541"/>
      <c r="FN92" s="541"/>
      <c r="FO92" s="541"/>
      <c r="FP92" s="541"/>
      <c r="FQ92" s="541"/>
      <c r="FR92" s="541"/>
      <c r="FS92" s="541"/>
      <c r="FT92" s="541"/>
      <c r="FU92" s="541"/>
      <c r="FV92" s="541"/>
      <c r="FW92" s="541"/>
      <c r="FX92" s="541"/>
      <c r="FY92" s="541"/>
      <c r="FZ92" s="541"/>
      <c r="GA92" s="541"/>
      <c r="GB92" s="541"/>
      <c r="GC92" s="541"/>
      <c r="GD92" s="541"/>
      <c r="GE92" s="541"/>
      <c r="GF92" s="541"/>
      <c r="GG92" s="541"/>
      <c r="GH92" s="541"/>
      <c r="GI92" s="541"/>
      <c r="GJ92" s="541"/>
      <c r="GK92" s="541"/>
      <c r="GL92" s="541"/>
      <c r="GM92" s="541"/>
      <c r="GN92" s="541"/>
      <c r="GO92" s="541"/>
      <c r="GP92" s="541"/>
      <c r="GQ92" s="541"/>
      <c r="GR92" s="541"/>
      <c r="GS92" s="541"/>
      <c r="GT92" s="541"/>
      <c r="GU92" s="541"/>
      <c r="GV92" s="541"/>
      <c r="GW92" s="541"/>
      <c r="GX92" s="541"/>
      <c r="GY92" s="541"/>
      <c r="GZ92" s="541"/>
      <c r="HA92" s="541"/>
      <c r="HB92" s="541"/>
      <c r="HC92" s="541"/>
      <c r="HD92" s="541"/>
      <c r="HE92" s="541"/>
      <c r="HF92" s="541"/>
      <c r="HG92" s="541"/>
      <c r="HH92" s="541"/>
      <c r="HI92" s="541"/>
      <c r="HJ92" s="541"/>
      <c r="HK92" s="541"/>
      <c r="HL92" s="541"/>
      <c r="HM92" s="541"/>
      <c r="HN92" s="541"/>
      <c r="HO92" s="541"/>
    </row>
    <row r="93" spans="24:223" s="542" customFormat="1" ht="12.75">
      <c r="X93" s="541"/>
      <c r="Y93" s="541"/>
      <c r="Z93" s="541"/>
      <c r="AA93" s="541"/>
      <c r="AB93" s="541"/>
      <c r="AC93" s="541"/>
      <c r="AD93" s="541"/>
      <c r="AE93" s="541"/>
      <c r="AF93" s="541"/>
      <c r="AG93" s="541"/>
      <c r="AH93" s="541"/>
      <c r="AI93" s="541"/>
      <c r="AJ93" s="541"/>
      <c r="AK93" s="541"/>
      <c r="AL93" s="541"/>
      <c r="AM93" s="541"/>
      <c r="AN93" s="541"/>
      <c r="AO93" s="541"/>
      <c r="AP93" s="541"/>
      <c r="AQ93" s="541"/>
      <c r="AR93" s="541"/>
      <c r="AS93" s="541"/>
      <c r="AT93" s="541"/>
      <c r="AU93" s="541"/>
      <c r="AV93" s="541"/>
      <c r="AW93" s="541"/>
      <c r="AX93" s="541"/>
      <c r="AY93" s="541"/>
      <c r="AZ93" s="541"/>
      <c r="BA93" s="541"/>
      <c r="BB93" s="541"/>
      <c r="BC93" s="541"/>
      <c r="BD93" s="541"/>
      <c r="BE93" s="541"/>
      <c r="BF93" s="541"/>
      <c r="BG93" s="541"/>
      <c r="BH93" s="541"/>
      <c r="BI93" s="541"/>
      <c r="BJ93" s="541"/>
      <c r="BK93" s="541"/>
      <c r="BL93" s="541"/>
      <c r="BM93" s="541"/>
      <c r="BN93" s="541"/>
      <c r="BO93" s="541"/>
      <c r="BP93" s="541"/>
      <c r="BQ93" s="541"/>
      <c r="BR93" s="541"/>
      <c r="BS93" s="541"/>
      <c r="BT93" s="541"/>
      <c r="BU93" s="541"/>
      <c r="BV93" s="541"/>
      <c r="BW93" s="541"/>
      <c r="BX93" s="541"/>
      <c r="BY93" s="541"/>
      <c r="BZ93" s="541"/>
      <c r="CA93" s="541"/>
      <c r="CB93" s="541"/>
      <c r="CC93" s="541"/>
      <c r="CD93" s="541"/>
      <c r="CE93" s="541"/>
      <c r="CF93" s="541"/>
      <c r="CG93" s="541"/>
      <c r="CH93" s="541"/>
      <c r="CI93" s="541"/>
      <c r="CJ93" s="541"/>
      <c r="CK93" s="541"/>
      <c r="CL93" s="541"/>
      <c r="CM93" s="541"/>
      <c r="CN93" s="541"/>
      <c r="CO93" s="541"/>
      <c r="CP93" s="541"/>
      <c r="CQ93" s="541"/>
      <c r="CR93" s="541"/>
      <c r="CS93" s="541"/>
      <c r="CT93" s="541"/>
      <c r="CU93" s="541"/>
      <c r="CV93" s="541"/>
      <c r="CW93" s="541"/>
      <c r="CX93" s="541"/>
      <c r="CY93" s="541"/>
      <c r="CZ93" s="541"/>
      <c r="DA93" s="541"/>
      <c r="DB93" s="541"/>
      <c r="DC93" s="541"/>
      <c r="DD93" s="541"/>
      <c r="DE93" s="541"/>
      <c r="DF93" s="541"/>
      <c r="DG93" s="541"/>
      <c r="DH93" s="541"/>
      <c r="DI93" s="541"/>
      <c r="DJ93" s="541"/>
      <c r="DK93" s="541"/>
      <c r="DL93" s="541"/>
      <c r="DM93" s="541"/>
      <c r="DN93" s="541"/>
      <c r="DO93" s="541"/>
      <c r="DP93" s="541"/>
      <c r="DQ93" s="541"/>
      <c r="DR93" s="541"/>
      <c r="DS93" s="541"/>
      <c r="DT93" s="541"/>
      <c r="DU93" s="541"/>
      <c r="DV93" s="541"/>
      <c r="DW93" s="541"/>
      <c r="DX93" s="541"/>
      <c r="DY93" s="541"/>
      <c r="DZ93" s="541"/>
      <c r="EA93" s="541"/>
      <c r="EB93" s="541"/>
      <c r="EC93" s="541"/>
      <c r="ED93" s="541"/>
      <c r="EE93" s="541"/>
      <c r="EF93" s="541"/>
      <c r="EG93" s="541"/>
      <c r="EH93" s="541"/>
      <c r="EI93" s="541"/>
      <c r="EJ93" s="541"/>
      <c r="EK93" s="541"/>
      <c r="EL93" s="541"/>
      <c r="EM93" s="541"/>
      <c r="EN93" s="541"/>
      <c r="EO93" s="541"/>
      <c r="EP93" s="541"/>
      <c r="EQ93" s="541"/>
      <c r="ER93" s="541"/>
      <c r="ES93" s="541"/>
      <c r="ET93" s="541"/>
      <c r="EU93" s="541"/>
      <c r="EV93" s="541"/>
      <c r="EW93" s="541"/>
      <c r="EX93" s="541"/>
      <c r="EY93" s="541"/>
      <c r="EZ93" s="541"/>
      <c r="FA93" s="541"/>
      <c r="FB93" s="541"/>
      <c r="FC93" s="541"/>
      <c r="FD93" s="541"/>
      <c r="FE93" s="541"/>
      <c r="FF93" s="541"/>
      <c r="FG93" s="541"/>
      <c r="FH93" s="541"/>
      <c r="FI93" s="541"/>
      <c r="FJ93" s="541"/>
      <c r="FK93" s="541"/>
      <c r="FL93" s="541"/>
      <c r="FM93" s="541"/>
      <c r="FN93" s="541"/>
      <c r="FO93" s="541"/>
      <c r="FP93" s="541"/>
      <c r="FQ93" s="541"/>
      <c r="FR93" s="541"/>
      <c r="FS93" s="541"/>
      <c r="FT93" s="541"/>
      <c r="FU93" s="541"/>
      <c r="FV93" s="541"/>
      <c r="FW93" s="541"/>
      <c r="FX93" s="541"/>
      <c r="FY93" s="541"/>
      <c r="FZ93" s="541"/>
      <c r="GA93" s="541"/>
      <c r="GB93" s="541"/>
      <c r="GC93" s="541"/>
      <c r="GD93" s="541"/>
      <c r="GE93" s="541"/>
      <c r="GF93" s="541"/>
      <c r="GG93" s="541"/>
      <c r="GH93" s="541"/>
      <c r="GI93" s="541"/>
      <c r="GJ93" s="541"/>
      <c r="GK93" s="541"/>
      <c r="GL93" s="541"/>
      <c r="GM93" s="541"/>
      <c r="GN93" s="541"/>
      <c r="GO93" s="541"/>
      <c r="GP93" s="541"/>
      <c r="GQ93" s="541"/>
      <c r="GR93" s="541"/>
      <c r="GS93" s="541"/>
      <c r="GT93" s="541"/>
      <c r="GU93" s="541"/>
      <c r="GV93" s="541"/>
      <c r="GW93" s="541"/>
      <c r="GX93" s="541"/>
      <c r="GY93" s="541"/>
      <c r="GZ93" s="541"/>
      <c r="HA93" s="541"/>
      <c r="HB93" s="541"/>
      <c r="HC93" s="541"/>
      <c r="HD93" s="541"/>
      <c r="HE93" s="541"/>
      <c r="HF93" s="541"/>
      <c r="HG93" s="541"/>
      <c r="HH93" s="541"/>
      <c r="HI93" s="541"/>
      <c r="HJ93" s="541"/>
      <c r="HK93" s="541"/>
      <c r="HL93" s="541"/>
      <c r="HM93" s="541"/>
      <c r="HN93" s="541"/>
      <c r="HO93" s="541"/>
    </row>
    <row r="94" spans="24:223" s="542" customFormat="1" ht="12.75">
      <c r="X94" s="541"/>
      <c r="Y94" s="541"/>
      <c r="Z94" s="541"/>
      <c r="AA94" s="541"/>
      <c r="AB94" s="541"/>
      <c r="AC94" s="541"/>
      <c r="AD94" s="541"/>
      <c r="AE94" s="541"/>
      <c r="AF94" s="541"/>
      <c r="AG94" s="541"/>
      <c r="AH94" s="541"/>
      <c r="AI94" s="541"/>
      <c r="AJ94" s="541"/>
      <c r="AK94" s="541"/>
      <c r="AL94" s="541"/>
      <c r="AM94" s="541"/>
      <c r="AN94" s="541"/>
      <c r="AO94" s="541"/>
      <c r="AP94" s="541"/>
      <c r="AQ94" s="541"/>
      <c r="AR94" s="541"/>
      <c r="AS94" s="541"/>
      <c r="AT94" s="541"/>
      <c r="AU94" s="541"/>
      <c r="AV94" s="541"/>
      <c r="AW94" s="541"/>
      <c r="AX94" s="541"/>
      <c r="AY94" s="541"/>
      <c r="AZ94" s="541"/>
      <c r="BA94" s="541"/>
      <c r="BB94" s="541"/>
      <c r="BC94" s="541"/>
      <c r="BD94" s="541"/>
      <c r="BE94" s="541"/>
      <c r="BF94" s="541"/>
      <c r="BG94" s="541"/>
      <c r="BH94" s="541"/>
      <c r="BI94" s="541"/>
      <c r="BJ94" s="541"/>
      <c r="BK94" s="541"/>
      <c r="BL94" s="541"/>
      <c r="BM94" s="541"/>
      <c r="BN94" s="541"/>
      <c r="BO94" s="541"/>
      <c r="BP94" s="541"/>
      <c r="BQ94" s="541"/>
      <c r="BR94" s="541"/>
      <c r="BS94" s="541"/>
      <c r="BT94" s="541"/>
      <c r="BU94" s="541"/>
      <c r="BV94" s="541"/>
      <c r="BW94" s="541"/>
      <c r="BX94" s="541"/>
      <c r="BY94" s="541"/>
      <c r="BZ94" s="541"/>
      <c r="CA94" s="541"/>
      <c r="CB94" s="541"/>
      <c r="CC94" s="541"/>
      <c r="CD94" s="541"/>
      <c r="CE94" s="541"/>
      <c r="CF94" s="541"/>
      <c r="CG94" s="541"/>
      <c r="CH94" s="541"/>
      <c r="CI94" s="541"/>
      <c r="CJ94" s="541"/>
      <c r="CK94" s="541"/>
      <c r="CL94" s="541"/>
      <c r="CM94" s="541"/>
      <c r="CN94" s="541"/>
      <c r="CO94" s="541"/>
      <c r="CP94" s="541"/>
      <c r="CQ94" s="541"/>
      <c r="CR94" s="541"/>
      <c r="CS94" s="541"/>
      <c r="CT94" s="541"/>
      <c r="CU94" s="541"/>
      <c r="CV94" s="541"/>
      <c r="CW94" s="541"/>
      <c r="CX94" s="541"/>
      <c r="CY94" s="541"/>
      <c r="CZ94" s="541"/>
      <c r="DA94" s="541"/>
      <c r="DB94" s="541"/>
      <c r="DC94" s="541"/>
      <c r="DD94" s="541"/>
      <c r="DE94" s="541"/>
      <c r="DF94" s="541"/>
      <c r="DG94" s="541"/>
      <c r="DH94" s="541"/>
      <c r="DI94" s="541"/>
      <c r="DJ94" s="541"/>
      <c r="DK94" s="541"/>
      <c r="DL94" s="541"/>
      <c r="DM94" s="541"/>
      <c r="DN94" s="541"/>
      <c r="DO94" s="541"/>
      <c r="DP94" s="541"/>
      <c r="DQ94" s="541"/>
      <c r="DR94" s="541"/>
      <c r="DS94" s="541"/>
      <c r="DT94" s="541"/>
      <c r="DU94" s="541"/>
      <c r="DV94" s="541"/>
      <c r="DW94" s="541"/>
      <c r="DX94" s="541"/>
      <c r="DY94" s="541"/>
      <c r="DZ94" s="541"/>
      <c r="EA94" s="541"/>
      <c r="EB94" s="541"/>
      <c r="EC94" s="541"/>
      <c r="ED94" s="541"/>
      <c r="EE94" s="541"/>
      <c r="EF94" s="541"/>
      <c r="EG94" s="541"/>
      <c r="EH94" s="541"/>
      <c r="EI94" s="541"/>
      <c r="EJ94" s="541"/>
      <c r="EK94" s="541"/>
      <c r="EL94" s="541"/>
      <c r="EM94" s="541"/>
      <c r="EN94" s="541"/>
      <c r="EO94" s="541"/>
      <c r="EP94" s="541"/>
      <c r="EQ94" s="541"/>
      <c r="ER94" s="541"/>
      <c r="ES94" s="541"/>
      <c r="ET94" s="541"/>
      <c r="EU94" s="541"/>
      <c r="EV94" s="541"/>
      <c r="EW94" s="541"/>
      <c r="EX94" s="541"/>
      <c r="EY94" s="541"/>
      <c r="EZ94" s="541"/>
      <c r="FA94" s="541"/>
      <c r="FB94" s="541"/>
      <c r="FC94" s="541"/>
      <c r="FD94" s="541"/>
      <c r="FE94" s="541"/>
      <c r="FF94" s="541"/>
      <c r="FG94" s="541"/>
      <c r="FH94" s="541"/>
      <c r="FI94" s="541"/>
      <c r="FJ94" s="541"/>
      <c r="FK94" s="541"/>
      <c r="FL94" s="541"/>
      <c r="FM94" s="541"/>
      <c r="FN94" s="541"/>
      <c r="FO94" s="541"/>
      <c r="FP94" s="541"/>
      <c r="FQ94" s="541"/>
      <c r="FR94" s="541"/>
      <c r="FS94" s="541"/>
      <c r="FT94" s="541"/>
      <c r="FU94" s="541"/>
      <c r="FV94" s="541"/>
      <c r="FW94" s="541"/>
      <c r="FX94" s="541"/>
      <c r="FY94" s="541"/>
      <c r="FZ94" s="541"/>
      <c r="GA94" s="541"/>
      <c r="GB94" s="541"/>
      <c r="GC94" s="541"/>
      <c r="GD94" s="541"/>
      <c r="GE94" s="541"/>
      <c r="GF94" s="541"/>
      <c r="GG94" s="541"/>
      <c r="GH94" s="541"/>
      <c r="GI94" s="541"/>
      <c r="GJ94" s="541"/>
      <c r="GK94" s="541"/>
      <c r="GL94" s="541"/>
      <c r="GM94" s="541"/>
      <c r="GN94" s="541"/>
      <c r="GO94" s="541"/>
      <c r="GP94" s="541"/>
      <c r="GQ94" s="541"/>
      <c r="GR94" s="541"/>
      <c r="GS94" s="541"/>
      <c r="GT94" s="541"/>
      <c r="GU94" s="541"/>
      <c r="GV94" s="541"/>
      <c r="GW94" s="541"/>
      <c r="GX94" s="541"/>
      <c r="GY94" s="541"/>
      <c r="GZ94" s="541"/>
      <c r="HA94" s="541"/>
      <c r="HB94" s="541"/>
      <c r="HC94" s="541"/>
      <c r="HD94" s="541"/>
      <c r="HE94" s="541"/>
      <c r="HF94" s="541"/>
      <c r="HG94" s="541"/>
      <c r="HH94" s="541"/>
      <c r="HI94" s="541"/>
      <c r="HJ94" s="541"/>
      <c r="HK94" s="541"/>
      <c r="HL94" s="541"/>
      <c r="HM94" s="541"/>
      <c r="HN94" s="541"/>
      <c r="HO94" s="541"/>
    </row>
    <row r="95" spans="24:223" s="542" customFormat="1" ht="12.75">
      <c r="X95" s="541"/>
      <c r="Y95" s="541"/>
      <c r="Z95" s="541"/>
      <c r="AA95" s="541"/>
      <c r="AB95" s="541"/>
      <c r="AC95" s="541"/>
      <c r="AD95" s="541"/>
      <c r="AE95" s="541"/>
      <c r="AF95" s="541"/>
      <c r="AG95" s="541"/>
      <c r="AH95" s="541"/>
      <c r="AI95" s="541"/>
      <c r="AJ95" s="541"/>
      <c r="AK95" s="541"/>
      <c r="AL95" s="541"/>
      <c r="AM95" s="541"/>
      <c r="AN95" s="541"/>
      <c r="AO95" s="541"/>
      <c r="AP95" s="541"/>
      <c r="AQ95" s="541"/>
      <c r="AR95" s="541"/>
      <c r="AS95" s="541"/>
      <c r="AT95" s="541"/>
      <c r="AU95" s="541"/>
      <c r="AV95" s="541"/>
      <c r="AW95" s="541"/>
      <c r="AX95" s="541"/>
      <c r="AY95" s="541"/>
      <c r="AZ95" s="541"/>
      <c r="BA95" s="541"/>
      <c r="BB95" s="541"/>
      <c r="BC95" s="541"/>
      <c r="BD95" s="541"/>
      <c r="BE95" s="541"/>
      <c r="BF95" s="541"/>
      <c r="BG95" s="541"/>
      <c r="BH95" s="541"/>
      <c r="BI95" s="541"/>
      <c r="BJ95" s="541"/>
      <c r="BK95" s="541"/>
      <c r="BL95" s="541"/>
      <c r="BM95" s="541"/>
      <c r="BN95" s="541"/>
      <c r="BO95" s="541"/>
      <c r="BP95" s="541"/>
      <c r="BQ95" s="541"/>
      <c r="BR95" s="541"/>
      <c r="BS95" s="541"/>
      <c r="BT95" s="541"/>
      <c r="BU95" s="541"/>
      <c r="BV95" s="541"/>
      <c r="BW95" s="541"/>
      <c r="BX95" s="541"/>
      <c r="BY95" s="541"/>
      <c r="BZ95" s="541"/>
      <c r="CA95" s="541"/>
      <c r="CB95" s="541"/>
      <c r="CC95" s="541"/>
      <c r="CD95" s="541"/>
      <c r="CE95" s="541"/>
      <c r="CF95" s="541"/>
      <c r="CG95" s="541"/>
      <c r="CH95" s="541"/>
      <c r="CI95" s="541"/>
      <c r="CJ95" s="541"/>
      <c r="CK95" s="541"/>
      <c r="CL95" s="541"/>
      <c r="CM95" s="541"/>
      <c r="CN95" s="541"/>
      <c r="CO95" s="541"/>
      <c r="CP95" s="541"/>
      <c r="CQ95" s="541"/>
      <c r="CR95" s="541"/>
      <c r="CS95" s="541"/>
      <c r="CT95" s="541"/>
      <c r="CU95" s="541"/>
      <c r="CV95" s="541"/>
      <c r="CW95" s="541"/>
      <c r="CX95" s="541"/>
      <c r="CY95" s="541"/>
      <c r="CZ95" s="541"/>
      <c r="DA95" s="541"/>
      <c r="DB95" s="541"/>
      <c r="DC95" s="541"/>
      <c r="DD95" s="541"/>
      <c r="DE95" s="541"/>
      <c r="DF95" s="541"/>
      <c r="DG95" s="541"/>
      <c r="DH95" s="541"/>
      <c r="DI95" s="541"/>
      <c r="DJ95" s="541"/>
      <c r="DK95" s="541"/>
      <c r="DL95" s="541"/>
      <c r="DM95" s="541"/>
      <c r="DN95" s="541"/>
      <c r="DO95" s="541"/>
      <c r="DP95" s="541"/>
      <c r="DQ95" s="541"/>
      <c r="DR95" s="541"/>
      <c r="DS95" s="541"/>
      <c r="DT95" s="541"/>
      <c r="DU95" s="541"/>
      <c r="DV95" s="541"/>
      <c r="DW95" s="541"/>
      <c r="DX95" s="541"/>
      <c r="DY95" s="541"/>
      <c r="DZ95" s="541"/>
      <c r="EA95" s="541"/>
      <c r="EB95" s="541"/>
      <c r="EC95" s="541"/>
      <c r="ED95" s="541"/>
      <c r="EE95" s="541"/>
      <c r="EF95" s="541"/>
      <c r="EG95" s="541"/>
      <c r="EH95" s="541"/>
      <c r="EI95" s="541"/>
      <c r="EJ95" s="541"/>
      <c r="EK95" s="541"/>
      <c r="EL95" s="541"/>
      <c r="EM95" s="541"/>
      <c r="EN95" s="541"/>
      <c r="EO95" s="541"/>
      <c r="EP95" s="541"/>
      <c r="EQ95" s="541"/>
      <c r="ER95" s="541"/>
      <c r="ES95" s="541"/>
      <c r="ET95" s="541"/>
      <c r="EU95" s="541"/>
      <c r="EV95" s="541"/>
      <c r="EW95" s="541"/>
      <c r="EX95" s="541"/>
      <c r="EY95" s="541"/>
      <c r="EZ95" s="541"/>
      <c r="FA95" s="541"/>
      <c r="FB95" s="541"/>
      <c r="FC95" s="541"/>
      <c r="FD95" s="541"/>
      <c r="FE95" s="541"/>
      <c r="FF95" s="541"/>
      <c r="FG95" s="541"/>
      <c r="FH95" s="541"/>
      <c r="FI95" s="541"/>
      <c r="FJ95" s="541"/>
      <c r="FK95" s="541"/>
      <c r="FL95" s="541"/>
      <c r="FM95" s="541"/>
      <c r="FN95" s="541"/>
      <c r="FO95" s="541"/>
      <c r="FP95" s="541"/>
      <c r="FQ95" s="541"/>
      <c r="FR95" s="541"/>
      <c r="FS95" s="541"/>
      <c r="FT95" s="541"/>
      <c r="FU95" s="541"/>
      <c r="FV95" s="541"/>
      <c r="FW95" s="541"/>
      <c r="FX95" s="541"/>
      <c r="FY95" s="541"/>
      <c r="FZ95" s="541"/>
      <c r="GA95" s="541"/>
      <c r="GB95" s="541"/>
      <c r="GC95" s="541"/>
      <c r="GD95" s="541"/>
      <c r="GE95" s="541"/>
      <c r="GF95" s="541"/>
      <c r="GG95" s="541"/>
      <c r="GH95" s="541"/>
      <c r="GI95" s="541"/>
      <c r="GJ95" s="541"/>
      <c r="GK95" s="541"/>
      <c r="GL95" s="541"/>
      <c r="GM95" s="541"/>
      <c r="GN95" s="541"/>
      <c r="GO95" s="541"/>
      <c r="GP95" s="541"/>
      <c r="GQ95" s="541"/>
      <c r="GR95" s="541"/>
      <c r="GS95" s="541"/>
      <c r="GT95" s="541"/>
      <c r="GU95" s="541"/>
      <c r="GV95" s="541"/>
      <c r="GW95" s="541"/>
      <c r="GX95" s="541"/>
      <c r="GY95" s="541"/>
      <c r="GZ95" s="541"/>
      <c r="HA95" s="541"/>
      <c r="HB95" s="541"/>
      <c r="HC95" s="541"/>
      <c r="HD95" s="541"/>
      <c r="HE95" s="541"/>
      <c r="HF95" s="541"/>
      <c r="HG95" s="541"/>
      <c r="HH95" s="541"/>
      <c r="HI95" s="541"/>
      <c r="HJ95" s="541"/>
      <c r="HK95" s="541"/>
      <c r="HL95" s="541"/>
      <c r="HM95" s="541"/>
      <c r="HN95" s="541"/>
      <c r="HO95" s="541"/>
    </row>
    <row r="96" spans="24:223" s="542" customFormat="1" ht="12.75"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  <c r="BP96" s="541"/>
      <c r="BQ96" s="541"/>
      <c r="BR96" s="541"/>
      <c r="BS96" s="541"/>
      <c r="BT96" s="541"/>
      <c r="BU96" s="541"/>
      <c r="BV96" s="541"/>
      <c r="BW96" s="541"/>
      <c r="BX96" s="541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541"/>
      <c r="CJ96" s="541"/>
      <c r="CK96" s="541"/>
      <c r="CL96" s="541"/>
      <c r="CM96" s="541"/>
      <c r="CN96" s="541"/>
      <c r="CO96" s="541"/>
      <c r="CP96" s="541"/>
      <c r="CQ96" s="541"/>
      <c r="CR96" s="541"/>
      <c r="CS96" s="541"/>
      <c r="CT96" s="541"/>
      <c r="CU96" s="541"/>
      <c r="CV96" s="541"/>
      <c r="CW96" s="541"/>
      <c r="CX96" s="541"/>
      <c r="CY96" s="541"/>
      <c r="CZ96" s="541"/>
      <c r="DA96" s="541"/>
      <c r="DB96" s="541"/>
      <c r="DC96" s="541"/>
      <c r="DD96" s="541"/>
      <c r="DE96" s="541"/>
      <c r="DF96" s="541"/>
      <c r="DG96" s="541"/>
      <c r="DH96" s="541"/>
      <c r="DI96" s="541"/>
      <c r="DJ96" s="541"/>
      <c r="DK96" s="541"/>
      <c r="DL96" s="541"/>
      <c r="DM96" s="541"/>
      <c r="DN96" s="541"/>
      <c r="DO96" s="541"/>
      <c r="DP96" s="541"/>
      <c r="DQ96" s="541"/>
      <c r="DR96" s="541"/>
      <c r="DS96" s="541"/>
      <c r="DT96" s="541"/>
      <c r="DU96" s="541"/>
      <c r="DV96" s="541"/>
      <c r="DW96" s="541"/>
      <c r="DX96" s="541"/>
      <c r="DY96" s="541"/>
      <c r="DZ96" s="541"/>
      <c r="EA96" s="541"/>
      <c r="EB96" s="541"/>
      <c r="EC96" s="541"/>
      <c r="ED96" s="541"/>
      <c r="EE96" s="541"/>
      <c r="EF96" s="541"/>
      <c r="EG96" s="541"/>
      <c r="EH96" s="541"/>
      <c r="EI96" s="541"/>
      <c r="EJ96" s="541"/>
      <c r="EK96" s="541"/>
      <c r="EL96" s="541"/>
      <c r="EM96" s="541"/>
      <c r="EN96" s="541"/>
      <c r="EO96" s="541"/>
      <c r="EP96" s="541"/>
      <c r="EQ96" s="541"/>
      <c r="ER96" s="541"/>
      <c r="ES96" s="541"/>
      <c r="ET96" s="541"/>
      <c r="EU96" s="541"/>
      <c r="EV96" s="541"/>
      <c r="EW96" s="541"/>
      <c r="EX96" s="541"/>
      <c r="EY96" s="541"/>
      <c r="EZ96" s="541"/>
      <c r="FA96" s="541"/>
      <c r="FB96" s="541"/>
      <c r="FC96" s="541"/>
      <c r="FD96" s="541"/>
      <c r="FE96" s="541"/>
      <c r="FF96" s="541"/>
      <c r="FG96" s="541"/>
      <c r="FH96" s="541"/>
      <c r="FI96" s="541"/>
      <c r="FJ96" s="541"/>
      <c r="FK96" s="541"/>
      <c r="FL96" s="541"/>
      <c r="FM96" s="541"/>
      <c r="FN96" s="541"/>
      <c r="FO96" s="541"/>
      <c r="FP96" s="541"/>
      <c r="FQ96" s="541"/>
      <c r="FR96" s="541"/>
      <c r="FS96" s="541"/>
      <c r="FT96" s="541"/>
      <c r="FU96" s="541"/>
      <c r="FV96" s="541"/>
      <c r="FW96" s="541"/>
      <c r="FX96" s="541"/>
      <c r="FY96" s="541"/>
      <c r="FZ96" s="541"/>
      <c r="GA96" s="541"/>
      <c r="GB96" s="541"/>
      <c r="GC96" s="541"/>
      <c r="GD96" s="541"/>
      <c r="GE96" s="541"/>
      <c r="GF96" s="541"/>
      <c r="GG96" s="541"/>
      <c r="GH96" s="541"/>
      <c r="GI96" s="541"/>
      <c r="GJ96" s="541"/>
      <c r="GK96" s="541"/>
      <c r="GL96" s="541"/>
      <c r="GM96" s="541"/>
      <c r="GN96" s="541"/>
      <c r="GO96" s="541"/>
      <c r="GP96" s="541"/>
      <c r="GQ96" s="541"/>
      <c r="GR96" s="541"/>
      <c r="GS96" s="541"/>
      <c r="GT96" s="541"/>
      <c r="GU96" s="541"/>
      <c r="GV96" s="541"/>
      <c r="GW96" s="541"/>
      <c r="GX96" s="541"/>
      <c r="GY96" s="541"/>
      <c r="GZ96" s="541"/>
      <c r="HA96" s="541"/>
      <c r="HB96" s="541"/>
      <c r="HC96" s="541"/>
      <c r="HD96" s="541"/>
      <c r="HE96" s="541"/>
      <c r="HF96" s="541"/>
      <c r="HG96" s="541"/>
      <c r="HH96" s="541"/>
      <c r="HI96" s="541"/>
      <c r="HJ96" s="541"/>
      <c r="HK96" s="541"/>
      <c r="HL96" s="541"/>
      <c r="HM96" s="541"/>
      <c r="HN96" s="541"/>
      <c r="HO96" s="541"/>
    </row>
    <row r="97" spans="24:223" s="542" customFormat="1" ht="12.75"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  <c r="AJ97" s="541"/>
      <c r="AK97" s="541"/>
      <c r="AL97" s="541"/>
      <c r="AM97" s="541"/>
      <c r="AN97" s="541"/>
      <c r="AO97" s="541"/>
      <c r="AP97" s="541"/>
      <c r="AQ97" s="541"/>
      <c r="AR97" s="541"/>
      <c r="AS97" s="541"/>
      <c r="AT97" s="541"/>
      <c r="AU97" s="541"/>
      <c r="AV97" s="541"/>
      <c r="AW97" s="541"/>
      <c r="AX97" s="541"/>
      <c r="AY97" s="541"/>
      <c r="AZ97" s="541"/>
      <c r="BA97" s="541"/>
      <c r="BB97" s="541"/>
      <c r="BC97" s="541"/>
      <c r="BD97" s="541"/>
      <c r="BE97" s="541"/>
      <c r="BF97" s="541"/>
      <c r="BG97" s="541"/>
      <c r="BH97" s="541"/>
      <c r="BI97" s="541"/>
      <c r="BJ97" s="541"/>
      <c r="BK97" s="541"/>
      <c r="BL97" s="541"/>
      <c r="BM97" s="541"/>
      <c r="BN97" s="541"/>
      <c r="BO97" s="541"/>
      <c r="BP97" s="541"/>
      <c r="BQ97" s="541"/>
      <c r="BR97" s="541"/>
      <c r="BS97" s="541"/>
      <c r="BT97" s="541"/>
      <c r="BU97" s="541"/>
      <c r="BV97" s="541"/>
      <c r="BW97" s="541"/>
      <c r="BX97" s="541"/>
      <c r="BY97" s="541"/>
      <c r="BZ97" s="541"/>
      <c r="CA97" s="541"/>
      <c r="CB97" s="541"/>
      <c r="CC97" s="541"/>
      <c r="CD97" s="541"/>
      <c r="CE97" s="541"/>
      <c r="CF97" s="541"/>
      <c r="CG97" s="541"/>
      <c r="CH97" s="541"/>
      <c r="CI97" s="541"/>
      <c r="CJ97" s="541"/>
      <c r="CK97" s="541"/>
      <c r="CL97" s="541"/>
      <c r="CM97" s="541"/>
      <c r="CN97" s="541"/>
      <c r="CO97" s="541"/>
      <c r="CP97" s="541"/>
      <c r="CQ97" s="541"/>
      <c r="CR97" s="541"/>
      <c r="CS97" s="541"/>
      <c r="CT97" s="541"/>
      <c r="CU97" s="541"/>
      <c r="CV97" s="541"/>
      <c r="CW97" s="541"/>
      <c r="CX97" s="541"/>
      <c r="CY97" s="541"/>
      <c r="CZ97" s="541"/>
      <c r="DA97" s="541"/>
      <c r="DB97" s="541"/>
      <c r="DC97" s="541"/>
      <c r="DD97" s="541"/>
      <c r="DE97" s="541"/>
      <c r="DF97" s="541"/>
      <c r="DG97" s="541"/>
      <c r="DH97" s="541"/>
      <c r="DI97" s="541"/>
      <c r="DJ97" s="541"/>
      <c r="DK97" s="541"/>
      <c r="DL97" s="541"/>
      <c r="DM97" s="541"/>
      <c r="DN97" s="541"/>
      <c r="DO97" s="541"/>
      <c r="DP97" s="541"/>
      <c r="DQ97" s="541"/>
      <c r="DR97" s="541"/>
      <c r="DS97" s="541"/>
      <c r="DT97" s="541"/>
      <c r="DU97" s="541"/>
      <c r="DV97" s="541"/>
      <c r="DW97" s="541"/>
      <c r="DX97" s="541"/>
      <c r="DY97" s="541"/>
      <c r="DZ97" s="541"/>
      <c r="EA97" s="541"/>
      <c r="EB97" s="541"/>
      <c r="EC97" s="541"/>
      <c r="ED97" s="541"/>
      <c r="EE97" s="541"/>
      <c r="EF97" s="541"/>
      <c r="EG97" s="541"/>
      <c r="EH97" s="541"/>
      <c r="EI97" s="541"/>
      <c r="EJ97" s="541"/>
      <c r="EK97" s="541"/>
      <c r="EL97" s="541"/>
      <c r="EM97" s="541"/>
      <c r="EN97" s="541"/>
      <c r="EO97" s="541"/>
      <c r="EP97" s="541"/>
      <c r="EQ97" s="541"/>
      <c r="ER97" s="541"/>
      <c r="ES97" s="541"/>
      <c r="ET97" s="541"/>
      <c r="EU97" s="541"/>
      <c r="EV97" s="541"/>
      <c r="EW97" s="541"/>
      <c r="EX97" s="541"/>
      <c r="EY97" s="541"/>
      <c r="EZ97" s="541"/>
      <c r="FA97" s="541"/>
      <c r="FB97" s="541"/>
      <c r="FC97" s="541"/>
      <c r="FD97" s="541"/>
      <c r="FE97" s="541"/>
      <c r="FF97" s="541"/>
      <c r="FG97" s="541"/>
      <c r="FH97" s="541"/>
      <c r="FI97" s="541"/>
      <c r="FJ97" s="541"/>
      <c r="FK97" s="541"/>
      <c r="FL97" s="541"/>
      <c r="FM97" s="541"/>
      <c r="FN97" s="541"/>
      <c r="FO97" s="541"/>
      <c r="FP97" s="541"/>
      <c r="FQ97" s="541"/>
      <c r="FR97" s="541"/>
      <c r="FS97" s="541"/>
      <c r="FT97" s="541"/>
      <c r="FU97" s="541"/>
      <c r="FV97" s="541"/>
      <c r="FW97" s="541"/>
      <c r="FX97" s="541"/>
      <c r="FY97" s="541"/>
      <c r="FZ97" s="541"/>
      <c r="GA97" s="541"/>
      <c r="GB97" s="541"/>
      <c r="GC97" s="541"/>
      <c r="GD97" s="541"/>
      <c r="GE97" s="541"/>
      <c r="GF97" s="541"/>
      <c r="GG97" s="541"/>
      <c r="GH97" s="541"/>
      <c r="GI97" s="541"/>
      <c r="GJ97" s="541"/>
      <c r="GK97" s="541"/>
      <c r="GL97" s="541"/>
      <c r="GM97" s="541"/>
      <c r="GN97" s="541"/>
      <c r="GO97" s="541"/>
      <c r="GP97" s="541"/>
      <c r="GQ97" s="541"/>
      <c r="GR97" s="541"/>
      <c r="GS97" s="541"/>
      <c r="GT97" s="541"/>
      <c r="GU97" s="541"/>
      <c r="GV97" s="541"/>
      <c r="GW97" s="541"/>
      <c r="GX97" s="541"/>
      <c r="GY97" s="541"/>
      <c r="GZ97" s="541"/>
      <c r="HA97" s="541"/>
      <c r="HB97" s="541"/>
      <c r="HC97" s="541"/>
      <c r="HD97" s="541"/>
      <c r="HE97" s="541"/>
      <c r="HF97" s="541"/>
      <c r="HG97" s="541"/>
      <c r="HH97" s="541"/>
      <c r="HI97" s="541"/>
      <c r="HJ97" s="541"/>
      <c r="HK97" s="541"/>
      <c r="HL97" s="541"/>
      <c r="HM97" s="541"/>
      <c r="HN97" s="541"/>
      <c r="HO97" s="541"/>
    </row>
    <row r="98" spans="24:223" s="542" customFormat="1" ht="12.75">
      <c r="X98" s="541"/>
      <c r="Y98" s="541"/>
      <c r="Z98" s="541"/>
      <c r="AA98" s="541"/>
      <c r="AB98" s="541"/>
      <c r="AC98" s="541"/>
      <c r="AD98" s="541"/>
      <c r="AE98" s="541"/>
      <c r="AF98" s="541"/>
      <c r="AG98" s="541"/>
      <c r="AH98" s="541"/>
      <c r="AI98" s="541"/>
      <c r="AJ98" s="541"/>
      <c r="AK98" s="541"/>
      <c r="AL98" s="541"/>
      <c r="AM98" s="541"/>
      <c r="AN98" s="541"/>
      <c r="AO98" s="541"/>
      <c r="AP98" s="541"/>
      <c r="AQ98" s="541"/>
      <c r="AR98" s="541"/>
      <c r="AS98" s="541"/>
      <c r="AT98" s="541"/>
      <c r="AU98" s="541"/>
      <c r="AV98" s="541"/>
      <c r="AW98" s="541"/>
      <c r="AX98" s="541"/>
      <c r="AY98" s="541"/>
      <c r="AZ98" s="541"/>
      <c r="BA98" s="541"/>
      <c r="BB98" s="541"/>
      <c r="BC98" s="541"/>
      <c r="BD98" s="541"/>
      <c r="BE98" s="541"/>
      <c r="BF98" s="541"/>
      <c r="BG98" s="541"/>
      <c r="BH98" s="541"/>
      <c r="BI98" s="541"/>
      <c r="BJ98" s="541"/>
      <c r="BK98" s="541"/>
      <c r="BL98" s="541"/>
      <c r="BM98" s="541"/>
      <c r="BN98" s="541"/>
      <c r="BO98" s="541"/>
      <c r="BP98" s="541"/>
      <c r="BQ98" s="541"/>
      <c r="BR98" s="541"/>
      <c r="BS98" s="541"/>
      <c r="BT98" s="541"/>
      <c r="BU98" s="541"/>
      <c r="BV98" s="541"/>
      <c r="BW98" s="541"/>
      <c r="BX98" s="541"/>
      <c r="BY98" s="541"/>
      <c r="BZ98" s="541"/>
      <c r="CA98" s="541"/>
      <c r="CB98" s="541"/>
      <c r="CC98" s="541"/>
      <c r="CD98" s="541"/>
      <c r="CE98" s="541"/>
      <c r="CF98" s="541"/>
      <c r="CG98" s="541"/>
      <c r="CH98" s="541"/>
      <c r="CI98" s="541"/>
      <c r="CJ98" s="541"/>
      <c r="CK98" s="541"/>
      <c r="CL98" s="541"/>
      <c r="CM98" s="541"/>
      <c r="CN98" s="541"/>
      <c r="CO98" s="541"/>
      <c r="CP98" s="541"/>
      <c r="CQ98" s="541"/>
      <c r="CR98" s="541"/>
      <c r="CS98" s="541"/>
      <c r="CT98" s="541"/>
      <c r="CU98" s="541"/>
      <c r="CV98" s="541"/>
      <c r="CW98" s="541"/>
      <c r="CX98" s="541"/>
      <c r="CY98" s="541"/>
      <c r="CZ98" s="541"/>
      <c r="DA98" s="541"/>
      <c r="DB98" s="541"/>
      <c r="DC98" s="541"/>
      <c r="DD98" s="541"/>
      <c r="DE98" s="541"/>
      <c r="DF98" s="541"/>
      <c r="DG98" s="541"/>
      <c r="DH98" s="541"/>
      <c r="DI98" s="541"/>
      <c r="DJ98" s="541"/>
      <c r="DK98" s="541"/>
      <c r="DL98" s="541"/>
      <c r="DM98" s="541"/>
      <c r="DN98" s="541"/>
      <c r="DO98" s="541"/>
      <c r="DP98" s="541"/>
      <c r="DQ98" s="541"/>
      <c r="DR98" s="541"/>
      <c r="DS98" s="541"/>
      <c r="DT98" s="541"/>
      <c r="DU98" s="541"/>
      <c r="DV98" s="541"/>
      <c r="DW98" s="541"/>
      <c r="DX98" s="541"/>
      <c r="DY98" s="541"/>
      <c r="DZ98" s="541"/>
      <c r="EA98" s="541"/>
      <c r="EB98" s="541"/>
      <c r="EC98" s="541"/>
      <c r="ED98" s="541"/>
      <c r="EE98" s="541"/>
      <c r="EF98" s="541"/>
      <c r="EG98" s="541"/>
      <c r="EH98" s="541"/>
      <c r="EI98" s="541"/>
      <c r="EJ98" s="541"/>
      <c r="EK98" s="541"/>
      <c r="EL98" s="541"/>
      <c r="EM98" s="541"/>
      <c r="EN98" s="541"/>
      <c r="EO98" s="541"/>
      <c r="EP98" s="541"/>
      <c r="EQ98" s="541"/>
      <c r="ER98" s="541"/>
      <c r="ES98" s="541"/>
      <c r="ET98" s="541"/>
      <c r="EU98" s="541"/>
      <c r="EV98" s="541"/>
      <c r="EW98" s="541"/>
      <c r="EX98" s="541"/>
      <c r="EY98" s="541"/>
      <c r="EZ98" s="541"/>
      <c r="FA98" s="541"/>
      <c r="FB98" s="541"/>
      <c r="FC98" s="541"/>
      <c r="FD98" s="541"/>
      <c r="FE98" s="541"/>
      <c r="FF98" s="541"/>
      <c r="FG98" s="541"/>
      <c r="FH98" s="541"/>
      <c r="FI98" s="541"/>
      <c r="FJ98" s="541"/>
      <c r="FK98" s="541"/>
      <c r="FL98" s="541"/>
      <c r="FM98" s="541"/>
      <c r="FN98" s="541"/>
      <c r="FO98" s="541"/>
      <c r="FP98" s="541"/>
      <c r="FQ98" s="541"/>
      <c r="FR98" s="541"/>
      <c r="FS98" s="541"/>
      <c r="FT98" s="541"/>
      <c r="FU98" s="541"/>
      <c r="FV98" s="541"/>
      <c r="FW98" s="541"/>
      <c r="FX98" s="541"/>
      <c r="FY98" s="541"/>
      <c r="FZ98" s="541"/>
      <c r="GA98" s="541"/>
      <c r="GB98" s="541"/>
      <c r="GC98" s="541"/>
      <c r="GD98" s="541"/>
      <c r="GE98" s="541"/>
      <c r="GF98" s="541"/>
      <c r="GG98" s="541"/>
      <c r="GH98" s="541"/>
      <c r="GI98" s="541"/>
      <c r="GJ98" s="541"/>
      <c r="GK98" s="541"/>
      <c r="GL98" s="541"/>
      <c r="GM98" s="541"/>
      <c r="GN98" s="541"/>
      <c r="GO98" s="541"/>
      <c r="GP98" s="541"/>
      <c r="GQ98" s="541"/>
      <c r="GR98" s="541"/>
      <c r="GS98" s="541"/>
      <c r="GT98" s="541"/>
      <c r="GU98" s="541"/>
      <c r="GV98" s="541"/>
      <c r="GW98" s="541"/>
      <c r="GX98" s="541"/>
      <c r="GY98" s="541"/>
      <c r="GZ98" s="541"/>
      <c r="HA98" s="541"/>
      <c r="HB98" s="541"/>
      <c r="HC98" s="541"/>
      <c r="HD98" s="541"/>
      <c r="HE98" s="541"/>
      <c r="HF98" s="541"/>
      <c r="HG98" s="541"/>
      <c r="HH98" s="541"/>
      <c r="HI98" s="541"/>
      <c r="HJ98" s="541"/>
      <c r="HK98" s="541"/>
      <c r="HL98" s="541"/>
      <c r="HM98" s="541"/>
      <c r="HN98" s="541"/>
      <c r="HO98" s="541"/>
    </row>
    <row r="99" spans="24:223" s="542" customFormat="1" ht="12.75">
      <c r="X99" s="541"/>
      <c r="Y99" s="541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1"/>
      <c r="AK99" s="541"/>
      <c r="AL99" s="541"/>
      <c r="AM99" s="541"/>
      <c r="AN99" s="541"/>
      <c r="AO99" s="541"/>
      <c r="AP99" s="541"/>
      <c r="AQ99" s="541"/>
      <c r="AR99" s="541"/>
      <c r="AS99" s="541"/>
      <c r="AT99" s="541"/>
      <c r="AU99" s="541"/>
      <c r="AV99" s="541"/>
      <c r="AW99" s="541"/>
      <c r="AX99" s="541"/>
      <c r="AY99" s="541"/>
      <c r="AZ99" s="541"/>
      <c r="BA99" s="541"/>
      <c r="BB99" s="541"/>
      <c r="BC99" s="541"/>
      <c r="BD99" s="541"/>
      <c r="BE99" s="541"/>
      <c r="BF99" s="541"/>
      <c r="BG99" s="541"/>
      <c r="BH99" s="541"/>
      <c r="BI99" s="541"/>
      <c r="BJ99" s="541"/>
      <c r="BK99" s="541"/>
      <c r="BL99" s="541"/>
      <c r="BM99" s="541"/>
      <c r="BN99" s="541"/>
      <c r="BO99" s="541"/>
      <c r="BP99" s="541"/>
      <c r="BQ99" s="541"/>
      <c r="BR99" s="541"/>
      <c r="BS99" s="541"/>
      <c r="BT99" s="541"/>
      <c r="BU99" s="541"/>
      <c r="BV99" s="541"/>
      <c r="BW99" s="541"/>
      <c r="BX99" s="541"/>
      <c r="BY99" s="541"/>
      <c r="BZ99" s="541"/>
      <c r="CA99" s="541"/>
      <c r="CB99" s="541"/>
      <c r="CC99" s="541"/>
      <c r="CD99" s="541"/>
      <c r="CE99" s="541"/>
      <c r="CF99" s="541"/>
      <c r="CG99" s="541"/>
      <c r="CH99" s="541"/>
      <c r="CI99" s="541"/>
      <c r="CJ99" s="541"/>
      <c r="CK99" s="541"/>
      <c r="CL99" s="541"/>
      <c r="CM99" s="541"/>
      <c r="CN99" s="541"/>
      <c r="CO99" s="541"/>
      <c r="CP99" s="541"/>
      <c r="CQ99" s="541"/>
      <c r="CR99" s="541"/>
      <c r="CS99" s="541"/>
      <c r="CT99" s="541"/>
      <c r="CU99" s="541"/>
      <c r="CV99" s="541"/>
      <c r="CW99" s="541"/>
      <c r="CX99" s="541"/>
      <c r="CY99" s="541"/>
      <c r="CZ99" s="541"/>
      <c r="DA99" s="541"/>
      <c r="DB99" s="541"/>
      <c r="DC99" s="541"/>
      <c r="DD99" s="541"/>
      <c r="DE99" s="541"/>
      <c r="DF99" s="541"/>
      <c r="DG99" s="541"/>
      <c r="DH99" s="541"/>
      <c r="DI99" s="541"/>
      <c r="DJ99" s="541"/>
      <c r="DK99" s="541"/>
      <c r="DL99" s="541"/>
      <c r="DM99" s="541"/>
      <c r="DN99" s="541"/>
      <c r="DO99" s="541"/>
      <c r="DP99" s="541"/>
      <c r="DQ99" s="541"/>
      <c r="DR99" s="541"/>
      <c r="DS99" s="541"/>
      <c r="DT99" s="541"/>
      <c r="DU99" s="541"/>
      <c r="DV99" s="541"/>
      <c r="DW99" s="541"/>
      <c r="DX99" s="541"/>
      <c r="DY99" s="541"/>
      <c r="DZ99" s="541"/>
      <c r="EA99" s="541"/>
      <c r="EB99" s="541"/>
      <c r="EC99" s="541"/>
      <c r="ED99" s="541"/>
      <c r="EE99" s="541"/>
      <c r="EF99" s="541"/>
      <c r="EG99" s="541"/>
      <c r="EH99" s="541"/>
      <c r="EI99" s="541"/>
      <c r="EJ99" s="541"/>
      <c r="EK99" s="541"/>
      <c r="EL99" s="541"/>
      <c r="EM99" s="541"/>
      <c r="EN99" s="541"/>
      <c r="EO99" s="541"/>
      <c r="EP99" s="541"/>
      <c r="EQ99" s="541"/>
      <c r="ER99" s="541"/>
      <c r="ES99" s="541"/>
      <c r="ET99" s="541"/>
      <c r="EU99" s="541"/>
      <c r="EV99" s="541"/>
      <c r="EW99" s="541"/>
      <c r="EX99" s="541"/>
      <c r="EY99" s="541"/>
      <c r="EZ99" s="541"/>
      <c r="FA99" s="541"/>
      <c r="FB99" s="541"/>
      <c r="FC99" s="541"/>
      <c r="FD99" s="541"/>
      <c r="FE99" s="541"/>
      <c r="FF99" s="541"/>
      <c r="FG99" s="541"/>
      <c r="FH99" s="541"/>
      <c r="FI99" s="541"/>
      <c r="FJ99" s="541"/>
      <c r="FK99" s="541"/>
      <c r="FL99" s="541"/>
      <c r="FM99" s="541"/>
      <c r="FN99" s="541"/>
      <c r="FO99" s="541"/>
      <c r="FP99" s="541"/>
      <c r="FQ99" s="541"/>
      <c r="FR99" s="541"/>
      <c r="FS99" s="541"/>
      <c r="FT99" s="541"/>
      <c r="FU99" s="541"/>
      <c r="FV99" s="541"/>
      <c r="FW99" s="541"/>
      <c r="FX99" s="541"/>
      <c r="FY99" s="541"/>
      <c r="FZ99" s="541"/>
      <c r="GA99" s="541"/>
      <c r="GB99" s="541"/>
      <c r="GC99" s="541"/>
      <c r="GD99" s="541"/>
      <c r="GE99" s="541"/>
      <c r="GF99" s="541"/>
      <c r="GG99" s="541"/>
      <c r="GH99" s="541"/>
      <c r="GI99" s="541"/>
      <c r="GJ99" s="541"/>
      <c r="GK99" s="541"/>
      <c r="GL99" s="541"/>
      <c r="GM99" s="541"/>
      <c r="GN99" s="541"/>
      <c r="GO99" s="541"/>
      <c r="GP99" s="541"/>
      <c r="GQ99" s="541"/>
      <c r="GR99" s="541"/>
      <c r="GS99" s="541"/>
      <c r="GT99" s="541"/>
      <c r="GU99" s="541"/>
      <c r="GV99" s="541"/>
      <c r="GW99" s="541"/>
      <c r="GX99" s="541"/>
      <c r="GY99" s="541"/>
      <c r="GZ99" s="541"/>
      <c r="HA99" s="541"/>
      <c r="HB99" s="541"/>
      <c r="HC99" s="541"/>
      <c r="HD99" s="541"/>
      <c r="HE99" s="541"/>
      <c r="HF99" s="541"/>
      <c r="HG99" s="541"/>
      <c r="HH99" s="541"/>
      <c r="HI99" s="541"/>
      <c r="HJ99" s="541"/>
      <c r="HK99" s="541"/>
      <c r="HL99" s="541"/>
      <c r="HM99" s="541"/>
      <c r="HN99" s="541"/>
      <c r="HO99" s="541"/>
    </row>
    <row r="100" spans="24:223" s="542" customFormat="1" ht="12.75">
      <c r="X100" s="541"/>
      <c r="Y100" s="541"/>
      <c r="Z100" s="541"/>
      <c r="AA100" s="541"/>
      <c r="AB100" s="541"/>
      <c r="AC100" s="541"/>
      <c r="AD100" s="541"/>
      <c r="AE100" s="541"/>
      <c r="AF100" s="541"/>
      <c r="AG100" s="541"/>
      <c r="AH100" s="541"/>
      <c r="AI100" s="541"/>
      <c r="AJ100" s="541"/>
      <c r="AK100" s="541"/>
      <c r="AL100" s="541"/>
      <c r="AM100" s="541"/>
      <c r="AN100" s="541"/>
      <c r="AO100" s="541"/>
      <c r="AP100" s="541"/>
      <c r="AQ100" s="541"/>
      <c r="AR100" s="541"/>
      <c r="AS100" s="541"/>
      <c r="AT100" s="541"/>
      <c r="AU100" s="541"/>
      <c r="AV100" s="541"/>
      <c r="AW100" s="541"/>
      <c r="AX100" s="541"/>
      <c r="AY100" s="541"/>
      <c r="AZ100" s="541"/>
      <c r="BA100" s="541"/>
      <c r="BB100" s="541"/>
      <c r="BC100" s="541"/>
      <c r="BD100" s="541"/>
      <c r="BE100" s="541"/>
      <c r="BF100" s="541"/>
      <c r="BG100" s="541"/>
      <c r="BH100" s="541"/>
      <c r="BI100" s="541"/>
      <c r="BJ100" s="541"/>
      <c r="BK100" s="541"/>
      <c r="BL100" s="541"/>
      <c r="BM100" s="541"/>
      <c r="BN100" s="541"/>
      <c r="BO100" s="541"/>
      <c r="BP100" s="541"/>
      <c r="BQ100" s="541"/>
      <c r="BR100" s="541"/>
      <c r="BS100" s="541"/>
      <c r="BT100" s="541"/>
      <c r="BU100" s="541"/>
      <c r="BV100" s="541"/>
      <c r="BW100" s="541"/>
      <c r="BX100" s="541"/>
      <c r="BY100" s="541"/>
      <c r="BZ100" s="541"/>
      <c r="CA100" s="541"/>
      <c r="CB100" s="541"/>
      <c r="CC100" s="541"/>
      <c r="CD100" s="541"/>
      <c r="CE100" s="541"/>
      <c r="CF100" s="541"/>
      <c r="CG100" s="541"/>
      <c r="CH100" s="541"/>
      <c r="CI100" s="541"/>
      <c r="CJ100" s="541"/>
      <c r="CK100" s="541"/>
      <c r="CL100" s="541"/>
      <c r="CM100" s="541"/>
      <c r="CN100" s="541"/>
      <c r="CO100" s="541"/>
      <c r="CP100" s="541"/>
      <c r="CQ100" s="541"/>
      <c r="CR100" s="541"/>
      <c r="CS100" s="541"/>
      <c r="CT100" s="541"/>
      <c r="CU100" s="541"/>
      <c r="CV100" s="541"/>
      <c r="CW100" s="541"/>
      <c r="CX100" s="541"/>
      <c r="CY100" s="541"/>
      <c r="CZ100" s="541"/>
      <c r="DA100" s="541"/>
      <c r="DB100" s="541"/>
      <c r="DC100" s="541"/>
      <c r="DD100" s="541"/>
      <c r="DE100" s="541"/>
      <c r="DF100" s="541"/>
      <c r="DG100" s="541"/>
      <c r="DH100" s="541"/>
      <c r="DI100" s="541"/>
      <c r="DJ100" s="541"/>
      <c r="DK100" s="541"/>
      <c r="DL100" s="541"/>
      <c r="DM100" s="541"/>
      <c r="DN100" s="541"/>
      <c r="DO100" s="541"/>
      <c r="DP100" s="541"/>
      <c r="DQ100" s="541"/>
      <c r="DR100" s="541"/>
      <c r="DS100" s="541"/>
      <c r="DT100" s="541"/>
      <c r="DU100" s="541"/>
      <c r="DV100" s="541"/>
      <c r="DW100" s="541"/>
      <c r="DX100" s="541"/>
      <c r="DY100" s="541"/>
      <c r="DZ100" s="541"/>
      <c r="EA100" s="541"/>
      <c r="EB100" s="541"/>
      <c r="EC100" s="541"/>
      <c r="ED100" s="541"/>
      <c r="EE100" s="541"/>
      <c r="EF100" s="541"/>
      <c r="EG100" s="541"/>
      <c r="EH100" s="541"/>
      <c r="EI100" s="541"/>
      <c r="EJ100" s="541"/>
      <c r="EK100" s="541"/>
      <c r="EL100" s="541"/>
      <c r="EM100" s="541"/>
      <c r="EN100" s="541"/>
      <c r="EO100" s="541"/>
      <c r="EP100" s="541"/>
      <c r="EQ100" s="541"/>
      <c r="ER100" s="541"/>
      <c r="ES100" s="541"/>
      <c r="ET100" s="541"/>
      <c r="EU100" s="541"/>
      <c r="EV100" s="541"/>
      <c r="EW100" s="541"/>
      <c r="EX100" s="541"/>
      <c r="EY100" s="541"/>
      <c r="EZ100" s="541"/>
      <c r="FA100" s="541"/>
      <c r="FB100" s="541"/>
      <c r="FC100" s="541"/>
      <c r="FD100" s="541"/>
      <c r="FE100" s="541"/>
      <c r="FF100" s="541"/>
      <c r="FG100" s="541"/>
      <c r="FH100" s="541"/>
      <c r="FI100" s="541"/>
      <c r="FJ100" s="541"/>
      <c r="FK100" s="541"/>
      <c r="FL100" s="541"/>
      <c r="FM100" s="541"/>
      <c r="FN100" s="541"/>
      <c r="FO100" s="541"/>
      <c r="FP100" s="541"/>
      <c r="FQ100" s="541"/>
      <c r="FR100" s="541"/>
      <c r="FS100" s="541"/>
      <c r="FT100" s="541"/>
      <c r="FU100" s="541"/>
      <c r="FV100" s="541"/>
      <c r="FW100" s="541"/>
      <c r="FX100" s="541"/>
      <c r="FY100" s="541"/>
      <c r="FZ100" s="541"/>
      <c r="GA100" s="541"/>
      <c r="GB100" s="541"/>
      <c r="GC100" s="541"/>
      <c r="GD100" s="541"/>
      <c r="GE100" s="541"/>
      <c r="GF100" s="541"/>
      <c r="GG100" s="541"/>
      <c r="GH100" s="541"/>
      <c r="GI100" s="541"/>
      <c r="GJ100" s="541"/>
      <c r="GK100" s="541"/>
      <c r="GL100" s="541"/>
      <c r="GM100" s="541"/>
      <c r="GN100" s="541"/>
      <c r="GO100" s="541"/>
      <c r="GP100" s="541"/>
      <c r="GQ100" s="541"/>
      <c r="GR100" s="541"/>
      <c r="GS100" s="541"/>
      <c r="GT100" s="541"/>
      <c r="GU100" s="541"/>
      <c r="GV100" s="541"/>
      <c r="GW100" s="541"/>
      <c r="GX100" s="541"/>
      <c r="GY100" s="541"/>
      <c r="GZ100" s="541"/>
      <c r="HA100" s="541"/>
      <c r="HB100" s="541"/>
      <c r="HC100" s="541"/>
      <c r="HD100" s="541"/>
      <c r="HE100" s="541"/>
      <c r="HF100" s="541"/>
      <c r="HG100" s="541"/>
      <c r="HH100" s="541"/>
      <c r="HI100" s="541"/>
      <c r="HJ100" s="541"/>
      <c r="HK100" s="541"/>
      <c r="HL100" s="541"/>
      <c r="HM100" s="541"/>
      <c r="HN100" s="541"/>
      <c r="HO100" s="541"/>
    </row>
    <row r="101" spans="24:223" s="542" customFormat="1" ht="12.75">
      <c r="X101" s="541"/>
      <c r="Y101" s="541"/>
      <c r="Z101" s="541"/>
      <c r="AA101" s="541"/>
      <c r="AB101" s="541"/>
      <c r="AC101" s="541"/>
      <c r="AD101" s="541"/>
      <c r="AE101" s="541"/>
      <c r="AF101" s="541"/>
      <c r="AG101" s="541"/>
      <c r="AH101" s="541"/>
      <c r="AI101" s="541"/>
      <c r="AJ101" s="541"/>
      <c r="AK101" s="541"/>
      <c r="AL101" s="541"/>
      <c r="AM101" s="541"/>
      <c r="AN101" s="541"/>
      <c r="AO101" s="541"/>
      <c r="AP101" s="541"/>
      <c r="AQ101" s="541"/>
      <c r="AR101" s="541"/>
      <c r="AS101" s="541"/>
      <c r="AT101" s="541"/>
      <c r="AU101" s="541"/>
      <c r="AV101" s="541"/>
      <c r="AW101" s="541"/>
      <c r="AX101" s="541"/>
      <c r="AY101" s="541"/>
      <c r="AZ101" s="541"/>
      <c r="BA101" s="541"/>
      <c r="BB101" s="541"/>
      <c r="BC101" s="541"/>
      <c r="BD101" s="541"/>
      <c r="BE101" s="541"/>
      <c r="BF101" s="541"/>
      <c r="BG101" s="541"/>
      <c r="BH101" s="541"/>
      <c r="BI101" s="541"/>
      <c r="BJ101" s="541"/>
      <c r="BK101" s="541"/>
      <c r="BL101" s="541"/>
      <c r="BM101" s="541"/>
      <c r="BN101" s="541"/>
      <c r="BO101" s="541"/>
      <c r="BP101" s="541"/>
      <c r="BQ101" s="541"/>
      <c r="BR101" s="541"/>
      <c r="BS101" s="541"/>
      <c r="BT101" s="541"/>
      <c r="BU101" s="541"/>
      <c r="BV101" s="541"/>
      <c r="BW101" s="541"/>
      <c r="BX101" s="541"/>
      <c r="BY101" s="541"/>
      <c r="BZ101" s="541"/>
      <c r="CA101" s="541"/>
      <c r="CB101" s="541"/>
      <c r="CC101" s="541"/>
      <c r="CD101" s="541"/>
      <c r="CE101" s="541"/>
      <c r="CF101" s="541"/>
      <c r="CG101" s="541"/>
      <c r="CH101" s="541"/>
      <c r="CI101" s="541"/>
      <c r="CJ101" s="541"/>
      <c r="CK101" s="541"/>
      <c r="CL101" s="541"/>
      <c r="CM101" s="541"/>
      <c r="CN101" s="541"/>
      <c r="CO101" s="541"/>
      <c r="CP101" s="541"/>
      <c r="CQ101" s="541"/>
      <c r="CR101" s="541"/>
      <c r="CS101" s="541"/>
      <c r="CT101" s="541"/>
      <c r="CU101" s="541"/>
      <c r="CV101" s="541"/>
      <c r="CW101" s="541"/>
      <c r="CX101" s="541"/>
      <c r="CY101" s="541"/>
      <c r="CZ101" s="541"/>
      <c r="DA101" s="541"/>
      <c r="DB101" s="541"/>
      <c r="DC101" s="541"/>
      <c r="DD101" s="541"/>
      <c r="DE101" s="541"/>
      <c r="DF101" s="541"/>
      <c r="DG101" s="541"/>
      <c r="DH101" s="541"/>
      <c r="DI101" s="541"/>
      <c r="DJ101" s="541"/>
      <c r="DK101" s="541"/>
      <c r="DL101" s="541"/>
      <c r="DM101" s="541"/>
      <c r="DN101" s="541"/>
      <c r="DO101" s="541"/>
      <c r="DP101" s="541"/>
      <c r="DQ101" s="541"/>
      <c r="DR101" s="541"/>
      <c r="DS101" s="541"/>
      <c r="DT101" s="541"/>
      <c r="DU101" s="541"/>
      <c r="DV101" s="541"/>
      <c r="DW101" s="541"/>
      <c r="DX101" s="541"/>
      <c r="DY101" s="541"/>
      <c r="DZ101" s="541"/>
      <c r="EA101" s="541"/>
      <c r="EB101" s="541"/>
      <c r="EC101" s="541"/>
      <c r="ED101" s="541"/>
      <c r="EE101" s="541"/>
      <c r="EF101" s="541"/>
      <c r="EG101" s="541"/>
      <c r="EH101" s="541"/>
      <c r="EI101" s="541"/>
      <c r="EJ101" s="541"/>
      <c r="EK101" s="541"/>
      <c r="EL101" s="541"/>
      <c r="EM101" s="541"/>
      <c r="EN101" s="541"/>
      <c r="EO101" s="541"/>
      <c r="EP101" s="541"/>
      <c r="EQ101" s="541"/>
      <c r="ER101" s="541"/>
      <c r="ES101" s="541"/>
      <c r="ET101" s="541"/>
      <c r="EU101" s="541"/>
      <c r="EV101" s="541"/>
      <c r="EW101" s="541"/>
      <c r="EX101" s="541"/>
      <c r="EY101" s="541"/>
      <c r="EZ101" s="541"/>
      <c r="FA101" s="541"/>
      <c r="FB101" s="541"/>
      <c r="FC101" s="541"/>
      <c r="FD101" s="541"/>
      <c r="FE101" s="541"/>
      <c r="FF101" s="541"/>
      <c r="FG101" s="541"/>
      <c r="FH101" s="541"/>
      <c r="FI101" s="541"/>
      <c r="FJ101" s="541"/>
      <c r="FK101" s="541"/>
      <c r="FL101" s="541"/>
      <c r="FM101" s="541"/>
      <c r="FN101" s="541"/>
      <c r="FO101" s="541"/>
      <c r="FP101" s="541"/>
      <c r="FQ101" s="541"/>
      <c r="FR101" s="541"/>
      <c r="FS101" s="541"/>
      <c r="FT101" s="541"/>
      <c r="FU101" s="541"/>
      <c r="FV101" s="541"/>
      <c r="FW101" s="541"/>
      <c r="FX101" s="541"/>
      <c r="FY101" s="541"/>
      <c r="FZ101" s="541"/>
      <c r="GA101" s="541"/>
      <c r="GB101" s="541"/>
      <c r="GC101" s="541"/>
      <c r="GD101" s="541"/>
      <c r="GE101" s="541"/>
      <c r="GF101" s="541"/>
      <c r="GG101" s="541"/>
      <c r="GH101" s="541"/>
      <c r="GI101" s="541"/>
      <c r="GJ101" s="541"/>
      <c r="GK101" s="541"/>
      <c r="GL101" s="541"/>
      <c r="GM101" s="541"/>
      <c r="GN101" s="541"/>
      <c r="GO101" s="541"/>
      <c r="GP101" s="541"/>
      <c r="GQ101" s="541"/>
      <c r="GR101" s="541"/>
      <c r="GS101" s="541"/>
      <c r="GT101" s="541"/>
      <c r="GU101" s="541"/>
      <c r="GV101" s="541"/>
      <c r="GW101" s="541"/>
      <c r="GX101" s="541"/>
      <c r="GY101" s="541"/>
      <c r="GZ101" s="541"/>
      <c r="HA101" s="541"/>
      <c r="HB101" s="541"/>
      <c r="HC101" s="541"/>
      <c r="HD101" s="541"/>
      <c r="HE101" s="541"/>
      <c r="HF101" s="541"/>
      <c r="HG101" s="541"/>
      <c r="HH101" s="541"/>
      <c r="HI101" s="541"/>
      <c r="HJ101" s="541"/>
      <c r="HK101" s="541"/>
      <c r="HL101" s="541"/>
      <c r="HM101" s="541"/>
      <c r="HN101" s="541"/>
      <c r="HO101" s="541"/>
    </row>
    <row r="102" spans="24:223" s="542" customFormat="1" ht="12.75"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541"/>
      <c r="AO102" s="541"/>
      <c r="AP102" s="541"/>
      <c r="AQ102" s="541"/>
      <c r="AR102" s="541"/>
      <c r="AS102" s="541"/>
      <c r="AT102" s="541"/>
      <c r="AU102" s="541"/>
      <c r="AV102" s="541"/>
      <c r="AW102" s="541"/>
      <c r="AX102" s="541"/>
      <c r="AY102" s="541"/>
      <c r="AZ102" s="541"/>
      <c r="BA102" s="541"/>
      <c r="BB102" s="541"/>
      <c r="BC102" s="541"/>
      <c r="BD102" s="541"/>
      <c r="BE102" s="541"/>
      <c r="BF102" s="541"/>
      <c r="BG102" s="541"/>
      <c r="BH102" s="541"/>
      <c r="BI102" s="541"/>
      <c r="BJ102" s="541"/>
      <c r="BK102" s="541"/>
      <c r="BL102" s="541"/>
      <c r="BM102" s="541"/>
      <c r="BN102" s="541"/>
      <c r="BO102" s="541"/>
      <c r="BP102" s="541"/>
      <c r="BQ102" s="541"/>
      <c r="BR102" s="541"/>
      <c r="BS102" s="541"/>
      <c r="BT102" s="541"/>
      <c r="BU102" s="541"/>
      <c r="BV102" s="541"/>
      <c r="BW102" s="541"/>
      <c r="BX102" s="541"/>
      <c r="BY102" s="541"/>
      <c r="BZ102" s="541"/>
      <c r="CA102" s="541"/>
      <c r="CB102" s="541"/>
      <c r="CC102" s="541"/>
      <c r="CD102" s="541"/>
      <c r="CE102" s="541"/>
      <c r="CF102" s="541"/>
      <c r="CG102" s="541"/>
      <c r="CH102" s="541"/>
      <c r="CI102" s="541"/>
      <c r="CJ102" s="541"/>
      <c r="CK102" s="541"/>
      <c r="CL102" s="541"/>
      <c r="CM102" s="541"/>
      <c r="CN102" s="541"/>
      <c r="CO102" s="541"/>
      <c r="CP102" s="541"/>
      <c r="CQ102" s="541"/>
      <c r="CR102" s="541"/>
      <c r="CS102" s="541"/>
      <c r="CT102" s="541"/>
      <c r="CU102" s="541"/>
      <c r="CV102" s="541"/>
      <c r="CW102" s="541"/>
      <c r="CX102" s="541"/>
      <c r="CY102" s="541"/>
      <c r="CZ102" s="541"/>
      <c r="DA102" s="541"/>
      <c r="DB102" s="541"/>
      <c r="DC102" s="541"/>
      <c r="DD102" s="541"/>
      <c r="DE102" s="541"/>
      <c r="DF102" s="541"/>
      <c r="DG102" s="541"/>
      <c r="DH102" s="541"/>
      <c r="DI102" s="541"/>
      <c r="DJ102" s="541"/>
      <c r="DK102" s="541"/>
      <c r="DL102" s="541"/>
      <c r="DM102" s="541"/>
      <c r="DN102" s="541"/>
      <c r="DO102" s="541"/>
      <c r="DP102" s="541"/>
      <c r="DQ102" s="541"/>
      <c r="DR102" s="541"/>
      <c r="DS102" s="541"/>
      <c r="DT102" s="541"/>
      <c r="DU102" s="541"/>
      <c r="DV102" s="541"/>
      <c r="DW102" s="541"/>
      <c r="DX102" s="541"/>
      <c r="DY102" s="541"/>
      <c r="DZ102" s="541"/>
      <c r="EA102" s="541"/>
      <c r="EB102" s="541"/>
      <c r="EC102" s="541"/>
      <c r="ED102" s="541"/>
      <c r="EE102" s="541"/>
      <c r="EF102" s="541"/>
      <c r="EG102" s="541"/>
      <c r="EH102" s="541"/>
      <c r="EI102" s="541"/>
      <c r="EJ102" s="541"/>
      <c r="EK102" s="541"/>
      <c r="EL102" s="541"/>
      <c r="EM102" s="541"/>
      <c r="EN102" s="541"/>
      <c r="EO102" s="541"/>
      <c r="EP102" s="541"/>
      <c r="EQ102" s="541"/>
      <c r="ER102" s="541"/>
      <c r="ES102" s="541"/>
      <c r="ET102" s="541"/>
      <c r="EU102" s="541"/>
      <c r="EV102" s="541"/>
      <c r="EW102" s="541"/>
      <c r="EX102" s="541"/>
      <c r="EY102" s="541"/>
      <c r="EZ102" s="541"/>
      <c r="FA102" s="541"/>
      <c r="FB102" s="541"/>
      <c r="FC102" s="541"/>
      <c r="FD102" s="541"/>
      <c r="FE102" s="541"/>
      <c r="FF102" s="541"/>
      <c r="FG102" s="541"/>
      <c r="FH102" s="541"/>
      <c r="FI102" s="541"/>
      <c r="FJ102" s="541"/>
      <c r="FK102" s="541"/>
      <c r="FL102" s="541"/>
      <c r="FM102" s="541"/>
      <c r="FN102" s="541"/>
      <c r="FO102" s="541"/>
      <c r="FP102" s="541"/>
      <c r="FQ102" s="541"/>
      <c r="FR102" s="541"/>
      <c r="FS102" s="541"/>
      <c r="FT102" s="541"/>
      <c r="FU102" s="541"/>
      <c r="FV102" s="541"/>
      <c r="FW102" s="541"/>
      <c r="FX102" s="541"/>
      <c r="FY102" s="541"/>
      <c r="FZ102" s="541"/>
      <c r="GA102" s="541"/>
      <c r="GB102" s="541"/>
      <c r="GC102" s="541"/>
      <c r="GD102" s="541"/>
      <c r="GE102" s="541"/>
      <c r="GF102" s="541"/>
      <c r="GG102" s="541"/>
      <c r="GH102" s="541"/>
      <c r="GI102" s="541"/>
      <c r="GJ102" s="541"/>
      <c r="GK102" s="541"/>
      <c r="GL102" s="541"/>
      <c r="GM102" s="541"/>
      <c r="GN102" s="541"/>
      <c r="GO102" s="541"/>
      <c r="GP102" s="541"/>
      <c r="GQ102" s="541"/>
      <c r="GR102" s="541"/>
      <c r="GS102" s="541"/>
      <c r="GT102" s="541"/>
      <c r="GU102" s="541"/>
      <c r="GV102" s="541"/>
      <c r="GW102" s="541"/>
      <c r="GX102" s="541"/>
      <c r="GY102" s="541"/>
      <c r="GZ102" s="541"/>
      <c r="HA102" s="541"/>
      <c r="HB102" s="541"/>
      <c r="HC102" s="541"/>
      <c r="HD102" s="541"/>
      <c r="HE102" s="541"/>
      <c r="HF102" s="541"/>
      <c r="HG102" s="541"/>
      <c r="HH102" s="541"/>
      <c r="HI102" s="541"/>
      <c r="HJ102" s="541"/>
      <c r="HK102" s="541"/>
      <c r="HL102" s="541"/>
      <c r="HM102" s="541"/>
      <c r="HN102" s="541"/>
      <c r="HO102" s="541"/>
    </row>
    <row r="103" spans="24:223" s="542" customFormat="1" ht="12.75">
      <c r="X103" s="541"/>
      <c r="Y103" s="541"/>
      <c r="Z103" s="541"/>
      <c r="AA103" s="541"/>
      <c r="AB103" s="541"/>
      <c r="AC103" s="541"/>
      <c r="AD103" s="541"/>
      <c r="AE103" s="541"/>
      <c r="AF103" s="541"/>
      <c r="AG103" s="541"/>
      <c r="AH103" s="541"/>
      <c r="AI103" s="541"/>
      <c r="AJ103" s="541"/>
      <c r="AK103" s="541"/>
      <c r="AL103" s="541"/>
      <c r="AM103" s="541"/>
      <c r="AN103" s="541"/>
      <c r="AO103" s="541"/>
      <c r="AP103" s="541"/>
      <c r="AQ103" s="541"/>
      <c r="AR103" s="541"/>
      <c r="AS103" s="541"/>
      <c r="AT103" s="541"/>
      <c r="AU103" s="541"/>
      <c r="AV103" s="541"/>
      <c r="AW103" s="541"/>
      <c r="AX103" s="541"/>
      <c r="AY103" s="541"/>
      <c r="AZ103" s="541"/>
      <c r="BA103" s="541"/>
      <c r="BB103" s="541"/>
      <c r="BC103" s="541"/>
      <c r="BD103" s="541"/>
      <c r="BE103" s="541"/>
      <c r="BF103" s="541"/>
      <c r="BG103" s="541"/>
      <c r="BH103" s="541"/>
      <c r="BI103" s="541"/>
      <c r="BJ103" s="541"/>
      <c r="BK103" s="541"/>
      <c r="BL103" s="541"/>
      <c r="BM103" s="541"/>
      <c r="BN103" s="541"/>
      <c r="BO103" s="541"/>
      <c r="BP103" s="541"/>
      <c r="BQ103" s="541"/>
      <c r="BR103" s="541"/>
      <c r="BS103" s="541"/>
      <c r="BT103" s="541"/>
      <c r="BU103" s="541"/>
      <c r="BV103" s="541"/>
      <c r="BW103" s="541"/>
      <c r="BX103" s="541"/>
      <c r="BY103" s="541"/>
      <c r="BZ103" s="541"/>
      <c r="CA103" s="541"/>
      <c r="CB103" s="541"/>
      <c r="CC103" s="541"/>
      <c r="CD103" s="541"/>
      <c r="CE103" s="541"/>
      <c r="CF103" s="541"/>
      <c r="CG103" s="541"/>
      <c r="CH103" s="541"/>
      <c r="CI103" s="541"/>
      <c r="CJ103" s="541"/>
      <c r="CK103" s="541"/>
      <c r="CL103" s="541"/>
      <c r="CM103" s="541"/>
      <c r="CN103" s="541"/>
      <c r="CO103" s="541"/>
      <c r="CP103" s="541"/>
      <c r="CQ103" s="541"/>
      <c r="CR103" s="541"/>
      <c r="CS103" s="541"/>
      <c r="CT103" s="541"/>
      <c r="CU103" s="541"/>
      <c r="CV103" s="541"/>
      <c r="CW103" s="541"/>
      <c r="CX103" s="541"/>
      <c r="CY103" s="541"/>
      <c r="CZ103" s="541"/>
      <c r="DA103" s="541"/>
      <c r="DB103" s="541"/>
      <c r="DC103" s="541"/>
      <c r="DD103" s="541"/>
      <c r="DE103" s="541"/>
      <c r="DF103" s="541"/>
      <c r="DG103" s="541"/>
      <c r="DH103" s="541"/>
      <c r="DI103" s="541"/>
      <c r="DJ103" s="541"/>
      <c r="DK103" s="541"/>
      <c r="DL103" s="541"/>
      <c r="DM103" s="541"/>
      <c r="DN103" s="541"/>
      <c r="DO103" s="541"/>
      <c r="DP103" s="541"/>
      <c r="DQ103" s="541"/>
      <c r="DR103" s="541"/>
      <c r="DS103" s="541"/>
      <c r="DT103" s="541"/>
      <c r="DU103" s="541"/>
      <c r="DV103" s="541"/>
      <c r="DW103" s="541"/>
      <c r="DX103" s="541"/>
      <c r="DY103" s="541"/>
      <c r="DZ103" s="541"/>
      <c r="EA103" s="541"/>
      <c r="EB103" s="541"/>
      <c r="EC103" s="541"/>
      <c r="ED103" s="541"/>
      <c r="EE103" s="541"/>
      <c r="EF103" s="541"/>
      <c r="EG103" s="541"/>
      <c r="EH103" s="541"/>
      <c r="EI103" s="541"/>
      <c r="EJ103" s="541"/>
      <c r="EK103" s="541"/>
      <c r="EL103" s="541"/>
      <c r="EM103" s="541"/>
      <c r="EN103" s="541"/>
      <c r="EO103" s="541"/>
      <c r="EP103" s="541"/>
      <c r="EQ103" s="541"/>
      <c r="ER103" s="541"/>
      <c r="ES103" s="541"/>
      <c r="ET103" s="541"/>
      <c r="EU103" s="541"/>
      <c r="EV103" s="541"/>
      <c r="EW103" s="541"/>
      <c r="EX103" s="541"/>
      <c r="EY103" s="541"/>
      <c r="EZ103" s="541"/>
      <c r="FA103" s="541"/>
      <c r="FB103" s="541"/>
      <c r="FC103" s="541"/>
      <c r="FD103" s="541"/>
      <c r="FE103" s="541"/>
      <c r="FF103" s="541"/>
      <c r="FG103" s="541"/>
      <c r="FH103" s="541"/>
      <c r="FI103" s="541"/>
      <c r="FJ103" s="541"/>
      <c r="FK103" s="541"/>
      <c r="FL103" s="541"/>
      <c r="FM103" s="541"/>
      <c r="FN103" s="541"/>
      <c r="FO103" s="541"/>
      <c r="FP103" s="541"/>
      <c r="FQ103" s="541"/>
      <c r="FR103" s="541"/>
      <c r="FS103" s="541"/>
      <c r="FT103" s="541"/>
      <c r="FU103" s="541"/>
      <c r="FV103" s="541"/>
      <c r="FW103" s="541"/>
      <c r="FX103" s="541"/>
      <c r="FY103" s="541"/>
      <c r="FZ103" s="541"/>
      <c r="GA103" s="541"/>
      <c r="GB103" s="541"/>
      <c r="GC103" s="541"/>
      <c r="GD103" s="541"/>
      <c r="GE103" s="541"/>
      <c r="GF103" s="541"/>
      <c r="GG103" s="541"/>
      <c r="GH103" s="541"/>
      <c r="GI103" s="541"/>
      <c r="GJ103" s="541"/>
      <c r="GK103" s="541"/>
      <c r="GL103" s="541"/>
      <c r="GM103" s="541"/>
      <c r="GN103" s="541"/>
      <c r="GO103" s="541"/>
      <c r="GP103" s="541"/>
      <c r="GQ103" s="541"/>
      <c r="GR103" s="541"/>
      <c r="GS103" s="541"/>
      <c r="GT103" s="541"/>
      <c r="GU103" s="541"/>
      <c r="GV103" s="541"/>
      <c r="GW103" s="541"/>
      <c r="GX103" s="541"/>
      <c r="GY103" s="541"/>
      <c r="GZ103" s="541"/>
      <c r="HA103" s="541"/>
      <c r="HB103" s="541"/>
      <c r="HC103" s="541"/>
      <c r="HD103" s="541"/>
      <c r="HE103" s="541"/>
      <c r="HF103" s="541"/>
      <c r="HG103" s="541"/>
      <c r="HH103" s="541"/>
      <c r="HI103" s="541"/>
      <c r="HJ103" s="541"/>
      <c r="HK103" s="541"/>
      <c r="HL103" s="541"/>
      <c r="HM103" s="541"/>
      <c r="HN103" s="541"/>
      <c r="HO103" s="541"/>
    </row>
    <row r="104" spans="24:223" s="542" customFormat="1" ht="12.75">
      <c r="X104" s="541"/>
      <c r="Y104" s="541"/>
      <c r="Z104" s="541"/>
      <c r="AA104" s="541"/>
      <c r="AB104" s="541"/>
      <c r="AC104" s="541"/>
      <c r="AD104" s="541"/>
      <c r="AE104" s="541"/>
      <c r="AF104" s="541"/>
      <c r="AG104" s="541"/>
      <c r="AH104" s="541"/>
      <c r="AI104" s="541"/>
      <c r="AJ104" s="541"/>
      <c r="AK104" s="541"/>
      <c r="AL104" s="541"/>
      <c r="AM104" s="541"/>
      <c r="AN104" s="541"/>
      <c r="AO104" s="541"/>
      <c r="AP104" s="541"/>
      <c r="AQ104" s="541"/>
      <c r="AR104" s="541"/>
      <c r="AS104" s="541"/>
      <c r="AT104" s="541"/>
      <c r="AU104" s="541"/>
      <c r="AV104" s="541"/>
      <c r="AW104" s="541"/>
      <c r="AX104" s="541"/>
      <c r="AY104" s="541"/>
      <c r="AZ104" s="541"/>
      <c r="BA104" s="541"/>
      <c r="BB104" s="541"/>
      <c r="BC104" s="541"/>
      <c r="BD104" s="541"/>
      <c r="BE104" s="541"/>
      <c r="BF104" s="541"/>
      <c r="BG104" s="541"/>
      <c r="BH104" s="541"/>
      <c r="BI104" s="541"/>
      <c r="BJ104" s="541"/>
      <c r="BK104" s="541"/>
      <c r="BL104" s="541"/>
      <c r="BM104" s="541"/>
      <c r="BN104" s="541"/>
      <c r="BO104" s="541"/>
      <c r="BP104" s="541"/>
      <c r="BQ104" s="541"/>
      <c r="BR104" s="541"/>
      <c r="BS104" s="541"/>
      <c r="BT104" s="541"/>
      <c r="BU104" s="541"/>
      <c r="BV104" s="541"/>
      <c r="BW104" s="541"/>
      <c r="BX104" s="541"/>
      <c r="BY104" s="541"/>
      <c r="BZ104" s="541"/>
      <c r="CA104" s="541"/>
      <c r="CB104" s="541"/>
      <c r="CC104" s="541"/>
      <c r="CD104" s="541"/>
      <c r="CE104" s="541"/>
      <c r="CF104" s="541"/>
      <c r="CG104" s="541"/>
      <c r="CH104" s="541"/>
      <c r="CI104" s="541"/>
      <c r="CJ104" s="541"/>
      <c r="CK104" s="541"/>
      <c r="CL104" s="541"/>
      <c r="CM104" s="541"/>
      <c r="CN104" s="541"/>
      <c r="CO104" s="541"/>
      <c r="CP104" s="541"/>
      <c r="CQ104" s="541"/>
      <c r="CR104" s="541"/>
      <c r="CS104" s="541"/>
      <c r="CT104" s="541"/>
      <c r="CU104" s="541"/>
      <c r="CV104" s="541"/>
      <c r="CW104" s="541"/>
      <c r="CX104" s="541"/>
      <c r="CY104" s="541"/>
      <c r="CZ104" s="541"/>
      <c r="DA104" s="541"/>
      <c r="DB104" s="541"/>
      <c r="DC104" s="541"/>
      <c r="DD104" s="541"/>
      <c r="DE104" s="541"/>
      <c r="DF104" s="541"/>
      <c r="DG104" s="541"/>
      <c r="DH104" s="541"/>
      <c r="DI104" s="541"/>
      <c r="DJ104" s="541"/>
      <c r="DK104" s="541"/>
      <c r="DL104" s="541"/>
      <c r="DM104" s="541"/>
      <c r="DN104" s="541"/>
      <c r="DO104" s="541"/>
      <c r="DP104" s="541"/>
      <c r="DQ104" s="541"/>
      <c r="DR104" s="541"/>
      <c r="DS104" s="541"/>
      <c r="DT104" s="541"/>
      <c r="DU104" s="541"/>
      <c r="DV104" s="541"/>
      <c r="DW104" s="541"/>
      <c r="DX104" s="541"/>
      <c r="DY104" s="541"/>
      <c r="DZ104" s="541"/>
      <c r="EA104" s="541"/>
      <c r="EB104" s="541"/>
      <c r="EC104" s="541"/>
      <c r="ED104" s="541"/>
      <c r="EE104" s="541"/>
      <c r="EF104" s="541"/>
      <c r="EG104" s="541"/>
      <c r="EH104" s="541"/>
      <c r="EI104" s="541"/>
      <c r="EJ104" s="541"/>
      <c r="EK104" s="541"/>
      <c r="EL104" s="541"/>
      <c r="EM104" s="541"/>
      <c r="EN104" s="541"/>
      <c r="EO104" s="541"/>
      <c r="EP104" s="541"/>
      <c r="EQ104" s="541"/>
      <c r="ER104" s="541"/>
      <c r="ES104" s="541"/>
      <c r="ET104" s="541"/>
      <c r="EU104" s="541"/>
      <c r="EV104" s="541"/>
      <c r="EW104" s="541"/>
      <c r="EX104" s="541"/>
      <c r="EY104" s="541"/>
      <c r="EZ104" s="541"/>
      <c r="FA104" s="541"/>
      <c r="FB104" s="541"/>
      <c r="FC104" s="541"/>
      <c r="FD104" s="541"/>
      <c r="FE104" s="541"/>
      <c r="FF104" s="541"/>
      <c r="FG104" s="541"/>
      <c r="FH104" s="541"/>
      <c r="FI104" s="541"/>
      <c r="FJ104" s="541"/>
      <c r="FK104" s="541"/>
      <c r="FL104" s="541"/>
      <c r="FM104" s="541"/>
      <c r="FN104" s="541"/>
      <c r="FO104" s="541"/>
      <c r="FP104" s="541"/>
      <c r="FQ104" s="541"/>
      <c r="FR104" s="541"/>
      <c r="FS104" s="541"/>
      <c r="FT104" s="541"/>
      <c r="FU104" s="541"/>
      <c r="FV104" s="541"/>
      <c r="FW104" s="541"/>
      <c r="FX104" s="541"/>
      <c r="FY104" s="541"/>
      <c r="FZ104" s="541"/>
      <c r="GA104" s="541"/>
      <c r="GB104" s="541"/>
      <c r="GC104" s="541"/>
      <c r="GD104" s="541"/>
      <c r="GE104" s="541"/>
      <c r="GF104" s="541"/>
      <c r="GG104" s="541"/>
      <c r="GH104" s="541"/>
      <c r="GI104" s="541"/>
      <c r="GJ104" s="541"/>
      <c r="GK104" s="541"/>
      <c r="GL104" s="541"/>
      <c r="GM104" s="541"/>
      <c r="GN104" s="541"/>
      <c r="GO104" s="541"/>
      <c r="GP104" s="541"/>
      <c r="GQ104" s="541"/>
      <c r="GR104" s="541"/>
      <c r="GS104" s="541"/>
      <c r="GT104" s="541"/>
      <c r="GU104" s="541"/>
      <c r="GV104" s="541"/>
      <c r="GW104" s="541"/>
      <c r="GX104" s="541"/>
      <c r="GY104" s="541"/>
      <c r="GZ104" s="541"/>
      <c r="HA104" s="541"/>
      <c r="HB104" s="541"/>
      <c r="HC104" s="541"/>
      <c r="HD104" s="541"/>
      <c r="HE104" s="541"/>
      <c r="HF104" s="541"/>
      <c r="HG104" s="541"/>
      <c r="HH104" s="541"/>
      <c r="HI104" s="541"/>
      <c r="HJ104" s="541"/>
      <c r="HK104" s="541"/>
      <c r="HL104" s="541"/>
      <c r="HM104" s="541"/>
      <c r="HN104" s="541"/>
      <c r="HO104" s="541"/>
    </row>
    <row r="105" spans="24:223" s="542" customFormat="1" ht="12.75">
      <c r="X105" s="541"/>
      <c r="Y105" s="541"/>
      <c r="Z105" s="541"/>
      <c r="AA105" s="541"/>
      <c r="AB105" s="541"/>
      <c r="AC105" s="541"/>
      <c r="AD105" s="541"/>
      <c r="AE105" s="541"/>
      <c r="AF105" s="541"/>
      <c r="AG105" s="541"/>
      <c r="AH105" s="541"/>
      <c r="AI105" s="541"/>
      <c r="AJ105" s="541"/>
      <c r="AK105" s="541"/>
      <c r="AL105" s="541"/>
      <c r="AM105" s="541"/>
      <c r="AN105" s="541"/>
      <c r="AO105" s="541"/>
      <c r="AP105" s="541"/>
      <c r="AQ105" s="541"/>
      <c r="AR105" s="541"/>
      <c r="AS105" s="541"/>
      <c r="AT105" s="541"/>
      <c r="AU105" s="541"/>
      <c r="AV105" s="541"/>
      <c r="AW105" s="541"/>
      <c r="AX105" s="541"/>
      <c r="AY105" s="541"/>
      <c r="AZ105" s="541"/>
      <c r="BA105" s="541"/>
      <c r="BB105" s="541"/>
      <c r="BC105" s="541"/>
      <c r="BD105" s="541"/>
      <c r="BE105" s="541"/>
      <c r="BF105" s="541"/>
      <c r="BG105" s="541"/>
      <c r="BH105" s="541"/>
      <c r="BI105" s="541"/>
      <c r="BJ105" s="541"/>
      <c r="BK105" s="541"/>
      <c r="BL105" s="541"/>
      <c r="BM105" s="541"/>
      <c r="BN105" s="541"/>
      <c r="BO105" s="541"/>
      <c r="BP105" s="541"/>
      <c r="BQ105" s="541"/>
      <c r="BR105" s="541"/>
      <c r="BS105" s="541"/>
      <c r="BT105" s="541"/>
      <c r="BU105" s="541"/>
      <c r="BV105" s="541"/>
      <c r="BW105" s="541"/>
      <c r="BX105" s="541"/>
      <c r="BY105" s="541"/>
      <c r="BZ105" s="541"/>
      <c r="CA105" s="541"/>
      <c r="CB105" s="541"/>
      <c r="CC105" s="541"/>
      <c r="CD105" s="541"/>
      <c r="CE105" s="541"/>
      <c r="CF105" s="541"/>
      <c r="CG105" s="541"/>
      <c r="CH105" s="541"/>
      <c r="CI105" s="541"/>
      <c r="CJ105" s="541"/>
      <c r="CK105" s="541"/>
      <c r="CL105" s="541"/>
      <c r="CM105" s="541"/>
      <c r="CN105" s="541"/>
      <c r="CO105" s="541"/>
      <c r="CP105" s="541"/>
      <c r="CQ105" s="541"/>
      <c r="CR105" s="541"/>
      <c r="CS105" s="541"/>
      <c r="CT105" s="541"/>
      <c r="CU105" s="541"/>
      <c r="CV105" s="541"/>
      <c r="CW105" s="541"/>
      <c r="CX105" s="541"/>
      <c r="CY105" s="541"/>
      <c r="CZ105" s="541"/>
      <c r="DA105" s="541"/>
      <c r="DB105" s="541"/>
      <c r="DC105" s="541"/>
      <c r="DD105" s="541"/>
      <c r="DE105" s="541"/>
      <c r="DF105" s="541"/>
      <c r="DG105" s="541"/>
      <c r="DH105" s="541"/>
      <c r="DI105" s="541"/>
      <c r="DJ105" s="541"/>
      <c r="DK105" s="541"/>
      <c r="DL105" s="541"/>
      <c r="DM105" s="541"/>
      <c r="DN105" s="541"/>
      <c r="DO105" s="541"/>
      <c r="DP105" s="541"/>
      <c r="DQ105" s="541"/>
      <c r="DR105" s="541"/>
      <c r="DS105" s="541"/>
      <c r="DT105" s="541"/>
      <c r="DU105" s="541"/>
      <c r="DV105" s="541"/>
      <c r="DW105" s="541"/>
      <c r="DX105" s="541"/>
      <c r="DY105" s="541"/>
      <c r="DZ105" s="541"/>
      <c r="EA105" s="541"/>
      <c r="EB105" s="541"/>
      <c r="EC105" s="541"/>
      <c r="ED105" s="541"/>
      <c r="EE105" s="541"/>
      <c r="EF105" s="541"/>
      <c r="EG105" s="541"/>
      <c r="EH105" s="541"/>
      <c r="EI105" s="541"/>
      <c r="EJ105" s="541"/>
      <c r="EK105" s="541"/>
      <c r="EL105" s="541"/>
      <c r="EM105" s="541"/>
      <c r="EN105" s="541"/>
      <c r="EO105" s="541"/>
      <c r="EP105" s="541"/>
      <c r="EQ105" s="541"/>
      <c r="ER105" s="541"/>
      <c r="ES105" s="541"/>
      <c r="ET105" s="541"/>
      <c r="EU105" s="541"/>
      <c r="EV105" s="541"/>
      <c r="EW105" s="541"/>
      <c r="EX105" s="541"/>
      <c r="EY105" s="541"/>
      <c r="EZ105" s="541"/>
      <c r="FA105" s="541"/>
      <c r="FB105" s="541"/>
      <c r="FC105" s="541"/>
      <c r="FD105" s="541"/>
      <c r="FE105" s="541"/>
      <c r="FF105" s="541"/>
      <c r="FG105" s="541"/>
      <c r="FH105" s="541"/>
      <c r="FI105" s="541"/>
      <c r="FJ105" s="541"/>
      <c r="FK105" s="541"/>
      <c r="FL105" s="541"/>
      <c r="FM105" s="541"/>
      <c r="FN105" s="541"/>
      <c r="FO105" s="541"/>
      <c r="FP105" s="541"/>
      <c r="FQ105" s="541"/>
      <c r="FR105" s="541"/>
      <c r="FS105" s="541"/>
      <c r="FT105" s="541"/>
      <c r="FU105" s="541"/>
      <c r="FV105" s="541"/>
      <c r="FW105" s="541"/>
      <c r="FX105" s="541"/>
      <c r="FY105" s="541"/>
      <c r="FZ105" s="541"/>
      <c r="GA105" s="541"/>
      <c r="GB105" s="541"/>
      <c r="GC105" s="541"/>
      <c r="GD105" s="541"/>
      <c r="GE105" s="541"/>
      <c r="GF105" s="541"/>
      <c r="GG105" s="541"/>
      <c r="GH105" s="541"/>
      <c r="GI105" s="541"/>
      <c r="GJ105" s="541"/>
      <c r="GK105" s="541"/>
      <c r="GL105" s="541"/>
      <c r="GM105" s="541"/>
      <c r="GN105" s="541"/>
      <c r="GO105" s="541"/>
      <c r="GP105" s="541"/>
      <c r="GQ105" s="541"/>
      <c r="GR105" s="541"/>
      <c r="GS105" s="541"/>
      <c r="GT105" s="541"/>
      <c r="GU105" s="541"/>
      <c r="GV105" s="541"/>
      <c r="GW105" s="541"/>
      <c r="GX105" s="541"/>
      <c r="GY105" s="541"/>
      <c r="GZ105" s="541"/>
      <c r="HA105" s="541"/>
      <c r="HB105" s="541"/>
      <c r="HC105" s="541"/>
      <c r="HD105" s="541"/>
      <c r="HE105" s="541"/>
      <c r="HF105" s="541"/>
      <c r="HG105" s="541"/>
      <c r="HH105" s="541"/>
      <c r="HI105" s="541"/>
      <c r="HJ105" s="541"/>
      <c r="HK105" s="541"/>
      <c r="HL105" s="541"/>
      <c r="HM105" s="541"/>
      <c r="HN105" s="541"/>
      <c r="HO105" s="541"/>
    </row>
    <row r="106" spans="24:223" s="542" customFormat="1" ht="12.75">
      <c r="X106" s="541"/>
      <c r="Y106" s="541"/>
      <c r="Z106" s="541"/>
      <c r="AA106" s="541"/>
      <c r="AB106" s="541"/>
      <c r="AC106" s="541"/>
      <c r="AD106" s="541"/>
      <c r="AE106" s="541"/>
      <c r="AF106" s="541"/>
      <c r="AG106" s="541"/>
      <c r="AH106" s="541"/>
      <c r="AI106" s="541"/>
      <c r="AJ106" s="541"/>
      <c r="AK106" s="541"/>
      <c r="AL106" s="541"/>
      <c r="AM106" s="541"/>
      <c r="AN106" s="541"/>
      <c r="AO106" s="541"/>
      <c r="AP106" s="541"/>
      <c r="AQ106" s="541"/>
      <c r="AR106" s="541"/>
      <c r="AS106" s="541"/>
      <c r="AT106" s="541"/>
      <c r="AU106" s="541"/>
      <c r="AV106" s="541"/>
      <c r="AW106" s="541"/>
      <c r="AX106" s="541"/>
      <c r="AY106" s="541"/>
      <c r="AZ106" s="541"/>
      <c r="BA106" s="541"/>
      <c r="BB106" s="541"/>
      <c r="BC106" s="541"/>
      <c r="BD106" s="541"/>
      <c r="BE106" s="541"/>
      <c r="BF106" s="541"/>
      <c r="BG106" s="541"/>
      <c r="BH106" s="541"/>
      <c r="BI106" s="541"/>
      <c r="BJ106" s="541"/>
      <c r="BK106" s="541"/>
      <c r="BL106" s="541"/>
      <c r="BM106" s="541"/>
      <c r="BN106" s="541"/>
      <c r="BO106" s="541"/>
      <c r="BP106" s="541"/>
      <c r="BQ106" s="541"/>
      <c r="BR106" s="541"/>
      <c r="BS106" s="541"/>
      <c r="BT106" s="541"/>
      <c r="BU106" s="541"/>
      <c r="BV106" s="541"/>
      <c r="BW106" s="541"/>
      <c r="BX106" s="541"/>
      <c r="BY106" s="541"/>
      <c r="BZ106" s="541"/>
      <c r="CA106" s="541"/>
      <c r="CB106" s="541"/>
      <c r="CC106" s="541"/>
      <c r="CD106" s="541"/>
      <c r="CE106" s="541"/>
      <c r="CF106" s="541"/>
      <c r="CG106" s="541"/>
      <c r="CH106" s="541"/>
      <c r="CI106" s="541"/>
      <c r="CJ106" s="541"/>
      <c r="CK106" s="541"/>
      <c r="CL106" s="541"/>
      <c r="CM106" s="541"/>
      <c r="CN106" s="541"/>
      <c r="CO106" s="541"/>
      <c r="CP106" s="541"/>
      <c r="CQ106" s="541"/>
      <c r="CR106" s="541"/>
      <c r="CS106" s="541"/>
      <c r="CT106" s="541"/>
      <c r="CU106" s="541"/>
      <c r="CV106" s="541"/>
      <c r="CW106" s="541"/>
      <c r="CX106" s="541"/>
      <c r="CY106" s="541"/>
      <c r="CZ106" s="541"/>
      <c r="DA106" s="541"/>
      <c r="DB106" s="541"/>
      <c r="DC106" s="541"/>
      <c r="DD106" s="541"/>
      <c r="DE106" s="541"/>
      <c r="DF106" s="541"/>
      <c r="DG106" s="541"/>
      <c r="DH106" s="541"/>
      <c r="DI106" s="541"/>
      <c r="DJ106" s="541"/>
      <c r="DK106" s="541"/>
      <c r="DL106" s="541"/>
      <c r="DM106" s="541"/>
      <c r="DN106" s="541"/>
      <c r="DO106" s="541"/>
      <c r="DP106" s="541"/>
      <c r="DQ106" s="541"/>
      <c r="DR106" s="541"/>
      <c r="DS106" s="541"/>
      <c r="DT106" s="541"/>
      <c r="DU106" s="541"/>
      <c r="DV106" s="541"/>
      <c r="DW106" s="541"/>
      <c r="DX106" s="541"/>
      <c r="DY106" s="541"/>
      <c r="DZ106" s="541"/>
      <c r="EA106" s="541"/>
      <c r="EB106" s="541"/>
      <c r="EC106" s="541"/>
      <c r="ED106" s="541"/>
      <c r="EE106" s="541"/>
      <c r="EF106" s="541"/>
      <c r="EG106" s="541"/>
      <c r="EH106" s="541"/>
      <c r="EI106" s="541"/>
      <c r="EJ106" s="541"/>
      <c r="EK106" s="541"/>
      <c r="EL106" s="541"/>
      <c r="EM106" s="541"/>
      <c r="EN106" s="541"/>
      <c r="EO106" s="541"/>
      <c r="EP106" s="541"/>
      <c r="EQ106" s="541"/>
      <c r="ER106" s="541"/>
      <c r="ES106" s="541"/>
      <c r="ET106" s="541"/>
      <c r="EU106" s="541"/>
      <c r="EV106" s="541"/>
      <c r="EW106" s="541"/>
      <c r="EX106" s="541"/>
      <c r="EY106" s="541"/>
      <c r="EZ106" s="541"/>
      <c r="FA106" s="541"/>
      <c r="FB106" s="541"/>
      <c r="FC106" s="541"/>
      <c r="FD106" s="541"/>
      <c r="FE106" s="541"/>
      <c r="FF106" s="541"/>
      <c r="FG106" s="541"/>
      <c r="FH106" s="541"/>
      <c r="FI106" s="541"/>
      <c r="FJ106" s="541"/>
      <c r="FK106" s="541"/>
      <c r="FL106" s="541"/>
      <c r="FM106" s="541"/>
      <c r="FN106" s="541"/>
      <c r="FO106" s="541"/>
      <c r="FP106" s="541"/>
      <c r="FQ106" s="541"/>
      <c r="FR106" s="541"/>
      <c r="FS106" s="541"/>
      <c r="FT106" s="541"/>
      <c r="FU106" s="541"/>
      <c r="FV106" s="541"/>
      <c r="FW106" s="541"/>
      <c r="FX106" s="541"/>
      <c r="FY106" s="541"/>
      <c r="FZ106" s="541"/>
      <c r="GA106" s="541"/>
      <c r="GB106" s="541"/>
      <c r="GC106" s="541"/>
      <c r="GD106" s="541"/>
      <c r="GE106" s="541"/>
      <c r="GF106" s="541"/>
      <c r="GG106" s="541"/>
      <c r="GH106" s="541"/>
      <c r="GI106" s="541"/>
      <c r="GJ106" s="541"/>
      <c r="GK106" s="541"/>
      <c r="GL106" s="541"/>
      <c r="GM106" s="541"/>
      <c r="GN106" s="541"/>
      <c r="GO106" s="541"/>
      <c r="GP106" s="541"/>
      <c r="GQ106" s="541"/>
      <c r="GR106" s="541"/>
      <c r="GS106" s="541"/>
      <c r="GT106" s="541"/>
      <c r="GU106" s="541"/>
      <c r="GV106" s="541"/>
      <c r="GW106" s="541"/>
      <c r="GX106" s="541"/>
      <c r="GY106" s="541"/>
      <c r="GZ106" s="541"/>
      <c r="HA106" s="541"/>
      <c r="HB106" s="541"/>
      <c r="HC106" s="541"/>
      <c r="HD106" s="541"/>
      <c r="HE106" s="541"/>
      <c r="HF106" s="541"/>
      <c r="HG106" s="541"/>
      <c r="HH106" s="541"/>
      <c r="HI106" s="541"/>
      <c r="HJ106" s="541"/>
      <c r="HK106" s="541"/>
      <c r="HL106" s="541"/>
      <c r="HM106" s="541"/>
      <c r="HN106" s="541"/>
      <c r="HO106" s="541"/>
    </row>
    <row r="107" spans="24:223" s="542" customFormat="1" ht="12.75"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1"/>
      <c r="AK107" s="541"/>
      <c r="AL107" s="541"/>
      <c r="AM107" s="541"/>
      <c r="AN107" s="541"/>
      <c r="AO107" s="541"/>
      <c r="AP107" s="541"/>
      <c r="AQ107" s="541"/>
      <c r="AR107" s="541"/>
      <c r="AS107" s="541"/>
      <c r="AT107" s="541"/>
      <c r="AU107" s="541"/>
      <c r="AV107" s="541"/>
      <c r="AW107" s="541"/>
      <c r="AX107" s="541"/>
      <c r="AY107" s="541"/>
      <c r="AZ107" s="541"/>
      <c r="BA107" s="541"/>
      <c r="BB107" s="541"/>
      <c r="BC107" s="541"/>
      <c r="BD107" s="541"/>
      <c r="BE107" s="541"/>
      <c r="BF107" s="541"/>
      <c r="BG107" s="541"/>
      <c r="BH107" s="541"/>
      <c r="BI107" s="541"/>
      <c r="BJ107" s="541"/>
      <c r="BK107" s="541"/>
      <c r="BL107" s="541"/>
      <c r="BM107" s="541"/>
      <c r="BN107" s="541"/>
      <c r="BO107" s="541"/>
      <c r="BP107" s="541"/>
      <c r="BQ107" s="541"/>
      <c r="BR107" s="541"/>
      <c r="BS107" s="541"/>
      <c r="BT107" s="541"/>
      <c r="BU107" s="541"/>
      <c r="BV107" s="541"/>
      <c r="BW107" s="541"/>
      <c r="BX107" s="541"/>
      <c r="BY107" s="541"/>
      <c r="BZ107" s="541"/>
      <c r="CA107" s="541"/>
      <c r="CB107" s="541"/>
      <c r="CC107" s="541"/>
      <c r="CD107" s="541"/>
      <c r="CE107" s="541"/>
      <c r="CF107" s="541"/>
      <c r="CG107" s="541"/>
      <c r="CH107" s="541"/>
      <c r="CI107" s="541"/>
      <c r="CJ107" s="541"/>
      <c r="CK107" s="541"/>
      <c r="CL107" s="541"/>
      <c r="CM107" s="541"/>
      <c r="CN107" s="541"/>
      <c r="CO107" s="541"/>
      <c r="CP107" s="541"/>
      <c r="CQ107" s="541"/>
      <c r="CR107" s="541"/>
      <c r="CS107" s="541"/>
      <c r="CT107" s="541"/>
      <c r="CU107" s="541"/>
      <c r="CV107" s="541"/>
      <c r="CW107" s="541"/>
      <c r="CX107" s="541"/>
      <c r="CY107" s="541"/>
      <c r="CZ107" s="541"/>
      <c r="DA107" s="541"/>
      <c r="DB107" s="541"/>
      <c r="DC107" s="541"/>
      <c r="DD107" s="541"/>
      <c r="DE107" s="541"/>
      <c r="DF107" s="541"/>
      <c r="DG107" s="541"/>
      <c r="DH107" s="541"/>
      <c r="DI107" s="541"/>
      <c r="DJ107" s="541"/>
      <c r="DK107" s="541"/>
      <c r="DL107" s="541"/>
      <c r="DM107" s="541"/>
      <c r="DN107" s="541"/>
      <c r="DO107" s="541"/>
      <c r="DP107" s="541"/>
      <c r="DQ107" s="541"/>
      <c r="DR107" s="541"/>
      <c r="DS107" s="541"/>
      <c r="DT107" s="541"/>
      <c r="DU107" s="541"/>
      <c r="DV107" s="541"/>
      <c r="DW107" s="541"/>
      <c r="DX107" s="541"/>
      <c r="DY107" s="541"/>
      <c r="DZ107" s="541"/>
      <c r="EA107" s="541"/>
      <c r="EB107" s="541"/>
      <c r="EC107" s="541"/>
      <c r="ED107" s="541"/>
      <c r="EE107" s="541"/>
      <c r="EF107" s="541"/>
      <c r="EG107" s="541"/>
      <c r="EH107" s="541"/>
      <c r="EI107" s="541"/>
      <c r="EJ107" s="541"/>
      <c r="EK107" s="541"/>
      <c r="EL107" s="541"/>
      <c r="EM107" s="541"/>
      <c r="EN107" s="541"/>
      <c r="EO107" s="541"/>
      <c r="EP107" s="541"/>
      <c r="EQ107" s="541"/>
      <c r="ER107" s="541"/>
      <c r="ES107" s="541"/>
      <c r="ET107" s="541"/>
      <c r="EU107" s="541"/>
      <c r="EV107" s="541"/>
      <c r="EW107" s="541"/>
      <c r="EX107" s="541"/>
      <c r="EY107" s="541"/>
      <c r="EZ107" s="541"/>
      <c r="FA107" s="541"/>
      <c r="FB107" s="541"/>
      <c r="FC107" s="541"/>
      <c r="FD107" s="541"/>
      <c r="FE107" s="541"/>
      <c r="FF107" s="541"/>
      <c r="FG107" s="541"/>
      <c r="FH107" s="541"/>
      <c r="FI107" s="541"/>
      <c r="FJ107" s="541"/>
      <c r="FK107" s="541"/>
      <c r="FL107" s="541"/>
      <c r="FM107" s="541"/>
      <c r="FN107" s="541"/>
      <c r="FO107" s="541"/>
      <c r="FP107" s="541"/>
      <c r="FQ107" s="541"/>
      <c r="FR107" s="541"/>
      <c r="FS107" s="541"/>
      <c r="FT107" s="541"/>
      <c r="FU107" s="541"/>
      <c r="FV107" s="541"/>
      <c r="FW107" s="541"/>
      <c r="FX107" s="541"/>
      <c r="FY107" s="541"/>
      <c r="FZ107" s="541"/>
      <c r="GA107" s="541"/>
      <c r="GB107" s="541"/>
      <c r="GC107" s="541"/>
      <c r="GD107" s="541"/>
      <c r="GE107" s="541"/>
      <c r="GF107" s="541"/>
      <c r="GG107" s="541"/>
      <c r="GH107" s="541"/>
      <c r="GI107" s="541"/>
      <c r="GJ107" s="541"/>
      <c r="GK107" s="541"/>
      <c r="GL107" s="541"/>
      <c r="GM107" s="541"/>
      <c r="GN107" s="541"/>
      <c r="GO107" s="541"/>
      <c r="GP107" s="541"/>
      <c r="GQ107" s="541"/>
      <c r="GR107" s="541"/>
      <c r="GS107" s="541"/>
      <c r="GT107" s="541"/>
      <c r="GU107" s="541"/>
      <c r="GV107" s="541"/>
      <c r="GW107" s="541"/>
      <c r="GX107" s="541"/>
      <c r="GY107" s="541"/>
      <c r="GZ107" s="541"/>
      <c r="HA107" s="541"/>
      <c r="HB107" s="541"/>
      <c r="HC107" s="541"/>
      <c r="HD107" s="541"/>
      <c r="HE107" s="541"/>
      <c r="HF107" s="541"/>
      <c r="HG107" s="541"/>
      <c r="HH107" s="541"/>
      <c r="HI107" s="541"/>
      <c r="HJ107" s="541"/>
      <c r="HK107" s="541"/>
      <c r="HL107" s="541"/>
      <c r="HM107" s="541"/>
      <c r="HN107" s="541"/>
      <c r="HO107" s="541"/>
    </row>
    <row r="108" spans="24:223" s="542" customFormat="1" ht="12.75">
      <c r="X108" s="541"/>
      <c r="Y108" s="541"/>
      <c r="Z108" s="541"/>
      <c r="AA108" s="541"/>
      <c r="AB108" s="541"/>
      <c r="AC108" s="541"/>
      <c r="AD108" s="541"/>
      <c r="AE108" s="541"/>
      <c r="AF108" s="541"/>
      <c r="AG108" s="541"/>
      <c r="AH108" s="541"/>
      <c r="AI108" s="541"/>
      <c r="AJ108" s="541"/>
      <c r="AK108" s="541"/>
      <c r="AL108" s="541"/>
      <c r="AM108" s="541"/>
      <c r="AN108" s="541"/>
      <c r="AO108" s="541"/>
      <c r="AP108" s="541"/>
      <c r="AQ108" s="541"/>
      <c r="AR108" s="541"/>
      <c r="AS108" s="541"/>
      <c r="AT108" s="541"/>
      <c r="AU108" s="541"/>
      <c r="AV108" s="541"/>
      <c r="AW108" s="541"/>
      <c r="AX108" s="541"/>
      <c r="AY108" s="541"/>
      <c r="AZ108" s="541"/>
      <c r="BA108" s="541"/>
      <c r="BB108" s="541"/>
      <c r="BC108" s="541"/>
      <c r="BD108" s="541"/>
      <c r="BE108" s="541"/>
      <c r="BF108" s="541"/>
      <c r="BG108" s="541"/>
      <c r="BH108" s="541"/>
      <c r="BI108" s="541"/>
      <c r="BJ108" s="541"/>
      <c r="BK108" s="541"/>
      <c r="BL108" s="541"/>
      <c r="BM108" s="541"/>
      <c r="BN108" s="541"/>
      <c r="BO108" s="541"/>
      <c r="BP108" s="541"/>
      <c r="BQ108" s="541"/>
      <c r="BR108" s="541"/>
      <c r="BS108" s="541"/>
      <c r="BT108" s="541"/>
      <c r="BU108" s="541"/>
      <c r="BV108" s="541"/>
      <c r="BW108" s="541"/>
      <c r="BX108" s="541"/>
      <c r="BY108" s="541"/>
      <c r="BZ108" s="541"/>
      <c r="CA108" s="541"/>
      <c r="CB108" s="541"/>
      <c r="CC108" s="541"/>
      <c r="CD108" s="541"/>
      <c r="CE108" s="541"/>
      <c r="CF108" s="541"/>
      <c r="CG108" s="541"/>
      <c r="CH108" s="541"/>
      <c r="CI108" s="541"/>
      <c r="CJ108" s="541"/>
      <c r="CK108" s="541"/>
      <c r="CL108" s="541"/>
      <c r="CM108" s="541"/>
      <c r="CN108" s="541"/>
      <c r="CO108" s="541"/>
      <c r="CP108" s="541"/>
      <c r="CQ108" s="541"/>
      <c r="CR108" s="541"/>
      <c r="CS108" s="541"/>
      <c r="CT108" s="541"/>
      <c r="CU108" s="541"/>
      <c r="CV108" s="541"/>
      <c r="CW108" s="541"/>
      <c r="CX108" s="541"/>
      <c r="CY108" s="541"/>
      <c r="CZ108" s="541"/>
      <c r="DA108" s="541"/>
      <c r="DB108" s="541"/>
      <c r="DC108" s="541"/>
      <c r="DD108" s="541"/>
      <c r="DE108" s="541"/>
      <c r="DF108" s="541"/>
      <c r="DG108" s="541"/>
      <c r="DH108" s="541"/>
      <c r="DI108" s="541"/>
      <c r="DJ108" s="541"/>
      <c r="DK108" s="541"/>
      <c r="DL108" s="541"/>
      <c r="DM108" s="541"/>
      <c r="DN108" s="541"/>
      <c r="DO108" s="541"/>
      <c r="DP108" s="541"/>
      <c r="DQ108" s="541"/>
      <c r="DR108" s="541"/>
      <c r="DS108" s="541"/>
      <c r="DT108" s="541"/>
      <c r="DU108" s="541"/>
      <c r="DV108" s="541"/>
      <c r="DW108" s="541"/>
      <c r="DX108" s="541"/>
      <c r="DY108" s="541"/>
      <c r="DZ108" s="541"/>
      <c r="EA108" s="541"/>
      <c r="EB108" s="541"/>
      <c r="EC108" s="541"/>
      <c r="ED108" s="541"/>
      <c r="EE108" s="541"/>
      <c r="EF108" s="541"/>
      <c r="EG108" s="541"/>
      <c r="EH108" s="541"/>
      <c r="EI108" s="541"/>
      <c r="EJ108" s="541"/>
      <c r="EK108" s="541"/>
      <c r="EL108" s="541"/>
      <c r="EM108" s="541"/>
      <c r="EN108" s="541"/>
      <c r="EO108" s="541"/>
      <c r="EP108" s="541"/>
      <c r="EQ108" s="541"/>
      <c r="ER108" s="541"/>
      <c r="ES108" s="541"/>
      <c r="ET108" s="541"/>
      <c r="EU108" s="541"/>
      <c r="EV108" s="541"/>
      <c r="EW108" s="541"/>
      <c r="EX108" s="541"/>
      <c r="EY108" s="541"/>
      <c r="EZ108" s="541"/>
      <c r="FA108" s="541"/>
      <c r="FB108" s="541"/>
      <c r="FC108" s="541"/>
      <c r="FD108" s="541"/>
      <c r="FE108" s="541"/>
      <c r="FF108" s="541"/>
      <c r="FG108" s="541"/>
      <c r="FH108" s="541"/>
      <c r="FI108" s="541"/>
      <c r="FJ108" s="541"/>
      <c r="FK108" s="541"/>
      <c r="FL108" s="541"/>
      <c r="FM108" s="541"/>
      <c r="FN108" s="541"/>
      <c r="FO108" s="541"/>
      <c r="FP108" s="541"/>
      <c r="FQ108" s="541"/>
      <c r="FR108" s="541"/>
      <c r="FS108" s="541"/>
      <c r="FT108" s="541"/>
      <c r="FU108" s="541"/>
      <c r="FV108" s="541"/>
      <c r="FW108" s="541"/>
      <c r="FX108" s="541"/>
      <c r="FY108" s="541"/>
      <c r="FZ108" s="541"/>
      <c r="GA108" s="541"/>
      <c r="GB108" s="541"/>
      <c r="GC108" s="541"/>
      <c r="GD108" s="541"/>
      <c r="GE108" s="541"/>
      <c r="GF108" s="541"/>
      <c r="GG108" s="541"/>
      <c r="GH108" s="541"/>
      <c r="GI108" s="541"/>
      <c r="GJ108" s="541"/>
      <c r="GK108" s="541"/>
      <c r="GL108" s="541"/>
      <c r="GM108" s="541"/>
      <c r="GN108" s="541"/>
      <c r="GO108" s="541"/>
      <c r="GP108" s="541"/>
      <c r="GQ108" s="541"/>
      <c r="GR108" s="541"/>
      <c r="GS108" s="541"/>
      <c r="GT108" s="541"/>
      <c r="GU108" s="541"/>
      <c r="GV108" s="541"/>
      <c r="GW108" s="541"/>
      <c r="GX108" s="541"/>
      <c r="GY108" s="541"/>
      <c r="GZ108" s="541"/>
      <c r="HA108" s="541"/>
      <c r="HB108" s="541"/>
      <c r="HC108" s="541"/>
      <c r="HD108" s="541"/>
      <c r="HE108" s="541"/>
      <c r="HF108" s="541"/>
      <c r="HG108" s="541"/>
      <c r="HH108" s="541"/>
      <c r="HI108" s="541"/>
      <c r="HJ108" s="541"/>
      <c r="HK108" s="541"/>
      <c r="HL108" s="541"/>
      <c r="HM108" s="541"/>
      <c r="HN108" s="541"/>
      <c r="HO108" s="541"/>
    </row>
    <row r="109" spans="24:223" s="542" customFormat="1" ht="12.75">
      <c r="X109" s="541"/>
      <c r="Y109" s="541"/>
      <c r="Z109" s="541"/>
      <c r="AA109" s="541"/>
      <c r="AB109" s="541"/>
      <c r="AC109" s="541"/>
      <c r="AD109" s="541"/>
      <c r="AE109" s="541"/>
      <c r="AF109" s="541"/>
      <c r="AG109" s="541"/>
      <c r="AH109" s="541"/>
      <c r="AI109" s="541"/>
      <c r="AJ109" s="541"/>
      <c r="AK109" s="541"/>
      <c r="AL109" s="541"/>
      <c r="AM109" s="541"/>
      <c r="AN109" s="541"/>
      <c r="AO109" s="541"/>
      <c r="AP109" s="541"/>
      <c r="AQ109" s="541"/>
      <c r="AR109" s="541"/>
      <c r="AS109" s="541"/>
      <c r="AT109" s="541"/>
      <c r="AU109" s="541"/>
      <c r="AV109" s="541"/>
      <c r="AW109" s="541"/>
      <c r="AX109" s="541"/>
      <c r="AY109" s="541"/>
      <c r="AZ109" s="541"/>
      <c r="BA109" s="541"/>
      <c r="BB109" s="541"/>
      <c r="BC109" s="541"/>
      <c r="BD109" s="541"/>
      <c r="BE109" s="541"/>
      <c r="BF109" s="541"/>
      <c r="BG109" s="541"/>
      <c r="BH109" s="541"/>
      <c r="BI109" s="541"/>
      <c r="BJ109" s="541"/>
      <c r="BK109" s="541"/>
      <c r="BL109" s="541"/>
      <c r="BM109" s="541"/>
      <c r="BN109" s="541"/>
      <c r="BO109" s="541"/>
      <c r="BP109" s="541"/>
      <c r="BQ109" s="541"/>
      <c r="BR109" s="541"/>
      <c r="BS109" s="541"/>
      <c r="BT109" s="541"/>
      <c r="BU109" s="541"/>
      <c r="BV109" s="541"/>
      <c r="BW109" s="541"/>
      <c r="BX109" s="541"/>
      <c r="BY109" s="541"/>
      <c r="BZ109" s="541"/>
      <c r="CA109" s="541"/>
      <c r="CB109" s="541"/>
      <c r="CC109" s="541"/>
      <c r="CD109" s="541"/>
      <c r="CE109" s="541"/>
      <c r="CF109" s="541"/>
      <c r="CG109" s="541"/>
      <c r="CH109" s="541"/>
      <c r="CI109" s="541"/>
      <c r="CJ109" s="541"/>
      <c r="CK109" s="541"/>
      <c r="CL109" s="541"/>
      <c r="CM109" s="541"/>
      <c r="CN109" s="541"/>
      <c r="CO109" s="541"/>
      <c r="CP109" s="541"/>
      <c r="CQ109" s="541"/>
      <c r="CR109" s="541"/>
      <c r="CS109" s="541"/>
      <c r="CT109" s="541"/>
      <c r="CU109" s="541"/>
      <c r="CV109" s="541"/>
      <c r="CW109" s="541"/>
      <c r="CX109" s="541"/>
      <c r="CY109" s="541"/>
      <c r="CZ109" s="541"/>
      <c r="DA109" s="541"/>
      <c r="DB109" s="541"/>
      <c r="DC109" s="541"/>
      <c r="DD109" s="541"/>
      <c r="DE109" s="541"/>
      <c r="DF109" s="541"/>
      <c r="DG109" s="541"/>
      <c r="DH109" s="541"/>
      <c r="DI109" s="541"/>
      <c r="DJ109" s="541"/>
      <c r="DK109" s="541"/>
      <c r="DL109" s="541"/>
      <c r="DM109" s="541"/>
      <c r="DN109" s="541"/>
      <c r="DO109" s="541"/>
      <c r="DP109" s="541"/>
      <c r="DQ109" s="541"/>
      <c r="DR109" s="541"/>
      <c r="DS109" s="541"/>
      <c r="DT109" s="541"/>
      <c r="DU109" s="541"/>
      <c r="DV109" s="541"/>
      <c r="DW109" s="541"/>
      <c r="DX109" s="541"/>
      <c r="DY109" s="541"/>
      <c r="DZ109" s="541"/>
      <c r="EA109" s="541"/>
      <c r="EB109" s="541"/>
      <c r="EC109" s="541"/>
      <c r="ED109" s="541"/>
      <c r="EE109" s="541"/>
      <c r="EF109" s="541"/>
      <c r="EG109" s="541"/>
      <c r="EH109" s="541"/>
      <c r="EI109" s="541"/>
      <c r="EJ109" s="541"/>
      <c r="EK109" s="541"/>
      <c r="EL109" s="541"/>
      <c r="EM109" s="541"/>
      <c r="EN109" s="541"/>
      <c r="EO109" s="541"/>
      <c r="EP109" s="541"/>
      <c r="EQ109" s="541"/>
      <c r="ER109" s="541"/>
      <c r="ES109" s="541"/>
      <c r="ET109" s="541"/>
      <c r="EU109" s="541"/>
      <c r="EV109" s="541"/>
      <c r="EW109" s="541"/>
      <c r="EX109" s="541"/>
      <c r="EY109" s="541"/>
      <c r="EZ109" s="541"/>
      <c r="FA109" s="541"/>
      <c r="FB109" s="541"/>
      <c r="FC109" s="541"/>
      <c r="FD109" s="541"/>
      <c r="FE109" s="541"/>
      <c r="FF109" s="541"/>
      <c r="FG109" s="541"/>
      <c r="FH109" s="541"/>
      <c r="FI109" s="541"/>
      <c r="FJ109" s="541"/>
      <c r="FK109" s="541"/>
      <c r="FL109" s="541"/>
      <c r="FM109" s="541"/>
      <c r="FN109" s="541"/>
      <c r="FO109" s="541"/>
      <c r="FP109" s="541"/>
      <c r="FQ109" s="541"/>
      <c r="FR109" s="541"/>
      <c r="FS109" s="541"/>
      <c r="FT109" s="541"/>
      <c r="FU109" s="541"/>
      <c r="FV109" s="541"/>
      <c r="FW109" s="541"/>
      <c r="FX109" s="541"/>
      <c r="FY109" s="541"/>
      <c r="FZ109" s="541"/>
      <c r="GA109" s="541"/>
      <c r="GB109" s="541"/>
      <c r="GC109" s="541"/>
      <c r="GD109" s="541"/>
      <c r="GE109" s="541"/>
      <c r="GF109" s="541"/>
      <c r="GG109" s="541"/>
      <c r="GH109" s="541"/>
      <c r="GI109" s="541"/>
      <c r="GJ109" s="541"/>
      <c r="GK109" s="541"/>
      <c r="GL109" s="541"/>
      <c r="GM109" s="541"/>
      <c r="GN109" s="541"/>
      <c r="GO109" s="541"/>
      <c r="GP109" s="541"/>
      <c r="GQ109" s="541"/>
      <c r="GR109" s="541"/>
      <c r="GS109" s="541"/>
      <c r="GT109" s="541"/>
      <c r="GU109" s="541"/>
      <c r="GV109" s="541"/>
      <c r="GW109" s="541"/>
      <c r="GX109" s="541"/>
      <c r="GY109" s="541"/>
      <c r="GZ109" s="541"/>
      <c r="HA109" s="541"/>
      <c r="HB109" s="541"/>
      <c r="HC109" s="541"/>
      <c r="HD109" s="541"/>
      <c r="HE109" s="541"/>
      <c r="HF109" s="541"/>
      <c r="HG109" s="541"/>
      <c r="HH109" s="541"/>
      <c r="HI109" s="541"/>
      <c r="HJ109" s="541"/>
      <c r="HK109" s="541"/>
      <c r="HL109" s="541"/>
      <c r="HM109" s="541"/>
      <c r="HN109" s="541"/>
      <c r="HO109" s="541"/>
    </row>
    <row r="110" spans="24:223" s="542" customFormat="1" ht="12.75">
      <c r="X110" s="541"/>
      <c r="Y110" s="541"/>
      <c r="Z110" s="541"/>
      <c r="AA110" s="541"/>
      <c r="AB110" s="541"/>
      <c r="AC110" s="541"/>
      <c r="AD110" s="541"/>
      <c r="AE110" s="541"/>
      <c r="AF110" s="541"/>
      <c r="AG110" s="541"/>
      <c r="AH110" s="541"/>
      <c r="AI110" s="541"/>
      <c r="AJ110" s="541"/>
      <c r="AK110" s="541"/>
      <c r="AL110" s="541"/>
      <c r="AM110" s="541"/>
      <c r="AN110" s="541"/>
      <c r="AO110" s="541"/>
      <c r="AP110" s="541"/>
      <c r="AQ110" s="541"/>
      <c r="AR110" s="541"/>
      <c r="AS110" s="541"/>
      <c r="AT110" s="541"/>
      <c r="AU110" s="541"/>
      <c r="AV110" s="541"/>
      <c r="AW110" s="541"/>
      <c r="AX110" s="541"/>
      <c r="AY110" s="541"/>
      <c r="AZ110" s="541"/>
      <c r="BA110" s="541"/>
      <c r="BB110" s="541"/>
      <c r="BC110" s="541"/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41"/>
      <c r="BO110" s="541"/>
      <c r="BP110" s="541"/>
      <c r="BQ110" s="541"/>
      <c r="BR110" s="541"/>
      <c r="BS110" s="541"/>
      <c r="BT110" s="541"/>
      <c r="BU110" s="541"/>
      <c r="BV110" s="541"/>
      <c r="BW110" s="541"/>
      <c r="BX110" s="541"/>
      <c r="BY110" s="541"/>
      <c r="BZ110" s="541"/>
      <c r="CA110" s="541"/>
      <c r="CB110" s="541"/>
      <c r="CC110" s="541"/>
      <c r="CD110" s="541"/>
      <c r="CE110" s="541"/>
      <c r="CF110" s="541"/>
      <c r="CG110" s="541"/>
      <c r="CH110" s="541"/>
      <c r="CI110" s="541"/>
      <c r="CJ110" s="541"/>
      <c r="CK110" s="541"/>
      <c r="CL110" s="541"/>
      <c r="CM110" s="541"/>
      <c r="CN110" s="541"/>
      <c r="CO110" s="541"/>
      <c r="CP110" s="541"/>
      <c r="CQ110" s="541"/>
      <c r="CR110" s="541"/>
      <c r="CS110" s="541"/>
      <c r="CT110" s="541"/>
      <c r="CU110" s="541"/>
      <c r="CV110" s="541"/>
      <c r="CW110" s="541"/>
      <c r="CX110" s="541"/>
      <c r="CY110" s="541"/>
      <c r="CZ110" s="541"/>
      <c r="DA110" s="541"/>
      <c r="DB110" s="541"/>
      <c r="DC110" s="541"/>
      <c r="DD110" s="541"/>
      <c r="DE110" s="541"/>
      <c r="DF110" s="541"/>
      <c r="DG110" s="541"/>
      <c r="DH110" s="541"/>
      <c r="DI110" s="541"/>
      <c r="DJ110" s="541"/>
      <c r="DK110" s="541"/>
      <c r="DL110" s="541"/>
      <c r="DM110" s="541"/>
      <c r="DN110" s="541"/>
      <c r="DO110" s="541"/>
      <c r="DP110" s="541"/>
      <c r="DQ110" s="541"/>
      <c r="DR110" s="541"/>
      <c r="DS110" s="541"/>
      <c r="DT110" s="541"/>
      <c r="DU110" s="541"/>
      <c r="DV110" s="541"/>
      <c r="DW110" s="541"/>
      <c r="DX110" s="541"/>
      <c r="DY110" s="541"/>
      <c r="DZ110" s="541"/>
      <c r="EA110" s="541"/>
      <c r="EB110" s="541"/>
      <c r="EC110" s="541"/>
      <c r="ED110" s="541"/>
      <c r="EE110" s="541"/>
      <c r="EF110" s="541"/>
      <c r="EG110" s="541"/>
      <c r="EH110" s="541"/>
      <c r="EI110" s="541"/>
      <c r="EJ110" s="541"/>
      <c r="EK110" s="541"/>
      <c r="EL110" s="541"/>
      <c r="EM110" s="541"/>
      <c r="EN110" s="541"/>
      <c r="EO110" s="541"/>
      <c r="EP110" s="541"/>
      <c r="EQ110" s="541"/>
      <c r="ER110" s="541"/>
      <c r="ES110" s="541"/>
      <c r="ET110" s="541"/>
      <c r="EU110" s="541"/>
      <c r="EV110" s="541"/>
      <c r="EW110" s="541"/>
      <c r="EX110" s="541"/>
      <c r="EY110" s="541"/>
      <c r="EZ110" s="541"/>
      <c r="FA110" s="541"/>
      <c r="FB110" s="541"/>
      <c r="FC110" s="541"/>
      <c r="FD110" s="541"/>
      <c r="FE110" s="541"/>
      <c r="FF110" s="541"/>
      <c r="FG110" s="541"/>
      <c r="FH110" s="541"/>
      <c r="FI110" s="541"/>
      <c r="FJ110" s="541"/>
      <c r="FK110" s="541"/>
      <c r="FL110" s="541"/>
      <c r="FM110" s="541"/>
      <c r="FN110" s="541"/>
      <c r="FO110" s="541"/>
      <c r="FP110" s="541"/>
      <c r="FQ110" s="541"/>
      <c r="FR110" s="541"/>
      <c r="FS110" s="541"/>
      <c r="FT110" s="541"/>
      <c r="FU110" s="541"/>
      <c r="FV110" s="541"/>
      <c r="FW110" s="541"/>
      <c r="FX110" s="541"/>
      <c r="FY110" s="541"/>
      <c r="FZ110" s="541"/>
      <c r="GA110" s="541"/>
      <c r="GB110" s="541"/>
      <c r="GC110" s="541"/>
      <c r="GD110" s="541"/>
      <c r="GE110" s="541"/>
      <c r="GF110" s="541"/>
      <c r="GG110" s="541"/>
      <c r="GH110" s="541"/>
      <c r="GI110" s="541"/>
      <c r="GJ110" s="541"/>
      <c r="GK110" s="541"/>
      <c r="GL110" s="541"/>
      <c r="GM110" s="541"/>
      <c r="GN110" s="541"/>
      <c r="GO110" s="541"/>
      <c r="GP110" s="541"/>
      <c r="GQ110" s="541"/>
      <c r="GR110" s="541"/>
      <c r="GS110" s="541"/>
      <c r="GT110" s="541"/>
      <c r="GU110" s="541"/>
      <c r="GV110" s="541"/>
      <c r="GW110" s="541"/>
      <c r="GX110" s="541"/>
      <c r="GY110" s="541"/>
      <c r="GZ110" s="541"/>
      <c r="HA110" s="541"/>
      <c r="HB110" s="541"/>
      <c r="HC110" s="541"/>
      <c r="HD110" s="541"/>
      <c r="HE110" s="541"/>
      <c r="HF110" s="541"/>
      <c r="HG110" s="541"/>
      <c r="HH110" s="541"/>
      <c r="HI110" s="541"/>
      <c r="HJ110" s="541"/>
      <c r="HK110" s="541"/>
      <c r="HL110" s="541"/>
      <c r="HM110" s="541"/>
      <c r="HN110" s="541"/>
      <c r="HO110" s="541"/>
    </row>
    <row r="111" spans="24:223" s="542" customFormat="1" ht="12.75">
      <c r="X111" s="541"/>
      <c r="Y111" s="541"/>
      <c r="Z111" s="541"/>
      <c r="AA111" s="541"/>
      <c r="AB111" s="541"/>
      <c r="AC111" s="541"/>
      <c r="AD111" s="541"/>
      <c r="AE111" s="541"/>
      <c r="AF111" s="541"/>
      <c r="AG111" s="541"/>
      <c r="AH111" s="541"/>
      <c r="AI111" s="541"/>
      <c r="AJ111" s="541"/>
      <c r="AK111" s="541"/>
      <c r="AL111" s="541"/>
      <c r="AM111" s="541"/>
      <c r="AN111" s="541"/>
      <c r="AO111" s="541"/>
      <c r="AP111" s="541"/>
      <c r="AQ111" s="541"/>
      <c r="AR111" s="541"/>
      <c r="AS111" s="541"/>
      <c r="AT111" s="541"/>
      <c r="AU111" s="541"/>
      <c r="AV111" s="541"/>
      <c r="AW111" s="541"/>
      <c r="AX111" s="541"/>
      <c r="AY111" s="541"/>
      <c r="AZ111" s="541"/>
      <c r="BA111" s="541"/>
      <c r="BB111" s="541"/>
      <c r="BC111" s="541"/>
      <c r="BD111" s="541"/>
      <c r="BE111" s="541"/>
      <c r="BF111" s="541"/>
      <c r="BG111" s="541"/>
      <c r="BH111" s="541"/>
      <c r="BI111" s="541"/>
      <c r="BJ111" s="541"/>
      <c r="BK111" s="541"/>
      <c r="BL111" s="541"/>
      <c r="BM111" s="541"/>
      <c r="BN111" s="541"/>
      <c r="BO111" s="541"/>
      <c r="BP111" s="541"/>
      <c r="BQ111" s="541"/>
      <c r="BR111" s="541"/>
      <c r="BS111" s="541"/>
      <c r="BT111" s="541"/>
      <c r="BU111" s="541"/>
      <c r="BV111" s="541"/>
      <c r="BW111" s="541"/>
      <c r="BX111" s="541"/>
      <c r="BY111" s="541"/>
      <c r="BZ111" s="541"/>
      <c r="CA111" s="541"/>
      <c r="CB111" s="541"/>
      <c r="CC111" s="541"/>
      <c r="CD111" s="541"/>
      <c r="CE111" s="541"/>
      <c r="CF111" s="541"/>
      <c r="CG111" s="541"/>
      <c r="CH111" s="541"/>
      <c r="CI111" s="541"/>
      <c r="CJ111" s="541"/>
      <c r="CK111" s="541"/>
      <c r="CL111" s="541"/>
      <c r="CM111" s="541"/>
      <c r="CN111" s="541"/>
      <c r="CO111" s="541"/>
      <c r="CP111" s="541"/>
      <c r="CQ111" s="541"/>
      <c r="CR111" s="541"/>
      <c r="CS111" s="541"/>
      <c r="CT111" s="541"/>
      <c r="CU111" s="541"/>
      <c r="CV111" s="541"/>
      <c r="CW111" s="541"/>
      <c r="CX111" s="541"/>
      <c r="CY111" s="541"/>
      <c r="CZ111" s="541"/>
      <c r="DA111" s="541"/>
      <c r="DB111" s="541"/>
      <c r="DC111" s="541"/>
      <c r="DD111" s="541"/>
      <c r="DE111" s="541"/>
      <c r="DF111" s="541"/>
      <c r="DG111" s="541"/>
      <c r="DH111" s="541"/>
      <c r="DI111" s="541"/>
      <c r="DJ111" s="541"/>
      <c r="DK111" s="541"/>
      <c r="DL111" s="541"/>
      <c r="DM111" s="541"/>
      <c r="DN111" s="541"/>
      <c r="DO111" s="541"/>
      <c r="DP111" s="541"/>
      <c r="DQ111" s="541"/>
      <c r="DR111" s="541"/>
      <c r="DS111" s="541"/>
      <c r="DT111" s="541"/>
      <c r="DU111" s="541"/>
      <c r="DV111" s="541"/>
      <c r="DW111" s="541"/>
      <c r="DX111" s="541"/>
      <c r="DY111" s="541"/>
      <c r="DZ111" s="541"/>
      <c r="EA111" s="541"/>
      <c r="EB111" s="541"/>
      <c r="EC111" s="541"/>
      <c r="ED111" s="541"/>
      <c r="EE111" s="541"/>
      <c r="EF111" s="541"/>
      <c r="EG111" s="541"/>
      <c r="EH111" s="541"/>
      <c r="EI111" s="541"/>
      <c r="EJ111" s="541"/>
      <c r="EK111" s="541"/>
      <c r="EL111" s="541"/>
      <c r="EM111" s="541"/>
      <c r="EN111" s="541"/>
      <c r="EO111" s="541"/>
      <c r="EP111" s="541"/>
      <c r="EQ111" s="541"/>
      <c r="ER111" s="541"/>
      <c r="ES111" s="541"/>
      <c r="ET111" s="541"/>
      <c r="EU111" s="541"/>
      <c r="EV111" s="541"/>
      <c r="EW111" s="541"/>
      <c r="EX111" s="541"/>
      <c r="EY111" s="541"/>
      <c r="EZ111" s="541"/>
      <c r="FA111" s="541"/>
      <c r="FB111" s="541"/>
      <c r="FC111" s="541"/>
      <c r="FD111" s="541"/>
      <c r="FE111" s="541"/>
      <c r="FF111" s="541"/>
      <c r="FG111" s="541"/>
      <c r="FH111" s="541"/>
      <c r="FI111" s="541"/>
      <c r="FJ111" s="541"/>
      <c r="FK111" s="541"/>
      <c r="FL111" s="541"/>
      <c r="FM111" s="541"/>
      <c r="FN111" s="541"/>
      <c r="FO111" s="541"/>
      <c r="FP111" s="541"/>
      <c r="FQ111" s="541"/>
      <c r="FR111" s="541"/>
      <c r="FS111" s="541"/>
      <c r="FT111" s="541"/>
      <c r="FU111" s="541"/>
      <c r="FV111" s="541"/>
      <c r="FW111" s="541"/>
      <c r="FX111" s="541"/>
      <c r="FY111" s="541"/>
      <c r="FZ111" s="541"/>
      <c r="GA111" s="541"/>
      <c r="GB111" s="541"/>
      <c r="GC111" s="541"/>
      <c r="GD111" s="541"/>
      <c r="GE111" s="541"/>
      <c r="GF111" s="541"/>
      <c r="GG111" s="541"/>
      <c r="GH111" s="541"/>
      <c r="GI111" s="541"/>
      <c r="GJ111" s="541"/>
      <c r="GK111" s="541"/>
      <c r="GL111" s="541"/>
      <c r="GM111" s="541"/>
      <c r="GN111" s="541"/>
      <c r="GO111" s="541"/>
      <c r="GP111" s="541"/>
      <c r="GQ111" s="541"/>
      <c r="GR111" s="541"/>
      <c r="GS111" s="541"/>
      <c r="GT111" s="541"/>
      <c r="GU111" s="541"/>
      <c r="GV111" s="541"/>
      <c r="GW111" s="541"/>
      <c r="GX111" s="541"/>
      <c r="GY111" s="541"/>
      <c r="GZ111" s="541"/>
      <c r="HA111" s="541"/>
      <c r="HB111" s="541"/>
      <c r="HC111" s="541"/>
      <c r="HD111" s="541"/>
      <c r="HE111" s="541"/>
      <c r="HF111" s="541"/>
      <c r="HG111" s="541"/>
      <c r="HH111" s="541"/>
      <c r="HI111" s="541"/>
      <c r="HJ111" s="541"/>
      <c r="HK111" s="541"/>
      <c r="HL111" s="541"/>
      <c r="HM111" s="541"/>
      <c r="HN111" s="541"/>
      <c r="HO111" s="541"/>
    </row>
    <row r="112" spans="24:223" s="542" customFormat="1" ht="12.75">
      <c r="X112" s="541"/>
      <c r="Y112" s="541"/>
      <c r="Z112" s="541"/>
      <c r="AA112" s="541"/>
      <c r="AB112" s="541"/>
      <c r="AC112" s="541"/>
      <c r="AD112" s="541"/>
      <c r="AE112" s="541"/>
      <c r="AF112" s="541"/>
      <c r="AG112" s="541"/>
      <c r="AH112" s="541"/>
      <c r="AI112" s="541"/>
      <c r="AJ112" s="541"/>
      <c r="AK112" s="541"/>
      <c r="AL112" s="541"/>
      <c r="AM112" s="541"/>
      <c r="AN112" s="541"/>
      <c r="AO112" s="541"/>
      <c r="AP112" s="541"/>
      <c r="AQ112" s="541"/>
      <c r="AR112" s="541"/>
      <c r="AS112" s="541"/>
      <c r="AT112" s="541"/>
      <c r="AU112" s="541"/>
      <c r="AV112" s="541"/>
      <c r="AW112" s="541"/>
      <c r="AX112" s="541"/>
      <c r="AY112" s="541"/>
      <c r="AZ112" s="541"/>
      <c r="BA112" s="541"/>
      <c r="BB112" s="541"/>
      <c r="BC112" s="541"/>
      <c r="BD112" s="541"/>
      <c r="BE112" s="541"/>
      <c r="BF112" s="541"/>
      <c r="BG112" s="541"/>
      <c r="BH112" s="541"/>
      <c r="BI112" s="541"/>
      <c r="BJ112" s="541"/>
      <c r="BK112" s="541"/>
      <c r="BL112" s="541"/>
      <c r="BM112" s="541"/>
      <c r="BN112" s="541"/>
      <c r="BO112" s="541"/>
      <c r="BP112" s="541"/>
      <c r="BQ112" s="541"/>
      <c r="BR112" s="541"/>
      <c r="BS112" s="541"/>
      <c r="BT112" s="541"/>
      <c r="BU112" s="541"/>
      <c r="BV112" s="541"/>
      <c r="BW112" s="541"/>
      <c r="BX112" s="541"/>
      <c r="BY112" s="541"/>
      <c r="BZ112" s="541"/>
      <c r="CA112" s="541"/>
      <c r="CB112" s="541"/>
      <c r="CC112" s="541"/>
      <c r="CD112" s="541"/>
      <c r="CE112" s="541"/>
      <c r="CF112" s="541"/>
      <c r="CG112" s="541"/>
      <c r="CH112" s="541"/>
      <c r="CI112" s="541"/>
      <c r="CJ112" s="541"/>
      <c r="CK112" s="541"/>
      <c r="CL112" s="541"/>
      <c r="CM112" s="541"/>
      <c r="CN112" s="541"/>
      <c r="CO112" s="541"/>
      <c r="CP112" s="541"/>
      <c r="CQ112" s="541"/>
      <c r="CR112" s="541"/>
      <c r="CS112" s="541"/>
      <c r="CT112" s="541"/>
      <c r="CU112" s="541"/>
      <c r="CV112" s="541"/>
      <c r="CW112" s="541"/>
      <c r="CX112" s="541"/>
      <c r="CY112" s="541"/>
      <c r="CZ112" s="541"/>
      <c r="DA112" s="541"/>
      <c r="DB112" s="541"/>
      <c r="DC112" s="541"/>
      <c r="DD112" s="541"/>
      <c r="DE112" s="541"/>
      <c r="DF112" s="541"/>
      <c r="DG112" s="541"/>
      <c r="DH112" s="541"/>
      <c r="DI112" s="541"/>
      <c r="DJ112" s="541"/>
      <c r="DK112" s="541"/>
      <c r="DL112" s="541"/>
      <c r="DM112" s="541"/>
      <c r="DN112" s="541"/>
      <c r="DO112" s="541"/>
      <c r="DP112" s="541"/>
      <c r="DQ112" s="541"/>
      <c r="DR112" s="541"/>
      <c r="DS112" s="541"/>
      <c r="DT112" s="541"/>
      <c r="DU112" s="541"/>
      <c r="DV112" s="541"/>
      <c r="DW112" s="541"/>
      <c r="DX112" s="541"/>
      <c r="DY112" s="541"/>
      <c r="DZ112" s="541"/>
      <c r="EA112" s="541"/>
      <c r="EB112" s="541"/>
      <c r="EC112" s="541"/>
      <c r="ED112" s="541"/>
      <c r="EE112" s="541"/>
      <c r="EF112" s="541"/>
      <c r="EG112" s="541"/>
      <c r="EH112" s="541"/>
      <c r="EI112" s="541"/>
      <c r="EJ112" s="541"/>
      <c r="EK112" s="541"/>
      <c r="EL112" s="541"/>
      <c r="EM112" s="541"/>
      <c r="EN112" s="541"/>
      <c r="EO112" s="541"/>
      <c r="EP112" s="541"/>
      <c r="EQ112" s="541"/>
      <c r="ER112" s="541"/>
      <c r="ES112" s="541"/>
      <c r="ET112" s="541"/>
      <c r="EU112" s="541"/>
      <c r="EV112" s="541"/>
      <c r="EW112" s="541"/>
      <c r="EX112" s="541"/>
      <c r="EY112" s="541"/>
      <c r="EZ112" s="541"/>
      <c r="FA112" s="541"/>
      <c r="FB112" s="541"/>
      <c r="FC112" s="541"/>
      <c r="FD112" s="541"/>
      <c r="FE112" s="541"/>
      <c r="FF112" s="541"/>
      <c r="FG112" s="541"/>
      <c r="FH112" s="541"/>
      <c r="FI112" s="541"/>
      <c r="FJ112" s="541"/>
      <c r="FK112" s="541"/>
      <c r="FL112" s="541"/>
      <c r="FM112" s="541"/>
      <c r="FN112" s="541"/>
      <c r="FO112" s="541"/>
      <c r="FP112" s="541"/>
      <c r="FQ112" s="541"/>
      <c r="FR112" s="541"/>
      <c r="FS112" s="541"/>
      <c r="FT112" s="541"/>
      <c r="FU112" s="541"/>
      <c r="FV112" s="541"/>
      <c r="FW112" s="541"/>
      <c r="FX112" s="541"/>
      <c r="FY112" s="541"/>
      <c r="FZ112" s="541"/>
      <c r="GA112" s="541"/>
      <c r="GB112" s="541"/>
      <c r="GC112" s="541"/>
      <c r="GD112" s="541"/>
      <c r="GE112" s="541"/>
      <c r="GF112" s="541"/>
      <c r="GG112" s="541"/>
      <c r="GH112" s="541"/>
      <c r="GI112" s="541"/>
      <c r="GJ112" s="541"/>
      <c r="GK112" s="541"/>
      <c r="GL112" s="541"/>
      <c r="GM112" s="541"/>
      <c r="GN112" s="541"/>
      <c r="GO112" s="541"/>
      <c r="GP112" s="541"/>
      <c r="GQ112" s="541"/>
      <c r="GR112" s="541"/>
      <c r="GS112" s="541"/>
      <c r="GT112" s="541"/>
      <c r="GU112" s="541"/>
      <c r="GV112" s="541"/>
      <c r="GW112" s="541"/>
      <c r="GX112" s="541"/>
      <c r="GY112" s="541"/>
      <c r="GZ112" s="541"/>
      <c r="HA112" s="541"/>
      <c r="HB112" s="541"/>
      <c r="HC112" s="541"/>
      <c r="HD112" s="541"/>
      <c r="HE112" s="541"/>
      <c r="HF112" s="541"/>
      <c r="HG112" s="541"/>
      <c r="HH112" s="541"/>
      <c r="HI112" s="541"/>
      <c r="HJ112" s="541"/>
      <c r="HK112" s="541"/>
      <c r="HL112" s="541"/>
      <c r="HM112" s="541"/>
      <c r="HN112" s="541"/>
      <c r="HO112" s="541"/>
    </row>
    <row r="113" spans="24:223" s="542" customFormat="1" ht="12.75">
      <c r="X113" s="541"/>
      <c r="Y113" s="541"/>
      <c r="Z113" s="541"/>
      <c r="AA113" s="541"/>
      <c r="AB113" s="541"/>
      <c r="AC113" s="541"/>
      <c r="AD113" s="541"/>
      <c r="AE113" s="541"/>
      <c r="AF113" s="541"/>
      <c r="AG113" s="541"/>
      <c r="AH113" s="541"/>
      <c r="AI113" s="541"/>
      <c r="AJ113" s="541"/>
      <c r="AK113" s="541"/>
      <c r="AL113" s="541"/>
      <c r="AM113" s="541"/>
      <c r="AN113" s="541"/>
      <c r="AO113" s="541"/>
      <c r="AP113" s="541"/>
      <c r="AQ113" s="541"/>
      <c r="AR113" s="541"/>
      <c r="AS113" s="541"/>
      <c r="AT113" s="541"/>
      <c r="AU113" s="541"/>
      <c r="AV113" s="541"/>
      <c r="AW113" s="541"/>
      <c r="AX113" s="541"/>
      <c r="AY113" s="541"/>
      <c r="AZ113" s="541"/>
      <c r="BA113" s="541"/>
      <c r="BB113" s="541"/>
      <c r="BC113" s="541"/>
      <c r="BD113" s="541"/>
      <c r="BE113" s="541"/>
      <c r="BF113" s="541"/>
      <c r="BG113" s="541"/>
      <c r="BH113" s="541"/>
      <c r="BI113" s="541"/>
      <c r="BJ113" s="541"/>
      <c r="BK113" s="541"/>
      <c r="BL113" s="541"/>
      <c r="BM113" s="541"/>
      <c r="BN113" s="541"/>
      <c r="BO113" s="541"/>
      <c r="BP113" s="541"/>
      <c r="BQ113" s="541"/>
      <c r="BR113" s="541"/>
      <c r="BS113" s="541"/>
      <c r="BT113" s="541"/>
      <c r="BU113" s="541"/>
      <c r="BV113" s="541"/>
      <c r="BW113" s="541"/>
      <c r="BX113" s="541"/>
      <c r="BY113" s="541"/>
      <c r="BZ113" s="541"/>
      <c r="CA113" s="541"/>
      <c r="CB113" s="541"/>
      <c r="CC113" s="541"/>
      <c r="CD113" s="541"/>
      <c r="CE113" s="541"/>
      <c r="CF113" s="541"/>
      <c r="CG113" s="541"/>
      <c r="CH113" s="541"/>
      <c r="CI113" s="541"/>
      <c r="CJ113" s="541"/>
      <c r="CK113" s="541"/>
      <c r="CL113" s="541"/>
      <c r="CM113" s="541"/>
      <c r="CN113" s="541"/>
      <c r="CO113" s="541"/>
      <c r="CP113" s="541"/>
      <c r="CQ113" s="541"/>
      <c r="CR113" s="541"/>
      <c r="CS113" s="541"/>
      <c r="CT113" s="541"/>
      <c r="CU113" s="541"/>
      <c r="CV113" s="541"/>
      <c r="CW113" s="541"/>
      <c r="CX113" s="541"/>
      <c r="CY113" s="541"/>
      <c r="CZ113" s="541"/>
      <c r="DA113" s="541"/>
      <c r="DB113" s="541"/>
      <c r="DC113" s="541"/>
      <c r="DD113" s="541"/>
      <c r="DE113" s="541"/>
      <c r="DF113" s="541"/>
      <c r="DG113" s="541"/>
      <c r="DH113" s="541"/>
      <c r="DI113" s="541"/>
      <c r="DJ113" s="541"/>
      <c r="DK113" s="541"/>
      <c r="DL113" s="541"/>
      <c r="DM113" s="541"/>
      <c r="DN113" s="541"/>
      <c r="DO113" s="541"/>
      <c r="DP113" s="541"/>
      <c r="DQ113" s="541"/>
      <c r="DR113" s="541"/>
      <c r="DS113" s="541"/>
      <c r="DT113" s="541"/>
      <c r="DU113" s="541"/>
      <c r="DV113" s="541"/>
      <c r="DW113" s="541"/>
      <c r="DX113" s="541"/>
      <c r="DY113" s="541"/>
      <c r="DZ113" s="541"/>
      <c r="EA113" s="541"/>
      <c r="EB113" s="541"/>
      <c r="EC113" s="541"/>
      <c r="ED113" s="541"/>
      <c r="EE113" s="541"/>
      <c r="EF113" s="541"/>
      <c r="EG113" s="541"/>
      <c r="EH113" s="541"/>
      <c r="EI113" s="541"/>
      <c r="EJ113" s="541"/>
      <c r="EK113" s="541"/>
      <c r="EL113" s="541"/>
      <c r="EM113" s="541"/>
      <c r="EN113" s="541"/>
      <c r="EO113" s="541"/>
      <c r="EP113" s="541"/>
      <c r="EQ113" s="541"/>
      <c r="ER113" s="541"/>
      <c r="ES113" s="541"/>
      <c r="ET113" s="541"/>
      <c r="EU113" s="541"/>
      <c r="EV113" s="541"/>
      <c r="EW113" s="541"/>
      <c r="EX113" s="541"/>
      <c r="EY113" s="541"/>
      <c r="EZ113" s="541"/>
      <c r="FA113" s="541"/>
      <c r="FB113" s="541"/>
      <c r="FC113" s="541"/>
      <c r="FD113" s="541"/>
      <c r="FE113" s="541"/>
      <c r="FF113" s="541"/>
      <c r="FG113" s="541"/>
      <c r="FH113" s="541"/>
      <c r="FI113" s="541"/>
      <c r="FJ113" s="541"/>
      <c r="FK113" s="541"/>
      <c r="FL113" s="541"/>
      <c r="FM113" s="541"/>
      <c r="FN113" s="541"/>
      <c r="FO113" s="541"/>
      <c r="FP113" s="541"/>
      <c r="FQ113" s="541"/>
      <c r="FR113" s="541"/>
      <c r="FS113" s="541"/>
      <c r="FT113" s="541"/>
      <c r="FU113" s="541"/>
      <c r="FV113" s="541"/>
      <c r="FW113" s="541"/>
      <c r="FX113" s="541"/>
      <c r="FY113" s="541"/>
      <c r="FZ113" s="541"/>
      <c r="GA113" s="541"/>
      <c r="GB113" s="541"/>
      <c r="GC113" s="541"/>
      <c r="GD113" s="541"/>
      <c r="GE113" s="541"/>
      <c r="GF113" s="541"/>
      <c r="GG113" s="541"/>
      <c r="GH113" s="541"/>
      <c r="GI113" s="541"/>
      <c r="GJ113" s="541"/>
      <c r="GK113" s="541"/>
      <c r="GL113" s="541"/>
      <c r="GM113" s="541"/>
      <c r="GN113" s="541"/>
      <c r="GO113" s="541"/>
      <c r="GP113" s="541"/>
      <c r="GQ113" s="541"/>
      <c r="GR113" s="541"/>
      <c r="GS113" s="541"/>
      <c r="GT113" s="541"/>
      <c r="GU113" s="541"/>
      <c r="GV113" s="541"/>
      <c r="GW113" s="541"/>
      <c r="GX113" s="541"/>
      <c r="GY113" s="541"/>
      <c r="GZ113" s="541"/>
      <c r="HA113" s="541"/>
      <c r="HB113" s="541"/>
      <c r="HC113" s="541"/>
      <c r="HD113" s="541"/>
      <c r="HE113" s="541"/>
      <c r="HF113" s="541"/>
      <c r="HG113" s="541"/>
      <c r="HH113" s="541"/>
      <c r="HI113" s="541"/>
      <c r="HJ113" s="541"/>
      <c r="HK113" s="541"/>
      <c r="HL113" s="541"/>
      <c r="HM113" s="541"/>
      <c r="HN113" s="541"/>
      <c r="HO113" s="541"/>
    </row>
    <row r="114" spans="24:223" s="542" customFormat="1" ht="12.75">
      <c r="X114" s="541"/>
      <c r="Y114" s="541"/>
      <c r="Z114" s="541"/>
      <c r="AA114" s="541"/>
      <c r="AB114" s="541"/>
      <c r="AC114" s="541"/>
      <c r="AD114" s="541"/>
      <c r="AE114" s="541"/>
      <c r="AF114" s="541"/>
      <c r="AG114" s="541"/>
      <c r="AH114" s="541"/>
      <c r="AI114" s="541"/>
      <c r="AJ114" s="541"/>
      <c r="AK114" s="541"/>
      <c r="AL114" s="541"/>
      <c r="AM114" s="541"/>
      <c r="AN114" s="541"/>
      <c r="AO114" s="541"/>
      <c r="AP114" s="541"/>
      <c r="AQ114" s="541"/>
      <c r="AR114" s="541"/>
      <c r="AS114" s="541"/>
      <c r="AT114" s="541"/>
      <c r="AU114" s="541"/>
      <c r="AV114" s="541"/>
      <c r="AW114" s="541"/>
      <c r="AX114" s="541"/>
      <c r="AY114" s="541"/>
      <c r="AZ114" s="541"/>
      <c r="BA114" s="541"/>
      <c r="BB114" s="541"/>
      <c r="BC114" s="541"/>
      <c r="BD114" s="541"/>
      <c r="BE114" s="541"/>
      <c r="BF114" s="541"/>
      <c r="BG114" s="541"/>
      <c r="BH114" s="541"/>
      <c r="BI114" s="541"/>
      <c r="BJ114" s="541"/>
      <c r="BK114" s="541"/>
      <c r="BL114" s="541"/>
      <c r="BM114" s="541"/>
      <c r="BN114" s="541"/>
      <c r="BO114" s="541"/>
      <c r="BP114" s="541"/>
      <c r="BQ114" s="541"/>
      <c r="BR114" s="541"/>
      <c r="BS114" s="541"/>
      <c r="BT114" s="541"/>
      <c r="BU114" s="541"/>
      <c r="BV114" s="541"/>
      <c r="BW114" s="541"/>
      <c r="BX114" s="541"/>
      <c r="BY114" s="541"/>
      <c r="BZ114" s="541"/>
      <c r="CA114" s="541"/>
      <c r="CB114" s="541"/>
      <c r="CC114" s="541"/>
      <c r="CD114" s="541"/>
      <c r="CE114" s="541"/>
      <c r="CF114" s="541"/>
      <c r="CG114" s="541"/>
      <c r="CH114" s="541"/>
      <c r="CI114" s="541"/>
      <c r="CJ114" s="541"/>
      <c r="CK114" s="541"/>
      <c r="CL114" s="541"/>
      <c r="CM114" s="541"/>
      <c r="CN114" s="541"/>
      <c r="CO114" s="541"/>
      <c r="CP114" s="541"/>
      <c r="CQ114" s="541"/>
      <c r="CR114" s="541"/>
      <c r="CS114" s="541"/>
      <c r="CT114" s="541"/>
      <c r="CU114" s="541"/>
      <c r="CV114" s="541"/>
      <c r="CW114" s="541"/>
      <c r="CX114" s="541"/>
      <c r="CY114" s="541"/>
      <c r="CZ114" s="541"/>
      <c r="DA114" s="541"/>
      <c r="DB114" s="541"/>
      <c r="DC114" s="541"/>
      <c r="DD114" s="541"/>
      <c r="DE114" s="541"/>
      <c r="DF114" s="541"/>
      <c r="DG114" s="541"/>
      <c r="DH114" s="541"/>
      <c r="DI114" s="541"/>
      <c r="DJ114" s="541"/>
      <c r="DK114" s="541"/>
      <c r="DL114" s="541"/>
      <c r="DM114" s="541"/>
      <c r="DN114" s="541"/>
      <c r="DO114" s="541"/>
      <c r="DP114" s="541"/>
      <c r="DQ114" s="541"/>
      <c r="DR114" s="541"/>
      <c r="DS114" s="541"/>
      <c r="DT114" s="541"/>
      <c r="DU114" s="541"/>
      <c r="DV114" s="541"/>
      <c r="DW114" s="541"/>
      <c r="DX114" s="541"/>
      <c r="DY114" s="541"/>
      <c r="DZ114" s="541"/>
      <c r="EA114" s="541"/>
      <c r="EB114" s="541"/>
      <c r="EC114" s="541"/>
      <c r="ED114" s="541"/>
      <c r="EE114" s="541"/>
      <c r="EF114" s="541"/>
      <c r="EG114" s="541"/>
      <c r="EH114" s="541"/>
      <c r="EI114" s="541"/>
      <c r="EJ114" s="541"/>
      <c r="EK114" s="541"/>
      <c r="EL114" s="541"/>
      <c r="EM114" s="541"/>
      <c r="EN114" s="541"/>
      <c r="EO114" s="541"/>
      <c r="EP114" s="541"/>
      <c r="EQ114" s="541"/>
      <c r="ER114" s="541"/>
      <c r="ES114" s="541"/>
      <c r="ET114" s="541"/>
      <c r="EU114" s="541"/>
      <c r="EV114" s="541"/>
      <c r="EW114" s="541"/>
      <c r="EX114" s="541"/>
      <c r="EY114" s="541"/>
      <c r="EZ114" s="541"/>
      <c r="FA114" s="541"/>
      <c r="FB114" s="541"/>
      <c r="FC114" s="541"/>
      <c r="FD114" s="541"/>
      <c r="FE114" s="541"/>
      <c r="FF114" s="541"/>
      <c r="FG114" s="541"/>
      <c r="FH114" s="541"/>
      <c r="FI114" s="541"/>
      <c r="FJ114" s="541"/>
      <c r="FK114" s="541"/>
      <c r="FL114" s="541"/>
      <c r="FM114" s="541"/>
      <c r="FN114" s="541"/>
      <c r="FO114" s="541"/>
      <c r="FP114" s="541"/>
      <c r="FQ114" s="541"/>
      <c r="FR114" s="541"/>
      <c r="FS114" s="541"/>
      <c r="FT114" s="541"/>
      <c r="FU114" s="541"/>
      <c r="FV114" s="541"/>
      <c r="FW114" s="541"/>
      <c r="FX114" s="541"/>
      <c r="FY114" s="541"/>
      <c r="FZ114" s="541"/>
      <c r="GA114" s="541"/>
      <c r="GB114" s="541"/>
      <c r="GC114" s="541"/>
      <c r="GD114" s="541"/>
      <c r="GE114" s="541"/>
      <c r="GF114" s="541"/>
      <c r="GG114" s="541"/>
      <c r="GH114" s="541"/>
      <c r="GI114" s="541"/>
      <c r="GJ114" s="541"/>
      <c r="GK114" s="541"/>
      <c r="GL114" s="541"/>
      <c r="GM114" s="541"/>
      <c r="GN114" s="541"/>
      <c r="GO114" s="541"/>
      <c r="GP114" s="541"/>
      <c r="GQ114" s="541"/>
      <c r="GR114" s="541"/>
      <c r="GS114" s="541"/>
      <c r="GT114" s="541"/>
      <c r="GU114" s="541"/>
      <c r="GV114" s="541"/>
      <c r="GW114" s="541"/>
      <c r="GX114" s="541"/>
      <c r="GY114" s="541"/>
      <c r="GZ114" s="541"/>
      <c r="HA114" s="541"/>
      <c r="HB114" s="541"/>
      <c r="HC114" s="541"/>
      <c r="HD114" s="541"/>
      <c r="HE114" s="541"/>
      <c r="HF114" s="541"/>
      <c r="HG114" s="541"/>
      <c r="HH114" s="541"/>
      <c r="HI114" s="541"/>
      <c r="HJ114" s="541"/>
      <c r="HK114" s="541"/>
      <c r="HL114" s="541"/>
      <c r="HM114" s="541"/>
      <c r="HN114" s="541"/>
      <c r="HO114" s="541"/>
    </row>
    <row r="115" spans="24:223" s="542" customFormat="1" ht="12.75">
      <c r="X115" s="541"/>
      <c r="Y115" s="541"/>
      <c r="Z115" s="541"/>
      <c r="AA115" s="541"/>
      <c r="AB115" s="541"/>
      <c r="AC115" s="541"/>
      <c r="AD115" s="541"/>
      <c r="AE115" s="541"/>
      <c r="AF115" s="541"/>
      <c r="AG115" s="541"/>
      <c r="AH115" s="541"/>
      <c r="AI115" s="541"/>
      <c r="AJ115" s="541"/>
      <c r="AK115" s="541"/>
      <c r="AL115" s="541"/>
      <c r="AM115" s="541"/>
      <c r="AN115" s="541"/>
      <c r="AO115" s="541"/>
      <c r="AP115" s="541"/>
      <c r="AQ115" s="541"/>
      <c r="AR115" s="541"/>
      <c r="AS115" s="541"/>
      <c r="AT115" s="541"/>
      <c r="AU115" s="541"/>
      <c r="AV115" s="541"/>
      <c r="AW115" s="541"/>
      <c r="AX115" s="541"/>
      <c r="AY115" s="541"/>
      <c r="AZ115" s="541"/>
      <c r="BA115" s="541"/>
      <c r="BB115" s="541"/>
      <c r="BC115" s="541"/>
      <c r="BD115" s="541"/>
      <c r="BE115" s="541"/>
      <c r="BF115" s="541"/>
      <c r="BG115" s="541"/>
      <c r="BH115" s="541"/>
      <c r="BI115" s="541"/>
      <c r="BJ115" s="541"/>
      <c r="BK115" s="541"/>
      <c r="BL115" s="541"/>
      <c r="BM115" s="541"/>
      <c r="BN115" s="541"/>
      <c r="BO115" s="541"/>
      <c r="BP115" s="541"/>
      <c r="BQ115" s="541"/>
      <c r="BR115" s="541"/>
      <c r="BS115" s="541"/>
      <c r="BT115" s="541"/>
      <c r="BU115" s="541"/>
      <c r="BV115" s="541"/>
      <c r="BW115" s="541"/>
      <c r="BX115" s="541"/>
      <c r="BY115" s="541"/>
      <c r="BZ115" s="541"/>
      <c r="CA115" s="541"/>
      <c r="CB115" s="541"/>
      <c r="CC115" s="541"/>
      <c r="CD115" s="541"/>
      <c r="CE115" s="541"/>
      <c r="CF115" s="541"/>
      <c r="CG115" s="541"/>
      <c r="CH115" s="541"/>
      <c r="CI115" s="541"/>
      <c r="CJ115" s="541"/>
      <c r="CK115" s="541"/>
      <c r="CL115" s="541"/>
      <c r="CM115" s="541"/>
      <c r="CN115" s="541"/>
      <c r="CO115" s="541"/>
      <c r="CP115" s="541"/>
      <c r="CQ115" s="541"/>
      <c r="CR115" s="541"/>
      <c r="CS115" s="541"/>
      <c r="CT115" s="541"/>
      <c r="CU115" s="541"/>
      <c r="CV115" s="541"/>
      <c r="CW115" s="541"/>
      <c r="CX115" s="541"/>
      <c r="CY115" s="541"/>
      <c r="CZ115" s="541"/>
      <c r="DA115" s="541"/>
      <c r="DB115" s="541"/>
      <c r="DC115" s="541"/>
      <c r="DD115" s="541"/>
      <c r="DE115" s="541"/>
      <c r="DF115" s="541"/>
      <c r="DG115" s="541"/>
      <c r="DH115" s="541"/>
      <c r="DI115" s="541"/>
      <c r="DJ115" s="541"/>
      <c r="DK115" s="541"/>
      <c r="DL115" s="541"/>
      <c r="DM115" s="541"/>
      <c r="DN115" s="541"/>
      <c r="DO115" s="541"/>
      <c r="DP115" s="541"/>
      <c r="DQ115" s="541"/>
      <c r="DR115" s="541"/>
      <c r="DS115" s="541"/>
      <c r="DT115" s="541"/>
      <c r="DU115" s="541"/>
      <c r="DV115" s="541"/>
      <c r="DW115" s="541"/>
      <c r="DX115" s="541"/>
      <c r="DY115" s="541"/>
      <c r="DZ115" s="541"/>
      <c r="EA115" s="541"/>
      <c r="EB115" s="541"/>
      <c r="EC115" s="541"/>
      <c r="ED115" s="541"/>
      <c r="EE115" s="541"/>
      <c r="EF115" s="541"/>
      <c r="EG115" s="541"/>
      <c r="EH115" s="541"/>
      <c r="EI115" s="541"/>
      <c r="EJ115" s="541"/>
      <c r="EK115" s="541"/>
      <c r="EL115" s="541"/>
      <c r="EM115" s="541"/>
      <c r="EN115" s="541"/>
      <c r="EO115" s="541"/>
      <c r="EP115" s="541"/>
      <c r="EQ115" s="541"/>
      <c r="ER115" s="541"/>
      <c r="ES115" s="541"/>
      <c r="ET115" s="541"/>
      <c r="EU115" s="541"/>
      <c r="EV115" s="541"/>
      <c r="EW115" s="541"/>
      <c r="EX115" s="541"/>
      <c r="EY115" s="541"/>
      <c r="EZ115" s="541"/>
      <c r="FA115" s="541"/>
      <c r="FB115" s="541"/>
      <c r="FC115" s="541"/>
      <c r="FD115" s="541"/>
      <c r="FE115" s="541"/>
      <c r="FF115" s="541"/>
      <c r="FG115" s="541"/>
      <c r="FH115" s="541"/>
      <c r="FI115" s="541"/>
      <c r="FJ115" s="541"/>
      <c r="FK115" s="541"/>
      <c r="FL115" s="541"/>
      <c r="FM115" s="541"/>
      <c r="FN115" s="541"/>
      <c r="FO115" s="541"/>
      <c r="FP115" s="541"/>
      <c r="FQ115" s="541"/>
      <c r="FR115" s="541"/>
      <c r="FS115" s="541"/>
      <c r="FT115" s="541"/>
      <c r="FU115" s="541"/>
      <c r="FV115" s="541"/>
      <c r="FW115" s="541"/>
      <c r="FX115" s="541"/>
      <c r="FY115" s="541"/>
      <c r="FZ115" s="541"/>
      <c r="GA115" s="541"/>
      <c r="GB115" s="541"/>
      <c r="GC115" s="541"/>
      <c r="GD115" s="541"/>
      <c r="GE115" s="541"/>
      <c r="GF115" s="541"/>
      <c r="GG115" s="541"/>
      <c r="GH115" s="541"/>
      <c r="GI115" s="541"/>
      <c r="GJ115" s="541"/>
      <c r="GK115" s="541"/>
      <c r="GL115" s="541"/>
      <c r="GM115" s="541"/>
      <c r="GN115" s="541"/>
      <c r="GO115" s="541"/>
      <c r="GP115" s="541"/>
      <c r="GQ115" s="541"/>
      <c r="GR115" s="541"/>
      <c r="GS115" s="541"/>
      <c r="GT115" s="541"/>
      <c r="GU115" s="541"/>
      <c r="GV115" s="541"/>
      <c r="GW115" s="541"/>
      <c r="GX115" s="541"/>
      <c r="GY115" s="541"/>
      <c r="GZ115" s="541"/>
      <c r="HA115" s="541"/>
      <c r="HB115" s="541"/>
      <c r="HC115" s="541"/>
      <c r="HD115" s="541"/>
      <c r="HE115" s="541"/>
      <c r="HF115" s="541"/>
      <c r="HG115" s="541"/>
      <c r="HH115" s="541"/>
      <c r="HI115" s="541"/>
      <c r="HJ115" s="541"/>
      <c r="HK115" s="541"/>
      <c r="HL115" s="541"/>
      <c r="HM115" s="541"/>
      <c r="HN115" s="541"/>
      <c r="HO115" s="541"/>
    </row>
    <row r="116" spans="24:223" s="542" customFormat="1" ht="12.75">
      <c r="X116" s="541"/>
      <c r="Y116" s="541"/>
      <c r="Z116" s="541"/>
      <c r="AA116" s="541"/>
      <c r="AB116" s="541"/>
      <c r="AC116" s="541"/>
      <c r="AD116" s="541"/>
      <c r="AE116" s="541"/>
      <c r="AF116" s="541"/>
      <c r="AG116" s="541"/>
      <c r="AH116" s="541"/>
      <c r="AI116" s="541"/>
      <c r="AJ116" s="541"/>
      <c r="AK116" s="541"/>
      <c r="AL116" s="541"/>
      <c r="AM116" s="541"/>
      <c r="AN116" s="541"/>
      <c r="AO116" s="541"/>
      <c r="AP116" s="541"/>
      <c r="AQ116" s="541"/>
      <c r="AR116" s="541"/>
      <c r="AS116" s="541"/>
      <c r="AT116" s="541"/>
      <c r="AU116" s="541"/>
      <c r="AV116" s="541"/>
      <c r="AW116" s="541"/>
      <c r="AX116" s="541"/>
      <c r="AY116" s="541"/>
      <c r="AZ116" s="541"/>
      <c r="BA116" s="541"/>
      <c r="BB116" s="541"/>
      <c r="BC116" s="541"/>
      <c r="BD116" s="541"/>
      <c r="BE116" s="541"/>
      <c r="BF116" s="541"/>
      <c r="BG116" s="541"/>
      <c r="BH116" s="541"/>
      <c r="BI116" s="541"/>
      <c r="BJ116" s="541"/>
      <c r="BK116" s="541"/>
      <c r="BL116" s="541"/>
      <c r="BM116" s="541"/>
      <c r="BN116" s="541"/>
      <c r="BO116" s="541"/>
      <c r="BP116" s="541"/>
      <c r="BQ116" s="541"/>
      <c r="BR116" s="541"/>
      <c r="BS116" s="541"/>
      <c r="BT116" s="541"/>
      <c r="BU116" s="541"/>
      <c r="BV116" s="541"/>
      <c r="BW116" s="541"/>
      <c r="BX116" s="541"/>
      <c r="BY116" s="541"/>
      <c r="BZ116" s="541"/>
      <c r="CA116" s="541"/>
      <c r="CB116" s="541"/>
      <c r="CC116" s="541"/>
      <c r="CD116" s="541"/>
      <c r="CE116" s="541"/>
      <c r="CF116" s="541"/>
      <c r="CG116" s="541"/>
      <c r="CH116" s="541"/>
      <c r="CI116" s="541"/>
      <c r="CJ116" s="541"/>
      <c r="CK116" s="541"/>
      <c r="CL116" s="541"/>
      <c r="CM116" s="541"/>
      <c r="CN116" s="541"/>
      <c r="CO116" s="541"/>
      <c r="CP116" s="541"/>
      <c r="CQ116" s="541"/>
      <c r="CR116" s="541"/>
      <c r="CS116" s="541"/>
      <c r="CT116" s="541"/>
      <c r="CU116" s="541"/>
      <c r="CV116" s="541"/>
      <c r="CW116" s="541"/>
      <c r="CX116" s="541"/>
      <c r="CY116" s="541"/>
      <c r="CZ116" s="541"/>
      <c r="DA116" s="541"/>
      <c r="DB116" s="541"/>
      <c r="DC116" s="541"/>
      <c r="DD116" s="541"/>
      <c r="DE116" s="541"/>
      <c r="DF116" s="541"/>
      <c r="DG116" s="541"/>
      <c r="DH116" s="541"/>
      <c r="DI116" s="541"/>
      <c r="DJ116" s="541"/>
      <c r="DK116" s="541"/>
      <c r="DL116" s="541"/>
      <c r="DM116" s="541"/>
      <c r="DN116" s="541"/>
      <c r="DO116" s="541"/>
      <c r="DP116" s="541"/>
      <c r="DQ116" s="541"/>
      <c r="DR116" s="541"/>
      <c r="DS116" s="541"/>
      <c r="DT116" s="541"/>
      <c r="DU116" s="541"/>
      <c r="DV116" s="541"/>
      <c r="DW116" s="541"/>
      <c r="DX116" s="541"/>
      <c r="DY116" s="541"/>
      <c r="DZ116" s="541"/>
      <c r="EA116" s="541"/>
      <c r="EB116" s="541"/>
      <c r="EC116" s="541"/>
      <c r="ED116" s="541"/>
      <c r="EE116" s="541"/>
      <c r="EF116" s="541"/>
      <c r="EG116" s="541"/>
      <c r="EH116" s="541"/>
      <c r="EI116" s="541"/>
      <c r="EJ116" s="541"/>
      <c r="EK116" s="541"/>
      <c r="EL116" s="541"/>
      <c r="EM116" s="541"/>
      <c r="EN116" s="541"/>
      <c r="EO116" s="541"/>
      <c r="EP116" s="541"/>
      <c r="EQ116" s="541"/>
      <c r="ER116" s="541"/>
      <c r="ES116" s="541"/>
      <c r="ET116" s="541"/>
      <c r="EU116" s="541"/>
      <c r="EV116" s="541"/>
      <c r="EW116" s="541"/>
      <c r="EX116" s="541"/>
      <c r="EY116" s="541"/>
      <c r="EZ116" s="541"/>
      <c r="FA116" s="541"/>
      <c r="FB116" s="541"/>
      <c r="FC116" s="541"/>
      <c r="FD116" s="541"/>
      <c r="FE116" s="541"/>
      <c r="FF116" s="541"/>
      <c r="FG116" s="541"/>
      <c r="FH116" s="541"/>
      <c r="FI116" s="541"/>
      <c r="FJ116" s="541"/>
      <c r="FK116" s="541"/>
      <c r="FL116" s="541"/>
      <c r="FM116" s="541"/>
      <c r="FN116" s="541"/>
      <c r="FO116" s="541"/>
      <c r="FP116" s="541"/>
      <c r="FQ116" s="541"/>
      <c r="FR116" s="541"/>
      <c r="FS116" s="541"/>
      <c r="FT116" s="541"/>
      <c r="FU116" s="541"/>
      <c r="FV116" s="541"/>
      <c r="FW116" s="541"/>
      <c r="FX116" s="541"/>
      <c r="FY116" s="541"/>
      <c r="FZ116" s="541"/>
      <c r="GA116" s="541"/>
      <c r="GB116" s="541"/>
      <c r="GC116" s="541"/>
      <c r="GD116" s="541"/>
      <c r="GE116" s="541"/>
      <c r="GF116" s="541"/>
      <c r="GG116" s="541"/>
      <c r="GH116" s="541"/>
      <c r="GI116" s="541"/>
      <c r="GJ116" s="541"/>
      <c r="GK116" s="541"/>
      <c r="GL116" s="541"/>
      <c r="GM116" s="541"/>
      <c r="GN116" s="541"/>
      <c r="GO116" s="541"/>
      <c r="GP116" s="541"/>
      <c r="GQ116" s="541"/>
      <c r="GR116" s="541"/>
      <c r="GS116" s="541"/>
      <c r="GT116" s="541"/>
      <c r="GU116" s="541"/>
      <c r="GV116" s="541"/>
      <c r="GW116" s="541"/>
      <c r="GX116" s="541"/>
      <c r="GY116" s="541"/>
      <c r="GZ116" s="541"/>
      <c r="HA116" s="541"/>
      <c r="HB116" s="541"/>
      <c r="HC116" s="541"/>
      <c r="HD116" s="541"/>
      <c r="HE116" s="541"/>
      <c r="HF116" s="541"/>
      <c r="HG116" s="541"/>
      <c r="HH116" s="541"/>
      <c r="HI116" s="541"/>
      <c r="HJ116" s="541"/>
      <c r="HK116" s="541"/>
      <c r="HL116" s="541"/>
      <c r="HM116" s="541"/>
      <c r="HN116" s="541"/>
      <c r="HO116" s="541"/>
    </row>
    <row r="117" spans="24:223" s="542" customFormat="1" ht="12.75">
      <c r="X117" s="541"/>
      <c r="Y117" s="541"/>
      <c r="Z117" s="541"/>
      <c r="AA117" s="541"/>
      <c r="AB117" s="541"/>
      <c r="AC117" s="541"/>
      <c r="AD117" s="541"/>
      <c r="AE117" s="541"/>
      <c r="AF117" s="541"/>
      <c r="AG117" s="541"/>
      <c r="AH117" s="541"/>
      <c r="AI117" s="541"/>
      <c r="AJ117" s="541"/>
      <c r="AK117" s="541"/>
      <c r="AL117" s="541"/>
      <c r="AM117" s="541"/>
      <c r="AN117" s="541"/>
      <c r="AO117" s="541"/>
      <c r="AP117" s="541"/>
      <c r="AQ117" s="541"/>
      <c r="AR117" s="541"/>
      <c r="AS117" s="541"/>
      <c r="AT117" s="541"/>
      <c r="AU117" s="541"/>
      <c r="AV117" s="541"/>
      <c r="AW117" s="541"/>
      <c r="AX117" s="541"/>
      <c r="AY117" s="541"/>
      <c r="AZ117" s="541"/>
      <c r="BA117" s="541"/>
      <c r="BB117" s="541"/>
      <c r="BC117" s="541"/>
      <c r="BD117" s="541"/>
      <c r="BE117" s="541"/>
      <c r="BF117" s="541"/>
      <c r="BG117" s="541"/>
      <c r="BH117" s="541"/>
      <c r="BI117" s="541"/>
      <c r="BJ117" s="541"/>
      <c r="BK117" s="541"/>
      <c r="BL117" s="541"/>
      <c r="BM117" s="541"/>
      <c r="BN117" s="541"/>
      <c r="BO117" s="541"/>
      <c r="BP117" s="541"/>
      <c r="BQ117" s="541"/>
      <c r="BR117" s="541"/>
      <c r="BS117" s="541"/>
      <c r="BT117" s="541"/>
      <c r="BU117" s="541"/>
      <c r="BV117" s="541"/>
      <c r="BW117" s="541"/>
      <c r="BX117" s="541"/>
      <c r="BY117" s="541"/>
      <c r="BZ117" s="541"/>
      <c r="CA117" s="541"/>
      <c r="CB117" s="541"/>
      <c r="CC117" s="541"/>
      <c r="CD117" s="541"/>
      <c r="CE117" s="541"/>
      <c r="CF117" s="541"/>
      <c r="CG117" s="541"/>
      <c r="CH117" s="541"/>
      <c r="CI117" s="541"/>
      <c r="CJ117" s="541"/>
      <c r="CK117" s="541"/>
      <c r="CL117" s="541"/>
      <c r="CM117" s="541"/>
      <c r="CN117" s="541"/>
      <c r="CO117" s="541"/>
      <c r="CP117" s="541"/>
      <c r="CQ117" s="541"/>
      <c r="CR117" s="541"/>
      <c r="CS117" s="541"/>
      <c r="CT117" s="541"/>
      <c r="CU117" s="541"/>
      <c r="CV117" s="541"/>
      <c r="CW117" s="541"/>
      <c r="CX117" s="541"/>
      <c r="CY117" s="541"/>
      <c r="CZ117" s="541"/>
      <c r="DA117" s="541"/>
      <c r="DB117" s="541"/>
      <c r="DC117" s="541"/>
      <c r="DD117" s="541"/>
      <c r="DE117" s="541"/>
      <c r="DF117" s="541"/>
      <c r="DG117" s="541"/>
      <c r="DH117" s="541"/>
      <c r="DI117" s="541"/>
      <c r="DJ117" s="541"/>
      <c r="DK117" s="541"/>
      <c r="DL117" s="541"/>
      <c r="DM117" s="541"/>
      <c r="DN117" s="541"/>
      <c r="DO117" s="541"/>
      <c r="DP117" s="541"/>
      <c r="DQ117" s="541"/>
      <c r="DR117" s="541"/>
      <c r="DS117" s="541"/>
      <c r="DT117" s="541"/>
      <c r="DU117" s="541"/>
      <c r="DV117" s="541"/>
      <c r="DW117" s="541"/>
      <c r="DX117" s="541"/>
      <c r="DY117" s="541"/>
      <c r="DZ117" s="541"/>
      <c r="EA117" s="541"/>
      <c r="EB117" s="541"/>
      <c r="EC117" s="541"/>
      <c r="ED117" s="541"/>
      <c r="EE117" s="541"/>
      <c r="EF117" s="541"/>
      <c r="EG117" s="541"/>
      <c r="EH117" s="541"/>
      <c r="EI117" s="541"/>
      <c r="EJ117" s="541"/>
      <c r="EK117" s="541"/>
      <c r="EL117" s="541"/>
      <c r="EM117" s="541"/>
      <c r="EN117" s="541"/>
      <c r="EO117" s="541"/>
      <c r="EP117" s="541"/>
      <c r="EQ117" s="541"/>
      <c r="ER117" s="541"/>
      <c r="ES117" s="541"/>
      <c r="ET117" s="541"/>
      <c r="EU117" s="541"/>
      <c r="EV117" s="541"/>
      <c r="EW117" s="541"/>
      <c r="EX117" s="541"/>
      <c r="EY117" s="541"/>
      <c r="EZ117" s="541"/>
      <c r="FA117" s="541"/>
      <c r="FB117" s="541"/>
      <c r="FC117" s="541"/>
      <c r="FD117" s="541"/>
      <c r="FE117" s="541"/>
      <c r="FF117" s="541"/>
      <c r="FG117" s="541"/>
      <c r="FH117" s="541"/>
      <c r="FI117" s="541"/>
      <c r="FJ117" s="541"/>
      <c r="FK117" s="541"/>
      <c r="FL117" s="541"/>
      <c r="FM117" s="541"/>
      <c r="FN117" s="541"/>
      <c r="FO117" s="541"/>
      <c r="FP117" s="541"/>
      <c r="FQ117" s="541"/>
      <c r="FR117" s="541"/>
      <c r="FS117" s="541"/>
      <c r="FT117" s="541"/>
      <c r="FU117" s="541"/>
      <c r="FV117" s="541"/>
      <c r="FW117" s="541"/>
      <c r="FX117" s="541"/>
      <c r="FY117" s="541"/>
      <c r="FZ117" s="541"/>
      <c r="GA117" s="541"/>
      <c r="GB117" s="541"/>
      <c r="GC117" s="541"/>
      <c r="GD117" s="541"/>
      <c r="GE117" s="541"/>
      <c r="GF117" s="541"/>
      <c r="GG117" s="541"/>
      <c r="GH117" s="541"/>
      <c r="GI117" s="541"/>
      <c r="GJ117" s="541"/>
      <c r="GK117" s="541"/>
      <c r="GL117" s="541"/>
      <c r="GM117" s="541"/>
      <c r="GN117" s="541"/>
      <c r="GO117" s="541"/>
      <c r="GP117" s="541"/>
      <c r="GQ117" s="541"/>
      <c r="GR117" s="541"/>
      <c r="GS117" s="541"/>
      <c r="GT117" s="541"/>
      <c r="GU117" s="541"/>
      <c r="GV117" s="541"/>
      <c r="GW117" s="541"/>
      <c r="GX117" s="541"/>
      <c r="GY117" s="541"/>
      <c r="GZ117" s="541"/>
      <c r="HA117" s="541"/>
      <c r="HB117" s="541"/>
      <c r="HC117" s="541"/>
      <c r="HD117" s="541"/>
      <c r="HE117" s="541"/>
      <c r="HF117" s="541"/>
      <c r="HG117" s="541"/>
      <c r="HH117" s="541"/>
      <c r="HI117" s="541"/>
      <c r="HJ117" s="541"/>
      <c r="HK117" s="541"/>
      <c r="HL117" s="541"/>
      <c r="HM117" s="541"/>
      <c r="HN117" s="541"/>
      <c r="HO117" s="541"/>
    </row>
    <row r="118" spans="24:223" s="542" customFormat="1" ht="12.75">
      <c r="X118" s="541"/>
      <c r="Y118" s="541"/>
      <c r="Z118" s="541"/>
      <c r="AA118" s="541"/>
      <c r="AB118" s="541"/>
      <c r="AC118" s="541"/>
      <c r="AD118" s="541"/>
      <c r="AE118" s="541"/>
      <c r="AF118" s="541"/>
      <c r="AG118" s="541"/>
      <c r="AH118" s="541"/>
      <c r="AI118" s="541"/>
      <c r="AJ118" s="541"/>
      <c r="AK118" s="541"/>
      <c r="AL118" s="541"/>
      <c r="AM118" s="541"/>
      <c r="AN118" s="541"/>
      <c r="AO118" s="541"/>
      <c r="AP118" s="541"/>
      <c r="AQ118" s="541"/>
      <c r="AR118" s="541"/>
      <c r="AS118" s="541"/>
      <c r="AT118" s="541"/>
      <c r="AU118" s="541"/>
      <c r="AV118" s="541"/>
      <c r="AW118" s="541"/>
      <c r="AX118" s="541"/>
      <c r="AY118" s="541"/>
      <c r="AZ118" s="541"/>
      <c r="BA118" s="541"/>
      <c r="BB118" s="541"/>
      <c r="BC118" s="541"/>
      <c r="BD118" s="541"/>
      <c r="BE118" s="541"/>
      <c r="BF118" s="541"/>
      <c r="BG118" s="541"/>
      <c r="BH118" s="541"/>
      <c r="BI118" s="541"/>
      <c r="BJ118" s="541"/>
      <c r="BK118" s="541"/>
      <c r="BL118" s="541"/>
      <c r="BM118" s="541"/>
      <c r="BN118" s="541"/>
      <c r="BO118" s="541"/>
      <c r="BP118" s="541"/>
      <c r="BQ118" s="541"/>
      <c r="BR118" s="541"/>
      <c r="BS118" s="541"/>
      <c r="BT118" s="541"/>
      <c r="BU118" s="541"/>
      <c r="BV118" s="541"/>
      <c r="BW118" s="541"/>
      <c r="BX118" s="541"/>
      <c r="BY118" s="541"/>
      <c r="BZ118" s="541"/>
      <c r="CA118" s="541"/>
      <c r="CB118" s="541"/>
      <c r="CC118" s="541"/>
      <c r="CD118" s="541"/>
      <c r="CE118" s="541"/>
      <c r="CF118" s="541"/>
      <c r="CG118" s="541"/>
      <c r="CH118" s="541"/>
      <c r="CI118" s="541"/>
      <c r="CJ118" s="541"/>
      <c r="CK118" s="541"/>
      <c r="CL118" s="541"/>
      <c r="CM118" s="541"/>
      <c r="CN118" s="541"/>
      <c r="CO118" s="541"/>
      <c r="CP118" s="541"/>
      <c r="CQ118" s="541"/>
      <c r="CR118" s="541"/>
      <c r="CS118" s="541"/>
      <c r="CT118" s="541"/>
      <c r="CU118" s="541"/>
      <c r="CV118" s="541"/>
      <c r="CW118" s="541"/>
      <c r="CX118" s="541"/>
      <c r="CY118" s="541"/>
      <c r="CZ118" s="541"/>
      <c r="DA118" s="541"/>
      <c r="DB118" s="541"/>
      <c r="DC118" s="541"/>
      <c r="DD118" s="541"/>
      <c r="DE118" s="541"/>
      <c r="DF118" s="541"/>
      <c r="DG118" s="541"/>
      <c r="DH118" s="541"/>
      <c r="DI118" s="541"/>
      <c r="DJ118" s="541"/>
      <c r="DK118" s="541"/>
      <c r="DL118" s="541"/>
      <c r="DM118" s="541"/>
      <c r="DN118" s="541"/>
      <c r="DO118" s="541"/>
      <c r="DP118" s="541"/>
      <c r="DQ118" s="541"/>
      <c r="DR118" s="541"/>
      <c r="DS118" s="541"/>
      <c r="DT118" s="541"/>
      <c r="DU118" s="541"/>
      <c r="DV118" s="541"/>
      <c r="DW118" s="541"/>
      <c r="DX118" s="541"/>
      <c r="DY118" s="541"/>
      <c r="DZ118" s="541"/>
      <c r="EA118" s="541"/>
      <c r="EB118" s="541"/>
      <c r="EC118" s="541"/>
      <c r="ED118" s="541"/>
      <c r="EE118" s="541"/>
      <c r="EF118" s="541"/>
      <c r="EG118" s="541"/>
      <c r="EH118" s="541"/>
      <c r="EI118" s="541"/>
      <c r="EJ118" s="541"/>
      <c r="EK118" s="541"/>
      <c r="EL118" s="541"/>
      <c r="EM118" s="541"/>
      <c r="EN118" s="541"/>
      <c r="EO118" s="541"/>
      <c r="EP118" s="541"/>
      <c r="EQ118" s="541"/>
      <c r="ER118" s="541"/>
      <c r="ES118" s="541"/>
      <c r="ET118" s="541"/>
      <c r="EU118" s="541"/>
      <c r="EV118" s="541"/>
      <c r="EW118" s="541"/>
      <c r="EX118" s="541"/>
      <c r="EY118" s="541"/>
      <c r="EZ118" s="541"/>
      <c r="FA118" s="541"/>
      <c r="FB118" s="541"/>
      <c r="FC118" s="541"/>
      <c r="FD118" s="541"/>
      <c r="FE118" s="541"/>
      <c r="FF118" s="541"/>
      <c r="FG118" s="541"/>
      <c r="FH118" s="541"/>
      <c r="FI118" s="541"/>
      <c r="FJ118" s="541"/>
      <c r="FK118" s="541"/>
      <c r="FL118" s="541"/>
      <c r="FM118" s="541"/>
      <c r="FN118" s="541"/>
      <c r="FO118" s="541"/>
      <c r="FP118" s="541"/>
      <c r="FQ118" s="541"/>
      <c r="FR118" s="541"/>
      <c r="FS118" s="541"/>
      <c r="FT118" s="541"/>
      <c r="FU118" s="541"/>
      <c r="FV118" s="541"/>
      <c r="FW118" s="541"/>
      <c r="FX118" s="541"/>
      <c r="FY118" s="541"/>
      <c r="FZ118" s="541"/>
      <c r="GA118" s="541"/>
      <c r="GB118" s="541"/>
      <c r="GC118" s="541"/>
      <c r="GD118" s="541"/>
      <c r="GE118" s="541"/>
      <c r="GF118" s="541"/>
      <c r="GG118" s="541"/>
      <c r="GH118" s="541"/>
      <c r="GI118" s="541"/>
      <c r="GJ118" s="541"/>
      <c r="GK118" s="541"/>
      <c r="GL118" s="541"/>
      <c r="GM118" s="541"/>
      <c r="GN118" s="541"/>
      <c r="GO118" s="541"/>
      <c r="GP118" s="541"/>
      <c r="GQ118" s="541"/>
      <c r="GR118" s="541"/>
      <c r="GS118" s="541"/>
      <c r="GT118" s="541"/>
      <c r="GU118" s="541"/>
      <c r="GV118" s="541"/>
      <c r="GW118" s="541"/>
      <c r="GX118" s="541"/>
      <c r="GY118" s="541"/>
      <c r="GZ118" s="541"/>
      <c r="HA118" s="541"/>
      <c r="HB118" s="541"/>
      <c r="HC118" s="541"/>
      <c r="HD118" s="541"/>
      <c r="HE118" s="541"/>
      <c r="HF118" s="541"/>
      <c r="HG118" s="541"/>
      <c r="HH118" s="541"/>
      <c r="HI118" s="541"/>
      <c r="HJ118" s="541"/>
      <c r="HK118" s="541"/>
      <c r="HL118" s="541"/>
      <c r="HM118" s="541"/>
      <c r="HN118" s="541"/>
      <c r="HO118" s="541"/>
    </row>
    <row r="119" spans="24:223" s="542" customFormat="1" ht="12.75">
      <c r="X119" s="541"/>
      <c r="Y119" s="541"/>
      <c r="Z119" s="541"/>
      <c r="AA119" s="541"/>
      <c r="AB119" s="541"/>
      <c r="AC119" s="541"/>
      <c r="AD119" s="541"/>
      <c r="AE119" s="541"/>
      <c r="AF119" s="541"/>
      <c r="AG119" s="541"/>
      <c r="AH119" s="541"/>
      <c r="AI119" s="541"/>
      <c r="AJ119" s="541"/>
      <c r="AK119" s="541"/>
      <c r="AL119" s="541"/>
      <c r="AM119" s="541"/>
      <c r="AN119" s="541"/>
      <c r="AO119" s="541"/>
      <c r="AP119" s="541"/>
      <c r="AQ119" s="541"/>
      <c r="AR119" s="541"/>
      <c r="AS119" s="541"/>
      <c r="AT119" s="541"/>
      <c r="AU119" s="541"/>
      <c r="AV119" s="541"/>
      <c r="AW119" s="541"/>
      <c r="AX119" s="541"/>
      <c r="AY119" s="541"/>
      <c r="AZ119" s="541"/>
      <c r="BA119" s="541"/>
      <c r="BB119" s="541"/>
      <c r="BC119" s="541"/>
      <c r="BD119" s="541"/>
      <c r="BE119" s="541"/>
      <c r="BF119" s="541"/>
      <c r="BG119" s="541"/>
      <c r="BH119" s="541"/>
      <c r="BI119" s="541"/>
      <c r="BJ119" s="541"/>
      <c r="BK119" s="541"/>
      <c r="BL119" s="541"/>
      <c r="BM119" s="541"/>
      <c r="BN119" s="541"/>
      <c r="BO119" s="541"/>
      <c r="BP119" s="541"/>
      <c r="BQ119" s="541"/>
      <c r="BR119" s="541"/>
      <c r="BS119" s="541"/>
      <c r="BT119" s="541"/>
      <c r="BU119" s="541"/>
      <c r="BV119" s="541"/>
      <c r="BW119" s="541"/>
      <c r="BX119" s="541"/>
      <c r="BY119" s="541"/>
      <c r="BZ119" s="541"/>
      <c r="CA119" s="541"/>
      <c r="CB119" s="541"/>
      <c r="CC119" s="541"/>
      <c r="CD119" s="541"/>
      <c r="CE119" s="541"/>
      <c r="CF119" s="541"/>
      <c r="CG119" s="541"/>
      <c r="CH119" s="541"/>
      <c r="CI119" s="541"/>
      <c r="CJ119" s="541"/>
      <c r="CK119" s="541"/>
      <c r="CL119" s="541"/>
      <c r="CM119" s="541"/>
      <c r="CN119" s="541"/>
      <c r="CO119" s="541"/>
      <c r="CP119" s="541"/>
      <c r="CQ119" s="541"/>
      <c r="CR119" s="541"/>
      <c r="CS119" s="541"/>
      <c r="CT119" s="541"/>
      <c r="CU119" s="541"/>
      <c r="CV119" s="541"/>
      <c r="CW119" s="541"/>
      <c r="CX119" s="541"/>
      <c r="CY119" s="541"/>
      <c r="CZ119" s="541"/>
      <c r="DA119" s="541"/>
      <c r="DB119" s="541"/>
      <c r="DC119" s="541"/>
      <c r="DD119" s="541"/>
      <c r="DE119" s="541"/>
      <c r="DF119" s="541"/>
      <c r="DG119" s="541"/>
      <c r="DH119" s="541"/>
      <c r="DI119" s="541"/>
      <c r="DJ119" s="541"/>
      <c r="DK119" s="541"/>
      <c r="DL119" s="541"/>
      <c r="DM119" s="541"/>
      <c r="DN119" s="541"/>
      <c r="DO119" s="541"/>
      <c r="DP119" s="541"/>
      <c r="DQ119" s="541"/>
      <c r="DR119" s="541"/>
      <c r="DS119" s="541"/>
      <c r="DT119" s="541"/>
      <c r="DU119" s="541"/>
      <c r="DV119" s="541"/>
      <c r="DW119" s="541"/>
      <c r="DX119" s="541"/>
      <c r="DY119" s="541"/>
      <c r="DZ119" s="541"/>
      <c r="EA119" s="541"/>
      <c r="EB119" s="541"/>
      <c r="EC119" s="541"/>
      <c r="ED119" s="541"/>
      <c r="EE119" s="541"/>
      <c r="EF119" s="541"/>
      <c r="EG119" s="541"/>
      <c r="EH119" s="541"/>
      <c r="EI119" s="541"/>
      <c r="EJ119" s="541"/>
      <c r="EK119" s="541"/>
      <c r="EL119" s="541"/>
      <c r="EM119" s="541"/>
      <c r="EN119" s="541"/>
      <c r="EO119" s="541"/>
      <c r="EP119" s="541"/>
      <c r="EQ119" s="541"/>
      <c r="ER119" s="541"/>
      <c r="ES119" s="541"/>
      <c r="ET119" s="541"/>
      <c r="EU119" s="541"/>
      <c r="EV119" s="541"/>
      <c r="EW119" s="541"/>
      <c r="EX119" s="541"/>
      <c r="EY119" s="541"/>
      <c r="EZ119" s="541"/>
      <c r="FA119" s="541"/>
      <c r="FB119" s="541"/>
      <c r="FC119" s="541"/>
      <c r="FD119" s="541"/>
      <c r="FE119" s="541"/>
      <c r="FF119" s="541"/>
      <c r="FG119" s="541"/>
      <c r="FH119" s="541"/>
      <c r="FI119" s="541"/>
      <c r="FJ119" s="541"/>
      <c r="FK119" s="541"/>
      <c r="FL119" s="541"/>
      <c r="FM119" s="541"/>
      <c r="FN119" s="541"/>
      <c r="FO119" s="541"/>
      <c r="FP119" s="541"/>
      <c r="FQ119" s="541"/>
      <c r="FR119" s="541"/>
      <c r="FS119" s="541"/>
      <c r="FT119" s="541"/>
      <c r="FU119" s="541"/>
      <c r="FV119" s="541"/>
      <c r="FW119" s="541"/>
      <c r="FX119" s="541"/>
      <c r="FY119" s="541"/>
      <c r="FZ119" s="541"/>
      <c r="GA119" s="541"/>
      <c r="GB119" s="541"/>
      <c r="GC119" s="541"/>
      <c r="GD119" s="541"/>
      <c r="GE119" s="541"/>
      <c r="GF119" s="541"/>
      <c r="GG119" s="541"/>
      <c r="GH119" s="541"/>
      <c r="GI119" s="541"/>
      <c r="GJ119" s="541"/>
      <c r="GK119" s="541"/>
      <c r="GL119" s="541"/>
      <c r="GM119" s="541"/>
      <c r="GN119" s="541"/>
      <c r="GO119" s="541"/>
      <c r="GP119" s="541"/>
      <c r="GQ119" s="541"/>
      <c r="GR119" s="541"/>
      <c r="GS119" s="541"/>
      <c r="GT119" s="541"/>
      <c r="GU119" s="541"/>
      <c r="GV119" s="541"/>
      <c r="GW119" s="541"/>
      <c r="GX119" s="541"/>
      <c r="GY119" s="541"/>
      <c r="GZ119" s="541"/>
      <c r="HA119" s="541"/>
      <c r="HB119" s="541"/>
      <c r="HC119" s="541"/>
      <c r="HD119" s="541"/>
      <c r="HE119" s="541"/>
      <c r="HF119" s="541"/>
      <c r="HG119" s="541"/>
      <c r="HH119" s="541"/>
      <c r="HI119" s="541"/>
      <c r="HJ119" s="541"/>
      <c r="HK119" s="541"/>
      <c r="HL119" s="541"/>
      <c r="HM119" s="541"/>
      <c r="HN119" s="541"/>
      <c r="HO119" s="541"/>
    </row>
    <row r="120" spans="24:223" s="542" customFormat="1" ht="12.75">
      <c r="X120" s="541"/>
      <c r="Y120" s="541"/>
      <c r="Z120" s="541"/>
      <c r="AA120" s="541"/>
      <c r="AB120" s="541"/>
      <c r="AC120" s="541"/>
      <c r="AD120" s="541"/>
      <c r="AE120" s="541"/>
      <c r="AF120" s="541"/>
      <c r="AG120" s="541"/>
      <c r="AH120" s="541"/>
      <c r="AI120" s="541"/>
      <c r="AJ120" s="541"/>
      <c r="AK120" s="541"/>
      <c r="AL120" s="541"/>
      <c r="AM120" s="541"/>
      <c r="AN120" s="541"/>
      <c r="AO120" s="541"/>
      <c r="AP120" s="541"/>
      <c r="AQ120" s="541"/>
      <c r="AR120" s="541"/>
      <c r="AS120" s="541"/>
      <c r="AT120" s="541"/>
      <c r="AU120" s="541"/>
      <c r="AV120" s="541"/>
      <c r="AW120" s="541"/>
      <c r="AX120" s="541"/>
      <c r="AY120" s="541"/>
      <c r="AZ120" s="541"/>
      <c r="BA120" s="541"/>
      <c r="BB120" s="541"/>
      <c r="BC120" s="541"/>
      <c r="BD120" s="541"/>
      <c r="BE120" s="541"/>
      <c r="BF120" s="541"/>
      <c r="BG120" s="541"/>
      <c r="BH120" s="541"/>
      <c r="BI120" s="541"/>
      <c r="BJ120" s="541"/>
      <c r="BK120" s="541"/>
      <c r="BL120" s="541"/>
      <c r="BM120" s="541"/>
      <c r="BN120" s="541"/>
      <c r="BO120" s="541"/>
      <c r="BP120" s="541"/>
      <c r="BQ120" s="541"/>
      <c r="BR120" s="541"/>
      <c r="BS120" s="541"/>
      <c r="BT120" s="541"/>
      <c r="BU120" s="541"/>
      <c r="BV120" s="541"/>
      <c r="BW120" s="541"/>
      <c r="BX120" s="541"/>
      <c r="BY120" s="541"/>
      <c r="BZ120" s="541"/>
      <c r="CA120" s="541"/>
      <c r="CB120" s="541"/>
      <c r="CC120" s="541"/>
      <c r="CD120" s="541"/>
      <c r="CE120" s="541"/>
      <c r="CF120" s="541"/>
      <c r="CG120" s="541"/>
      <c r="CH120" s="541"/>
      <c r="CI120" s="541"/>
      <c r="CJ120" s="541"/>
      <c r="CK120" s="541"/>
      <c r="CL120" s="541"/>
      <c r="CM120" s="541"/>
      <c r="CN120" s="541"/>
      <c r="CO120" s="541"/>
      <c r="CP120" s="541"/>
      <c r="CQ120" s="541"/>
      <c r="CR120" s="541"/>
      <c r="CS120" s="541"/>
      <c r="CT120" s="541"/>
      <c r="CU120" s="541"/>
      <c r="CV120" s="541"/>
      <c r="CW120" s="541"/>
      <c r="CX120" s="541"/>
      <c r="CY120" s="541"/>
      <c r="CZ120" s="541"/>
      <c r="DA120" s="541"/>
      <c r="DB120" s="541"/>
      <c r="DC120" s="541"/>
      <c r="DD120" s="541"/>
      <c r="DE120" s="541"/>
      <c r="DF120" s="541"/>
      <c r="DG120" s="541"/>
      <c r="DH120" s="541"/>
      <c r="DI120" s="541"/>
      <c r="DJ120" s="541"/>
      <c r="DK120" s="541"/>
      <c r="DL120" s="541"/>
      <c r="DM120" s="541"/>
      <c r="DN120" s="541"/>
      <c r="DO120" s="541"/>
      <c r="DP120" s="541"/>
      <c r="DQ120" s="541"/>
      <c r="DR120" s="541"/>
      <c r="DS120" s="541"/>
      <c r="DT120" s="541"/>
      <c r="DU120" s="541"/>
      <c r="DV120" s="541"/>
      <c r="DW120" s="541"/>
      <c r="DX120" s="541"/>
      <c r="DY120" s="541"/>
      <c r="DZ120" s="541"/>
      <c r="EA120" s="541"/>
      <c r="EB120" s="541"/>
      <c r="EC120" s="541"/>
      <c r="ED120" s="541"/>
      <c r="EE120" s="541"/>
      <c r="EF120" s="541"/>
      <c r="EG120" s="541"/>
      <c r="EH120" s="541"/>
      <c r="EI120" s="541"/>
      <c r="EJ120" s="541"/>
      <c r="EK120" s="541"/>
      <c r="EL120" s="541"/>
      <c r="EM120" s="541"/>
      <c r="EN120" s="541"/>
      <c r="EO120" s="541"/>
      <c r="EP120" s="541"/>
      <c r="EQ120" s="541"/>
      <c r="ER120" s="541"/>
      <c r="ES120" s="541"/>
      <c r="ET120" s="541"/>
      <c r="EU120" s="541"/>
      <c r="EV120" s="541"/>
      <c r="EW120" s="541"/>
      <c r="EX120" s="541"/>
      <c r="EY120" s="541"/>
      <c r="EZ120" s="541"/>
      <c r="FA120" s="541"/>
      <c r="FB120" s="541"/>
      <c r="FC120" s="541"/>
      <c r="FD120" s="541"/>
      <c r="FE120" s="541"/>
      <c r="FF120" s="541"/>
      <c r="FG120" s="541"/>
      <c r="FH120" s="541"/>
      <c r="FI120" s="541"/>
      <c r="FJ120" s="541"/>
      <c r="FK120" s="541"/>
      <c r="FL120" s="541"/>
      <c r="FM120" s="541"/>
      <c r="FN120" s="541"/>
      <c r="FO120" s="541"/>
      <c r="FP120" s="541"/>
      <c r="FQ120" s="541"/>
      <c r="FR120" s="541"/>
      <c r="FS120" s="541"/>
      <c r="FT120" s="541"/>
      <c r="FU120" s="541"/>
      <c r="FV120" s="541"/>
      <c r="FW120" s="541"/>
      <c r="FX120" s="541"/>
      <c r="FY120" s="541"/>
      <c r="FZ120" s="541"/>
      <c r="GA120" s="541"/>
      <c r="GB120" s="541"/>
      <c r="GC120" s="541"/>
      <c r="GD120" s="541"/>
      <c r="GE120" s="541"/>
      <c r="GF120" s="541"/>
      <c r="GG120" s="541"/>
      <c r="GH120" s="541"/>
      <c r="GI120" s="541"/>
      <c r="GJ120" s="541"/>
      <c r="GK120" s="541"/>
      <c r="GL120" s="541"/>
      <c r="GM120" s="541"/>
      <c r="GN120" s="541"/>
      <c r="GO120" s="541"/>
      <c r="GP120" s="541"/>
      <c r="GQ120" s="541"/>
      <c r="GR120" s="541"/>
      <c r="GS120" s="541"/>
      <c r="GT120" s="541"/>
      <c r="GU120" s="541"/>
      <c r="GV120" s="541"/>
      <c r="GW120" s="541"/>
      <c r="GX120" s="541"/>
      <c r="GY120" s="541"/>
      <c r="GZ120" s="541"/>
      <c r="HA120" s="541"/>
      <c r="HB120" s="541"/>
      <c r="HC120" s="541"/>
      <c r="HD120" s="541"/>
      <c r="HE120" s="541"/>
      <c r="HF120" s="541"/>
      <c r="HG120" s="541"/>
      <c r="HH120" s="541"/>
      <c r="HI120" s="541"/>
      <c r="HJ120" s="541"/>
      <c r="HK120" s="541"/>
      <c r="HL120" s="541"/>
      <c r="HM120" s="541"/>
      <c r="HN120" s="541"/>
      <c r="HO120" s="541"/>
    </row>
    <row r="121" spans="24:223" s="542" customFormat="1" ht="12.75">
      <c r="X121" s="541"/>
      <c r="Y121" s="541"/>
      <c r="Z121" s="541"/>
      <c r="AA121" s="541"/>
      <c r="AB121" s="541"/>
      <c r="AC121" s="541"/>
      <c r="AD121" s="541"/>
      <c r="AE121" s="541"/>
      <c r="AF121" s="541"/>
      <c r="AG121" s="541"/>
      <c r="AH121" s="541"/>
      <c r="AI121" s="541"/>
      <c r="AJ121" s="541"/>
      <c r="AK121" s="541"/>
      <c r="AL121" s="541"/>
      <c r="AM121" s="541"/>
      <c r="AN121" s="541"/>
      <c r="AO121" s="541"/>
      <c r="AP121" s="541"/>
      <c r="AQ121" s="541"/>
      <c r="AR121" s="541"/>
      <c r="AS121" s="541"/>
      <c r="AT121" s="541"/>
      <c r="AU121" s="541"/>
      <c r="AV121" s="541"/>
      <c r="AW121" s="541"/>
      <c r="AX121" s="541"/>
      <c r="AY121" s="541"/>
      <c r="AZ121" s="541"/>
      <c r="BA121" s="541"/>
      <c r="BB121" s="541"/>
      <c r="BC121" s="541"/>
      <c r="BD121" s="541"/>
      <c r="BE121" s="541"/>
      <c r="BF121" s="541"/>
      <c r="BG121" s="541"/>
      <c r="BH121" s="541"/>
      <c r="BI121" s="541"/>
      <c r="BJ121" s="541"/>
      <c r="BK121" s="541"/>
      <c r="BL121" s="541"/>
      <c r="BM121" s="541"/>
      <c r="BN121" s="541"/>
      <c r="BO121" s="541"/>
      <c r="BP121" s="541"/>
      <c r="BQ121" s="541"/>
      <c r="BR121" s="541"/>
      <c r="BS121" s="541"/>
      <c r="BT121" s="541"/>
      <c r="BU121" s="541"/>
      <c r="BV121" s="541"/>
      <c r="BW121" s="541"/>
      <c r="BX121" s="541"/>
      <c r="BY121" s="541"/>
      <c r="BZ121" s="541"/>
      <c r="CA121" s="541"/>
      <c r="CB121" s="541"/>
      <c r="CC121" s="541"/>
      <c r="CD121" s="541"/>
      <c r="CE121" s="541"/>
      <c r="CF121" s="541"/>
      <c r="CG121" s="541"/>
      <c r="CH121" s="541"/>
      <c r="CI121" s="541"/>
      <c r="CJ121" s="541"/>
      <c r="CK121" s="541"/>
      <c r="CL121" s="541"/>
      <c r="CM121" s="541"/>
      <c r="CN121" s="541"/>
      <c r="CO121" s="541"/>
      <c r="CP121" s="541"/>
      <c r="CQ121" s="541"/>
      <c r="CR121" s="541"/>
      <c r="CS121" s="541"/>
      <c r="CT121" s="541"/>
      <c r="CU121" s="541"/>
      <c r="CV121" s="541"/>
      <c r="CW121" s="541"/>
      <c r="CX121" s="541"/>
      <c r="CY121" s="541"/>
      <c r="CZ121" s="541"/>
      <c r="DA121" s="541"/>
      <c r="DB121" s="541"/>
      <c r="DC121" s="541"/>
      <c r="DD121" s="541"/>
      <c r="DE121" s="541"/>
      <c r="DF121" s="541"/>
      <c r="DG121" s="541"/>
      <c r="DH121" s="541"/>
      <c r="DI121" s="541"/>
      <c r="DJ121" s="541"/>
      <c r="DK121" s="541"/>
      <c r="DL121" s="541"/>
      <c r="DM121" s="541"/>
      <c r="DN121" s="541"/>
      <c r="DO121" s="541"/>
      <c r="DP121" s="541"/>
      <c r="DQ121" s="541"/>
      <c r="DR121" s="541"/>
      <c r="DS121" s="541"/>
      <c r="DT121" s="541"/>
      <c r="DU121" s="541"/>
      <c r="DV121" s="541"/>
      <c r="DW121" s="541"/>
      <c r="DX121" s="541"/>
      <c r="DY121" s="541"/>
      <c r="DZ121" s="541"/>
      <c r="EA121" s="541"/>
      <c r="EB121" s="541"/>
      <c r="EC121" s="541"/>
      <c r="ED121" s="541"/>
      <c r="EE121" s="541"/>
      <c r="EF121" s="541"/>
      <c r="EG121" s="541"/>
      <c r="EH121" s="541"/>
      <c r="EI121" s="541"/>
      <c r="EJ121" s="541"/>
      <c r="EK121" s="541"/>
      <c r="EL121" s="541"/>
      <c r="EM121" s="541"/>
      <c r="EN121" s="541"/>
      <c r="EO121" s="541"/>
      <c r="EP121" s="541"/>
      <c r="EQ121" s="541"/>
      <c r="ER121" s="541"/>
      <c r="ES121" s="541"/>
      <c r="ET121" s="541"/>
      <c r="EU121" s="541"/>
      <c r="EV121" s="541"/>
      <c r="EW121" s="541"/>
      <c r="EX121" s="541"/>
      <c r="EY121" s="541"/>
      <c r="EZ121" s="541"/>
      <c r="FA121" s="541"/>
      <c r="FB121" s="541"/>
      <c r="FC121" s="541"/>
      <c r="FD121" s="541"/>
      <c r="FE121" s="541"/>
      <c r="FF121" s="541"/>
      <c r="FG121" s="541"/>
      <c r="FH121" s="541"/>
      <c r="FI121" s="541"/>
      <c r="FJ121" s="541"/>
      <c r="FK121" s="541"/>
      <c r="FL121" s="541"/>
      <c r="FM121" s="541"/>
      <c r="FN121" s="541"/>
      <c r="FO121" s="541"/>
      <c r="FP121" s="541"/>
      <c r="FQ121" s="541"/>
      <c r="FR121" s="541"/>
      <c r="FS121" s="541"/>
      <c r="FT121" s="541"/>
      <c r="FU121" s="541"/>
      <c r="FV121" s="541"/>
      <c r="FW121" s="541"/>
      <c r="FX121" s="541"/>
      <c r="FY121" s="541"/>
      <c r="FZ121" s="541"/>
      <c r="GA121" s="541"/>
      <c r="GB121" s="541"/>
      <c r="GC121" s="541"/>
      <c r="GD121" s="541"/>
      <c r="GE121" s="541"/>
      <c r="GF121" s="541"/>
      <c r="GG121" s="541"/>
      <c r="GH121" s="541"/>
      <c r="GI121" s="541"/>
      <c r="GJ121" s="541"/>
      <c r="GK121" s="541"/>
      <c r="GL121" s="541"/>
      <c r="GM121" s="541"/>
      <c r="GN121" s="541"/>
      <c r="GO121" s="541"/>
      <c r="GP121" s="541"/>
      <c r="GQ121" s="541"/>
      <c r="GR121" s="541"/>
      <c r="GS121" s="541"/>
      <c r="GT121" s="541"/>
      <c r="GU121" s="541"/>
      <c r="GV121" s="541"/>
      <c r="GW121" s="541"/>
      <c r="GX121" s="541"/>
      <c r="GY121" s="541"/>
      <c r="GZ121" s="541"/>
      <c r="HA121" s="541"/>
      <c r="HB121" s="541"/>
      <c r="HC121" s="541"/>
      <c r="HD121" s="541"/>
      <c r="HE121" s="541"/>
      <c r="HF121" s="541"/>
      <c r="HG121" s="541"/>
      <c r="HH121" s="541"/>
      <c r="HI121" s="541"/>
      <c r="HJ121" s="541"/>
      <c r="HK121" s="541"/>
      <c r="HL121" s="541"/>
      <c r="HM121" s="541"/>
      <c r="HN121" s="541"/>
      <c r="HO121" s="541"/>
    </row>
    <row r="122" spans="24:223" s="542" customFormat="1" ht="12.75">
      <c r="X122" s="541"/>
      <c r="Y122" s="541"/>
      <c r="Z122" s="541"/>
      <c r="AA122" s="541"/>
      <c r="AB122" s="541"/>
      <c r="AC122" s="541"/>
      <c r="AD122" s="541"/>
      <c r="AE122" s="541"/>
      <c r="AF122" s="541"/>
      <c r="AG122" s="541"/>
      <c r="AH122" s="541"/>
      <c r="AI122" s="541"/>
      <c r="AJ122" s="541"/>
      <c r="AK122" s="541"/>
      <c r="AL122" s="541"/>
      <c r="AM122" s="541"/>
      <c r="AN122" s="541"/>
      <c r="AO122" s="541"/>
      <c r="AP122" s="541"/>
      <c r="AQ122" s="541"/>
      <c r="AR122" s="541"/>
      <c r="AS122" s="541"/>
      <c r="AT122" s="541"/>
      <c r="AU122" s="541"/>
      <c r="AV122" s="541"/>
      <c r="AW122" s="541"/>
      <c r="AX122" s="541"/>
      <c r="AY122" s="541"/>
      <c r="AZ122" s="541"/>
      <c r="BA122" s="541"/>
      <c r="BB122" s="541"/>
      <c r="BC122" s="541"/>
      <c r="BD122" s="541"/>
      <c r="BE122" s="541"/>
      <c r="BF122" s="541"/>
      <c r="BG122" s="541"/>
      <c r="BH122" s="541"/>
      <c r="BI122" s="541"/>
      <c r="BJ122" s="541"/>
      <c r="BK122" s="541"/>
      <c r="BL122" s="541"/>
      <c r="BM122" s="541"/>
      <c r="BN122" s="541"/>
      <c r="BO122" s="541"/>
      <c r="BP122" s="541"/>
      <c r="BQ122" s="541"/>
      <c r="BR122" s="541"/>
      <c r="BS122" s="541"/>
      <c r="BT122" s="541"/>
      <c r="BU122" s="541"/>
      <c r="BV122" s="541"/>
      <c r="BW122" s="541"/>
      <c r="BX122" s="541"/>
      <c r="BY122" s="541"/>
      <c r="BZ122" s="541"/>
      <c r="CA122" s="541"/>
      <c r="CB122" s="541"/>
      <c r="CC122" s="541"/>
      <c r="CD122" s="541"/>
      <c r="CE122" s="541"/>
      <c r="CF122" s="541"/>
      <c r="CG122" s="541"/>
      <c r="CH122" s="541"/>
      <c r="CI122" s="541"/>
      <c r="CJ122" s="541"/>
      <c r="CK122" s="541"/>
      <c r="CL122" s="541"/>
      <c r="CM122" s="541"/>
      <c r="CN122" s="541"/>
      <c r="CO122" s="541"/>
      <c r="CP122" s="541"/>
      <c r="CQ122" s="541"/>
      <c r="CR122" s="541"/>
      <c r="CS122" s="541"/>
      <c r="CT122" s="541"/>
      <c r="CU122" s="541"/>
      <c r="CV122" s="541"/>
      <c r="CW122" s="541"/>
      <c r="CX122" s="541"/>
      <c r="CY122" s="541"/>
      <c r="CZ122" s="541"/>
      <c r="DA122" s="541"/>
      <c r="DB122" s="541"/>
      <c r="DC122" s="541"/>
      <c r="DD122" s="541"/>
      <c r="DE122" s="541"/>
      <c r="DF122" s="541"/>
      <c r="DG122" s="541"/>
      <c r="DH122" s="541"/>
      <c r="DI122" s="541"/>
      <c r="DJ122" s="541"/>
      <c r="DK122" s="541"/>
      <c r="DL122" s="541"/>
      <c r="DM122" s="541"/>
      <c r="DN122" s="541"/>
      <c r="DO122" s="541"/>
      <c r="DP122" s="541"/>
      <c r="DQ122" s="541"/>
      <c r="DR122" s="541"/>
      <c r="DS122" s="541"/>
      <c r="DT122" s="541"/>
      <c r="DU122" s="541"/>
      <c r="DV122" s="541"/>
      <c r="DW122" s="541"/>
      <c r="DX122" s="541"/>
      <c r="DY122" s="541"/>
      <c r="DZ122" s="541"/>
      <c r="EA122" s="541"/>
      <c r="EB122" s="541"/>
      <c r="EC122" s="541"/>
      <c r="ED122" s="541"/>
      <c r="EE122" s="541"/>
      <c r="EF122" s="541"/>
      <c r="EG122" s="541"/>
      <c r="EH122" s="541"/>
      <c r="EI122" s="541"/>
      <c r="EJ122" s="541"/>
      <c r="EK122" s="541"/>
      <c r="EL122" s="541"/>
      <c r="EM122" s="541"/>
      <c r="EN122" s="541"/>
      <c r="EO122" s="541"/>
      <c r="EP122" s="541"/>
      <c r="EQ122" s="541"/>
      <c r="ER122" s="541"/>
      <c r="ES122" s="541"/>
      <c r="ET122" s="541"/>
      <c r="EU122" s="541"/>
      <c r="EV122" s="541"/>
      <c r="EW122" s="541"/>
      <c r="EX122" s="541"/>
      <c r="EY122" s="541"/>
      <c r="EZ122" s="541"/>
      <c r="FA122" s="541"/>
      <c r="FB122" s="541"/>
      <c r="FC122" s="541"/>
      <c r="FD122" s="541"/>
      <c r="FE122" s="541"/>
      <c r="FF122" s="541"/>
      <c r="FG122" s="541"/>
      <c r="FH122" s="541"/>
      <c r="FI122" s="541"/>
      <c r="FJ122" s="541"/>
      <c r="FK122" s="541"/>
      <c r="FL122" s="541"/>
      <c r="FM122" s="541"/>
      <c r="FN122" s="541"/>
      <c r="FO122" s="541"/>
      <c r="FP122" s="541"/>
      <c r="FQ122" s="541"/>
      <c r="FR122" s="541"/>
      <c r="FS122" s="541"/>
      <c r="FT122" s="541"/>
      <c r="FU122" s="541"/>
      <c r="FV122" s="541"/>
      <c r="FW122" s="541"/>
      <c r="FX122" s="541"/>
      <c r="FY122" s="541"/>
      <c r="FZ122" s="541"/>
      <c r="GA122" s="541"/>
      <c r="GB122" s="541"/>
      <c r="GC122" s="541"/>
      <c r="GD122" s="541"/>
      <c r="GE122" s="541"/>
      <c r="GF122" s="541"/>
      <c r="GG122" s="541"/>
      <c r="GH122" s="541"/>
      <c r="GI122" s="541"/>
      <c r="GJ122" s="541"/>
      <c r="GK122" s="541"/>
      <c r="GL122" s="541"/>
      <c r="GM122" s="541"/>
      <c r="GN122" s="541"/>
      <c r="GO122" s="541"/>
      <c r="GP122" s="541"/>
      <c r="GQ122" s="541"/>
      <c r="GR122" s="541"/>
      <c r="GS122" s="541"/>
      <c r="GT122" s="541"/>
      <c r="GU122" s="541"/>
      <c r="GV122" s="541"/>
      <c r="GW122" s="541"/>
      <c r="GX122" s="541"/>
      <c r="GY122" s="541"/>
      <c r="GZ122" s="541"/>
      <c r="HA122" s="541"/>
      <c r="HB122" s="541"/>
      <c r="HC122" s="541"/>
      <c r="HD122" s="541"/>
      <c r="HE122" s="541"/>
      <c r="HF122" s="541"/>
      <c r="HG122" s="541"/>
      <c r="HH122" s="541"/>
      <c r="HI122" s="541"/>
      <c r="HJ122" s="541"/>
      <c r="HK122" s="541"/>
      <c r="HL122" s="541"/>
      <c r="HM122" s="541"/>
      <c r="HN122" s="541"/>
      <c r="HO122" s="541"/>
    </row>
    <row r="123" spans="24:223" s="542" customFormat="1" ht="12.75">
      <c r="X123" s="541"/>
      <c r="Y123" s="541"/>
      <c r="Z123" s="541"/>
      <c r="AA123" s="541"/>
      <c r="AB123" s="541"/>
      <c r="AC123" s="541"/>
      <c r="AD123" s="541"/>
      <c r="AE123" s="541"/>
      <c r="AF123" s="541"/>
      <c r="AG123" s="541"/>
      <c r="AH123" s="541"/>
      <c r="AI123" s="541"/>
      <c r="AJ123" s="541"/>
      <c r="AK123" s="541"/>
      <c r="AL123" s="541"/>
      <c r="AM123" s="541"/>
      <c r="AN123" s="541"/>
      <c r="AO123" s="541"/>
      <c r="AP123" s="541"/>
      <c r="AQ123" s="541"/>
      <c r="AR123" s="541"/>
      <c r="AS123" s="541"/>
      <c r="AT123" s="541"/>
      <c r="AU123" s="541"/>
      <c r="AV123" s="541"/>
      <c r="AW123" s="541"/>
      <c r="AX123" s="541"/>
      <c r="AY123" s="541"/>
      <c r="AZ123" s="541"/>
      <c r="BA123" s="541"/>
      <c r="BB123" s="541"/>
      <c r="BC123" s="541"/>
      <c r="BD123" s="541"/>
      <c r="BE123" s="541"/>
      <c r="BF123" s="541"/>
      <c r="BG123" s="541"/>
      <c r="BH123" s="541"/>
      <c r="BI123" s="541"/>
      <c r="BJ123" s="541"/>
      <c r="BK123" s="541"/>
      <c r="BL123" s="541"/>
      <c r="BM123" s="541"/>
      <c r="BN123" s="541"/>
      <c r="BO123" s="541"/>
      <c r="BP123" s="541"/>
      <c r="BQ123" s="541"/>
      <c r="BR123" s="541"/>
      <c r="BS123" s="541"/>
      <c r="BT123" s="541"/>
      <c r="BU123" s="541"/>
      <c r="BV123" s="541"/>
      <c r="BW123" s="541"/>
      <c r="BX123" s="541"/>
      <c r="BY123" s="541"/>
      <c r="BZ123" s="541"/>
      <c r="CA123" s="541"/>
      <c r="CB123" s="541"/>
      <c r="CC123" s="541"/>
      <c r="CD123" s="541"/>
      <c r="CE123" s="541"/>
      <c r="CF123" s="541"/>
      <c r="CG123" s="541"/>
      <c r="CH123" s="541"/>
      <c r="CI123" s="541"/>
      <c r="CJ123" s="541"/>
      <c r="CK123" s="541"/>
      <c r="CL123" s="541"/>
      <c r="CM123" s="541"/>
      <c r="CN123" s="541"/>
      <c r="CO123" s="541"/>
      <c r="CP123" s="541"/>
      <c r="CQ123" s="541"/>
      <c r="CR123" s="541"/>
      <c r="CS123" s="541"/>
      <c r="CT123" s="541"/>
      <c r="CU123" s="541"/>
      <c r="CV123" s="541"/>
      <c r="CW123" s="541"/>
      <c r="CX123" s="541"/>
      <c r="CY123" s="541"/>
      <c r="CZ123" s="541"/>
      <c r="DA123" s="541"/>
      <c r="DB123" s="541"/>
      <c r="DC123" s="541"/>
      <c r="DD123" s="541"/>
      <c r="DE123" s="541"/>
      <c r="DF123" s="541"/>
      <c r="DG123" s="541"/>
      <c r="DH123" s="541"/>
      <c r="DI123" s="541"/>
      <c r="DJ123" s="541"/>
      <c r="DK123" s="541"/>
      <c r="DL123" s="541"/>
      <c r="DM123" s="541"/>
      <c r="DN123" s="541"/>
      <c r="DO123" s="541"/>
      <c r="DP123" s="541"/>
      <c r="DQ123" s="541"/>
      <c r="DR123" s="541"/>
      <c r="DS123" s="541"/>
      <c r="DT123" s="541"/>
      <c r="DU123" s="541"/>
      <c r="DV123" s="541"/>
      <c r="DW123" s="541"/>
      <c r="DX123" s="541"/>
      <c r="DY123" s="541"/>
      <c r="DZ123" s="541"/>
      <c r="EA123" s="541"/>
      <c r="EB123" s="541"/>
      <c r="EC123" s="541"/>
      <c r="ED123" s="541"/>
      <c r="EE123" s="541"/>
      <c r="EF123" s="541"/>
      <c r="EG123" s="541"/>
      <c r="EH123" s="541"/>
      <c r="EI123" s="541"/>
      <c r="EJ123" s="541"/>
      <c r="EK123" s="541"/>
      <c r="EL123" s="541"/>
      <c r="EM123" s="541"/>
      <c r="EN123" s="541"/>
      <c r="EO123" s="541"/>
      <c r="EP123" s="541"/>
      <c r="EQ123" s="541"/>
      <c r="ER123" s="541"/>
      <c r="ES123" s="541"/>
      <c r="ET123" s="541"/>
      <c r="EU123" s="541"/>
      <c r="EV123" s="541"/>
      <c r="EW123" s="541"/>
      <c r="EX123" s="541"/>
      <c r="EY123" s="541"/>
      <c r="EZ123" s="541"/>
      <c r="FA123" s="541"/>
      <c r="FB123" s="541"/>
      <c r="FC123" s="541"/>
      <c r="FD123" s="541"/>
      <c r="FE123" s="541"/>
      <c r="FF123" s="541"/>
      <c r="FG123" s="541"/>
      <c r="FH123" s="541"/>
      <c r="FI123" s="541"/>
      <c r="FJ123" s="541"/>
      <c r="FK123" s="541"/>
      <c r="FL123" s="541"/>
      <c r="FM123" s="541"/>
      <c r="FN123" s="541"/>
      <c r="FO123" s="541"/>
      <c r="FP123" s="541"/>
      <c r="FQ123" s="541"/>
      <c r="FR123" s="541"/>
      <c r="FS123" s="541"/>
      <c r="FT123" s="541"/>
      <c r="FU123" s="541"/>
      <c r="FV123" s="541"/>
      <c r="FW123" s="541"/>
      <c r="FX123" s="541"/>
      <c r="FY123" s="541"/>
      <c r="FZ123" s="541"/>
      <c r="GA123" s="541"/>
      <c r="GB123" s="541"/>
      <c r="GC123" s="541"/>
      <c r="GD123" s="541"/>
      <c r="GE123" s="541"/>
      <c r="GF123" s="541"/>
      <c r="GG123" s="541"/>
      <c r="GH123" s="541"/>
      <c r="GI123" s="541"/>
      <c r="GJ123" s="541"/>
      <c r="GK123" s="541"/>
      <c r="GL123" s="541"/>
      <c r="GM123" s="541"/>
      <c r="GN123" s="541"/>
      <c r="GO123" s="541"/>
      <c r="GP123" s="541"/>
      <c r="GQ123" s="541"/>
      <c r="GR123" s="541"/>
      <c r="GS123" s="541"/>
      <c r="GT123" s="541"/>
      <c r="GU123" s="541"/>
      <c r="GV123" s="541"/>
      <c r="GW123" s="541"/>
      <c r="GX123" s="541"/>
      <c r="GY123" s="541"/>
      <c r="GZ123" s="541"/>
      <c r="HA123" s="541"/>
      <c r="HB123" s="541"/>
      <c r="HC123" s="541"/>
      <c r="HD123" s="541"/>
      <c r="HE123" s="541"/>
      <c r="HF123" s="541"/>
      <c r="HG123" s="541"/>
      <c r="HH123" s="541"/>
      <c r="HI123" s="541"/>
      <c r="HJ123" s="541"/>
      <c r="HK123" s="541"/>
      <c r="HL123" s="541"/>
      <c r="HM123" s="541"/>
      <c r="HN123" s="541"/>
      <c r="HO123" s="541"/>
    </row>
    <row r="124" spans="24:223" s="542" customFormat="1" ht="12.75"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541"/>
      <c r="AT124" s="541"/>
      <c r="AU124" s="541"/>
      <c r="AV124" s="541"/>
      <c r="AW124" s="541"/>
      <c r="AX124" s="541"/>
      <c r="AY124" s="541"/>
      <c r="AZ124" s="541"/>
      <c r="BA124" s="541"/>
      <c r="BB124" s="541"/>
      <c r="BC124" s="541"/>
      <c r="BD124" s="541"/>
      <c r="BE124" s="541"/>
      <c r="BF124" s="541"/>
      <c r="BG124" s="541"/>
      <c r="BH124" s="541"/>
      <c r="BI124" s="541"/>
      <c r="BJ124" s="541"/>
      <c r="BK124" s="541"/>
      <c r="BL124" s="541"/>
      <c r="BM124" s="541"/>
      <c r="BN124" s="541"/>
      <c r="BO124" s="541"/>
      <c r="BP124" s="541"/>
      <c r="BQ124" s="541"/>
      <c r="BR124" s="541"/>
      <c r="BS124" s="541"/>
      <c r="BT124" s="541"/>
      <c r="BU124" s="541"/>
      <c r="BV124" s="541"/>
      <c r="BW124" s="541"/>
      <c r="BX124" s="541"/>
      <c r="BY124" s="541"/>
      <c r="BZ124" s="541"/>
      <c r="CA124" s="541"/>
      <c r="CB124" s="541"/>
      <c r="CC124" s="541"/>
      <c r="CD124" s="541"/>
      <c r="CE124" s="541"/>
      <c r="CF124" s="541"/>
      <c r="CG124" s="541"/>
      <c r="CH124" s="541"/>
      <c r="CI124" s="541"/>
      <c r="CJ124" s="541"/>
      <c r="CK124" s="541"/>
      <c r="CL124" s="541"/>
      <c r="CM124" s="541"/>
      <c r="CN124" s="541"/>
      <c r="CO124" s="541"/>
      <c r="CP124" s="541"/>
      <c r="CQ124" s="541"/>
      <c r="CR124" s="541"/>
      <c r="CS124" s="541"/>
      <c r="CT124" s="541"/>
      <c r="CU124" s="541"/>
      <c r="CV124" s="541"/>
      <c r="CW124" s="541"/>
      <c r="CX124" s="541"/>
      <c r="CY124" s="541"/>
      <c r="CZ124" s="541"/>
      <c r="DA124" s="541"/>
      <c r="DB124" s="541"/>
      <c r="DC124" s="541"/>
      <c r="DD124" s="541"/>
      <c r="DE124" s="541"/>
      <c r="DF124" s="541"/>
      <c r="DG124" s="541"/>
      <c r="DH124" s="541"/>
      <c r="DI124" s="541"/>
      <c r="DJ124" s="541"/>
      <c r="DK124" s="541"/>
      <c r="DL124" s="541"/>
      <c r="DM124" s="541"/>
      <c r="DN124" s="541"/>
      <c r="DO124" s="541"/>
      <c r="DP124" s="541"/>
      <c r="DQ124" s="541"/>
      <c r="DR124" s="541"/>
      <c r="DS124" s="541"/>
      <c r="DT124" s="541"/>
      <c r="DU124" s="541"/>
      <c r="DV124" s="541"/>
      <c r="DW124" s="541"/>
      <c r="DX124" s="541"/>
      <c r="DY124" s="541"/>
      <c r="DZ124" s="541"/>
      <c r="EA124" s="541"/>
      <c r="EB124" s="541"/>
      <c r="EC124" s="541"/>
      <c r="ED124" s="541"/>
      <c r="EE124" s="541"/>
      <c r="EF124" s="541"/>
      <c r="EG124" s="541"/>
      <c r="EH124" s="541"/>
      <c r="EI124" s="541"/>
      <c r="EJ124" s="541"/>
      <c r="EK124" s="541"/>
      <c r="EL124" s="541"/>
      <c r="EM124" s="541"/>
      <c r="EN124" s="541"/>
      <c r="EO124" s="541"/>
      <c r="EP124" s="541"/>
      <c r="EQ124" s="541"/>
      <c r="ER124" s="541"/>
      <c r="ES124" s="541"/>
      <c r="ET124" s="541"/>
      <c r="EU124" s="541"/>
      <c r="EV124" s="541"/>
      <c r="EW124" s="541"/>
      <c r="EX124" s="541"/>
      <c r="EY124" s="541"/>
      <c r="EZ124" s="541"/>
      <c r="FA124" s="541"/>
      <c r="FB124" s="541"/>
      <c r="FC124" s="541"/>
      <c r="FD124" s="541"/>
      <c r="FE124" s="541"/>
      <c r="FF124" s="541"/>
      <c r="FG124" s="541"/>
      <c r="FH124" s="541"/>
      <c r="FI124" s="541"/>
      <c r="FJ124" s="541"/>
      <c r="FK124" s="541"/>
      <c r="FL124" s="541"/>
      <c r="FM124" s="541"/>
      <c r="FN124" s="541"/>
      <c r="FO124" s="541"/>
      <c r="FP124" s="541"/>
      <c r="FQ124" s="541"/>
      <c r="FR124" s="541"/>
      <c r="FS124" s="541"/>
      <c r="FT124" s="541"/>
      <c r="FU124" s="541"/>
      <c r="FV124" s="541"/>
      <c r="FW124" s="541"/>
      <c r="FX124" s="541"/>
      <c r="FY124" s="541"/>
      <c r="FZ124" s="541"/>
      <c r="GA124" s="541"/>
      <c r="GB124" s="541"/>
      <c r="GC124" s="541"/>
      <c r="GD124" s="541"/>
      <c r="GE124" s="541"/>
      <c r="GF124" s="541"/>
      <c r="GG124" s="541"/>
      <c r="GH124" s="541"/>
      <c r="GI124" s="541"/>
      <c r="GJ124" s="541"/>
      <c r="GK124" s="541"/>
      <c r="GL124" s="541"/>
      <c r="GM124" s="541"/>
      <c r="GN124" s="541"/>
      <c r="GO124" s="541"/>
      <c r="GP124" s="541"/>
      <c r="GQ124" s="541"/>
      <c r="GR124" s="541"/>
      <c r="GS124" s="541"/>
      <c r="GT124" s="541"/>
      <c r="GU124" s="541"/>
      <c r="GV124" s="541"/>
      <c r="GW124" s="541"/>
      <c r="GX124" s="541"/>
      <c r="GY124" s="541"/>
      <c r="GZ124" s="541"/>
      <c r="HA124" s="541"/>
      <c r="HB124" s="541"/>
      <c r="HC124" s="541"/>
      <c r="HD124" s="541"/>
      <c r="HE124" s="541"/>
      <c r="HF124" s="541"/>
      <c r="HG124" s="541"/>
      <c r="HH124" s="541"/>
      <c r="HI124" s="541"/>
      <c r="HJ124" s="541"/>
      <c r="HK124" s="541"/>
      <c r="HL124" s="541"/>
      <c r="HM124" s="541"/>
      <c r="HN124" s="541"/>
      <c r="HO124" s="541"/>
    </row>
    <row r="125" spans="24:223" s="542" customFormat="1" ht="12.75"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541"/>
      <c r="AT125" s="541"/>
      <c r="AU125" s="541"/>
      <c r="AV125" s="541"/>
      <c r="AW125" s="541"/>
      <c r="AX125" s="541"/>
      <c r="AY125" s="541"/>
      <c r="AZ125" s="541"/>
      <c r="BA125" s="541"/>
      <c r="BB125" s="541"/>
      <c r="BC125" s="541"/>
      <c r="BD125" s="541"/>
      <c r="BE125" s="541"/>
      <c r="BF125" s="541"/>
      <c r="BG125" s="541"/>
      <c r="BH125" s="541"/>
      <c r="BI125" s="541"/>
      <c r="BJ125" s="541"/>
      <c r="BK125" s="541"/>
      <c r="BL125" s="541"/>
      <c r="BM125" s="541"/>
      <c r="BN125" s="541"/>
      <c r="BO125" s="541"/>
      <c r="BP125" s="541"/>
      <c r="BQ125" s="541"/>
      <c r="BR125" s="541"/>
      <c r="BS125" s="541"/>
      <c r="BT125" s="541"/>
      <c r="BU125" s="541"/>
      <c r="BV125" s="541"/>
      <c r="BW125" s="541"/>
      <c r="BX125" s="541"/>
      <c r="BY125" s="541"/>
      <c r="BZ125" s="541"/>
      <c r="CA125" s="541"/>
      <c r="CB125" s="541"/>
      <c r="CC125" s="541"/>
      <c r="CD125" s="541"/>
      <c r="CE125" s="541"/>
      <c r="CF125" s="541"/>
      <c r="CG125" s="541"/>
      <c r="CH125" s="541"/>
      <c r="CI125" s="541"/>
      <c r="CJ125" s="541"/>
      <c r="CK125" s="541"/>
      <c r="CL125" s="541"/>
      <c r="CM125" s="541"/>
      <c r="CN125" s="541"/>
      <c r="CO125" s="541"/>
      <c r="CP125" s="541"/>
      <c r="CQ125" s="541"/>
      <c r="CR125" s="541"/>
      <c r="CS125" s="541"/>
      <c r="CT125" s="541"/>
      <c r="CU125" s="541"/>
      <c r="CV125" s="541"/>
      <c r="CW125" s="541"/>
      <c r="CX125" s="541"/>
      <c r="CY125" s="541"/>
      <c r="CZ125" s="541"/>
      <c r="DA125" s="541"/>
      <c r="DB125" s="541"/>
      <c r="DC125" s="541"/>
      <c r="DD125" s="541"/>
      <c r="DE125" s="541"/>
      <c r="DF125" s="541"/>
      <c r="DG125" s="541"/>
      <c r="DH125" s="541"/>
      <c r="DI125" s="541"/>
      <c r="DJ125" s="541"/>
      <c r="DK125" s="541"/>
      <c r="DL125" s="541"/>
      <c r="DM125" s="541"/>
      <c r="DN125" s="541"/>
      <c r="DO125" s="541"/>
      <c r="DP125" s="541"/>
      <c r="DQ125" s="541"/>
      <c r="DR125" s="541"/>
      <c r="DS125" s="541"/>
      <c r="DT125" s="541"/>
      <c r="DU125" s="541"/>
      <c r="DV125" s="541"/>
      <c r="DW125" s="541"/>
      <c r="DX125" s="541"/>
      <c r="DY125" s="541"/>
      <c r="DZ125" s="541"/>
      <c r="EA125" s="541"/>
      <c r="EB125" s="541"/>
      <c r="EC125" s="541"/>
      <c r="ED125" s="541"/>
      <c r="EE125" s="541"/>
      <c r="EF125" s="541"/>
      <c r="EG125" s="541"/>
      <c r="EH125" s="541"/>
      <c r="EI125" s="541"/>
      <c r="EJ125" s="541"/>
      <c r="EK125" s="541"/>
      <c r="EL125" s="541"/>
      <c r="EM125" s="541"/>
      <c r="EN125" s="541"/>
      <c r="EO125" s="541"/>
      <c r="EP125" s="541"/>
      <c r="EQ125" s="541"/>
      <c r="ER125" s="541"/>
      <c r="ES125" s="541"/>
      <c r="ET125" s="541"/>
      <c r="EU125" s="541"/>
      <c r="EV125" s="541"/>
      <c r="EW125" s="541"/>
      <c r="EX125" s="541"/>
      <c r="EY125" s="541"/>
      <c r="EZ125" s="541"/>
      <c r="FA125" s="541"/>
      <c r="FB125" s="541"/>
      <c r="FC125" s="541"/>
      <c r="FD125" s="541"/>
      <c r="FE125" s="541"/>
      <c r="FF125" s="541"/>
      <c r="FG125" s="541"/>
      <c r="FH125" s="541"/>
      <c r="FI125" s="541"/>
      <c r="FJ125" s="541"/>
      <c r="FK125" s="541"/>
      <c r="FL125" s="541"/>
      <c r="FM125" s="541"/>
      <c r="FN125" s="541"/>
      <c r="FO125" s="541"/>
      <c r="FP125" s="541"/>
      <c r="FQ125" s="541"/>
      <c r="FR125" s="541"/>
      <c r="FS125" s="541"/>
      <c r="FT125" s="541"/>
      <c r="FU125" s="541"/>
      <c r="FV125" s="541"/>
      <c r="FW125" s="541"/>
      <c r="FX125" s="541"/>
      <c r="FY125" s="541"/>
      <c r="FZ125" s="541"/>
      <c r="GA125" s="541"/>
      <c r="GB125" s="541"/>
      <c r="GC125" s="541"/>
      <c r="GD125" s="541"/>
      <c r="GE125" s="541"/>
      <c r="GF125" s="541"/>
      <c r="GG125" s="541"/>
      <c r="GH125" s="541"/>
      <c r="GI125" s="541"/>
      <c r="GJ125" s="541"/>
      <c r="GK125" s="541"/>
      <c r="GL125" s="541"/>
      <c r="GM125" s="541"/>
      <c r="GN125" s="541"/>
      <c r="GO125" s="541"/>
      <c r="GP125" s="541"/>
      <c r="GQ125" s="541"/>
      <c r="GR125" s="541"/>
      <c r="GS125" s="541"/>
      <c r="GT125" s="541"/>
      <c r="GU125" s="541"/>
      <c r="GV125" s="541"/>
      <c r="GW125" s="541"/>
      <c r="GX125" s="541"/>
      <c r="GY125" s="541"/>
      <c r="GZ125" s="541"/>
      <c r="HA125" s="541"/>
      <c r="HB125" s="541"/>
      <c r="HC125" s="541"/>
      <c r="HD125" s="541"/>
      <c r="HE125" s="541"/>
      <c r="HF125" s="541"/>
      <c r="HG125" s="541"/>
      <c r="HH125" s="541"/>
      <c r="HI125" s="541"/>
      <c r="HJ125" s="541"/>
      <c r="HK125" s="541"/>
      <c r="HL125" s="541"/>
      <c r="HM125" s="541"/>
      <c r="HN125" s="541"/>
      <c r="HO125" s="541"/>
    </row>
    <row r="126" spans="24:223" s="542" customFormat="1" ht="12.75"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541"/>
      <c r="AT126" s="541"/>
      <c r="AU126" s="541"/>
      <c r="AV126" s="541"/>
      <c r="AW126" s="541"/>
      <c r="AX126" s="541"/>
      <c r="AY126" s="541"/>
      <c r="AZ126" s="541"/>
      <c r="BA126" s="541"/>
      <c r="BB126" s="541"/>
      <c r="BC126" s="541"/>
      <c r="BD126" s="541"/>
      <c r="BE126" s="541"/>
      <c r="BF126" s="541"/>
      <c r="BG126" s="541"/>
      <c r="BH126" s="541"/>
      <c r="BI126" s="541"/>
      <c r="BJ126" s="541"/>
      <c r="BK126" s="541"/>
      <c r="BL126" s="541"/>
      <c r="BM126" s="541"/>
      <c r="BN126" s="541"/>
      <c r="BO126" s="541"/>
      <c r="BP126" s="541"/>
      <c r="BQ126" s="541"/>
      <c r="BR126" s="541"/>
      <c r="BS126" s="541"/>
      <c r="BT126" s="541"/>
      <c r="BU126" s="541"/>
      <c r="BV126" s="541"/>
      <c r="BW126" s="541"/>
      <c r="BX126" s="541"/>
      <c r="BY126" s="541"/>
      <c r="BZ126" s="541"/>
      <c r="CA126" s="541"/>
      <c r="CB126" s="541"/>
      <c r="CC126" s="541"/>
      <c r="CD126" s="541"/>
      <c r="CE126" s="541"/>
      <c r="CF126" s="541"/>
      <c r="CG126" s="541"/>
      <c r="CH126" s="541"/>
      <c r="CI126" s="541"/>
      <c r="CJ126" s="541"/>
      <c r="CK126" s="541"/>
      <c r="CL126" s="541"/>
      <c r="CM126" s="541"/>
      <c r="CN126" s="541"/>
      <c r="CO126" s="541"/>
      <c r="CP126" s="541"/>
      <c r="CQ126" s="541"/>
      <c r="CR126" s="541"/>
      <c r="CS126" s="541"/>
      <c r="CT126" s="541"/>
      <c r="CU126" s="541"/>
      <c r="CV126" s="541"/>
      <c r="CW126" s="541"/>
      <c r="CX126" s="541"/>
      <c r="CY126" s="541"/>
      <c r="CZ126" s="541"/>
      <c r="DA126" s="541"/>
      <c r="DB126" s="541"/>
      <c r="DC126" s="541"/>
      <c r="DD126" s="541"/>
      <c r="DE126" s="541"/>
      <c r="DF126" s="541"/>
      <c r="DG126" s="541"/>
      <c r="DH126" s="541"/>
      <c r="DI126" s="541"/>
      <c r="DJ126" s="541"/>
      <c r="DK126" s="541"/>
      <c r="DL126" s="541"/>
      <c r="DM126" s="541"/>
      <c r="DN126" s="541"/>
      <c r="DO126" s="541"/>
      <c r="DP126" s="541"/>
      <c r="DQ126" s="541"/>
      <c r="DR126" s="541"/>
      <c r="DS126" s="541"/>
      <c r="DT126" s="541"/>
      <c r="DU126" s="541"/>
      <c r="DV126" s="541"/>
      <c r="DW126" s="541"/>
      <c r="DX126" s="541"/>
      <c r="DY126" s="541"/>
      <c r="DZ126" s="541"/>
      <c r="EA126" s="541"/>
      <c r="EB126" s="541"/>
      <c r="EC126" s="541"/>
      <c r="ED126" s="541"/>
      <c r="EE126" s="541"/>
      <c r="EF126" s="541"/>
      <c r="EG126" s="541"/>
      <c r="EH126" s="541"/>
      <c r="EI126" s="541"/>
      <c r="EJ126" s="541"/>
      <c r="EK126" s="541"/>
      <c r="EL126" s="541"/>
      <c r="EM126" s="541"/>
      <c r="EN126" s="541"/>
      <c r="EO126" s="541"/>
      <c r="EP126" s="541"/>
      <c r="EQ126" s="541"/>
      <c r="ER126" s="541"/>
      <c r="ES126" s="541"/>
      <c r="ET126" s="541"/>
      <c r="EU126" s="541"/>
      <c r="EV126" s="541"/>
      <c r="EW126" s="541"/>
      <c r="EX126" s="541"/>
      <c r="EY126" s="541"/>
      <c r="EZ126" s="541"/>
      <c r="FA126" s="541"/>
      <c r="FB126" s="541"/>
      <c r="FC126" s="541"/>
      <c r="FD126" s="541"/>
      <c r="FE126" s="541"/>
      <c r="FF126" s="541"/>
      <c r="FG126" s="541"/>
      <c r="FH126" s="541"/>
      <c r="FI126" s="541"/>
      <c r="FJ126" s="541"/>
      <c r="FK126" s="541"/>
      <c r="FL126" s="541"/>
      <c r="FM126" s="541"/>
      <c r="FN126" s="541"/>
      <c r="FO126" s="541"/>
      <c r="FP126" s="541"/>
      <c r="FQ126" s="541"/>
      <c r="FR126" s="541"/>
      <c r="FS126" s="541"/>
      <c r="FT126" s="541"/>
      <c r="FU126" s="541"/>
      <c r="FV126" s="541"/>
      <c r="FW126" s="541"/>
      <c r="FX126" s="541"/>
      <c r="FY126" s="541"/>
      <c r="FZ126" s="541"/>
      <c r="GA126" s="541"/>
      <c r="GB126" s="541"/>
      <c r="GC126" s="541"/>
      <c r="GD126" s="541"/>
      <c r="GE126" s="541"/>
      <c r="GF126" s="541"/>
      <c r="GG126" s="541"/>
      <c r="GH126" s="541"/>
      <c r="GI126" s="541"/>
      <c r="GJ126" s="541"/>
      <c r="GK126" s="541"/>
      <c r="GL126" s="541"/>
      <c r="GM126" s="541"/>
      <c r="GN126" s="541"/>
      <c r="GO126" s="541"/>
      <c r="GP126" s="541"/>
      <c r="GQ126" s="541"/>
      <c r="GR126" s="541"/>
      <c r="GS126" s="541"/>
      <c r="GT126" s="541"/>
      <c r="GU126" s="541"/>
      <c r="GV126" s="541"/>
      <c r="GW126" s="541"/>
      <c r="GX126" s="541"/>
      <c r="GY126" s="541"/>
      <c r="GZ126" s="541"/>
      <c r="HA126" s="541"/>
      <c r="HB126" s="541"/>
      <c r="HC126" s="541"/>
      <c r="HD126" s="541"/>
      <c r="HE126" s="541"/>
      <c r="HF126" s="541"/>
      <c r="HG126" s="541"/>
      <c r="HH126" s="541"/>
      <c r="HI126" s="541"/>
      <c r="HJ126" s="541"/>
      <c r="HK126" s="541"/>
      <c r="HL126" s="541"/>
      <c r="HM126" s="541"/>
      <c r="HN126" s="541"/>
      <c r="HO126" s="541"/>
    </row>
    <row r="127" spans="24:223" s="542" customFormat="1" ht="12.75"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541"/>
      <c r="AT127" s="541"/>
      <c r="AU127" s="541"/>
      <c r="AV127" s="541"/>
      <c r="AW127" s="541"/>
      <c r="AX127" s="541"/>
      <c r="AY127" s="541"/>
      <c r="AZ127" s="541"/>
      <c r="BA127" s="541"/>
      <c r="BB127" s="541"/>
      <c r="BC127" s="541"/>
      <c r="BD127" s="541"/>
      <c r="BE127" s="541"/>
      <c r="BF127" s="541"/>
      <c r="BG127" s="541"/>
      <c r="BH127" s="541"/>
      <c r="BI127" s="541"/>
      <c r="BJ127" s="541"/>
      <c r="BK127" s="541"/>
      <c r="BL127" s="541"/>
      <c r="BM127" s="541"/>
      <c r="BN127" s="541"/>
      <c r="BO127" s="541"/>
      <c r="BP127" s="541"/>
      <c r="BQ127" s="541"/>
      <c r="BR127" s="541"/>
      <c r="BS127" s="541"/>
      <c r="BT127" s="541"/>
      <c r="BU127" s="541"/>
      <c r="BV127" s="541"/>
      <c r="BW127" s="541"/>
      <c r="BX127" s="541"/>
      <c r="BY127" s="541"/>
      <c r="BZ127" s="541"/>
      <c r="CA127" s="541"/>
      <c r="CB127" s="541"/>
      <c r="CC127" s="541"/>
      <c r="CD127" s="541"/>
      <c r="CE127" s="541"/>
      <c r="CF127" s="541"/>
      <c r="CG127" s="541"/>
      <c r="CH127" s="541"/>
      <c r="CI127" s="541"/>
      <c r="CJ127" s="541"/>
      <c r="CK127" s="541"/>
      <c r="CL127" s="541"/>
      <c r="CM127" s="541"/>
      <c r="CN127" s="541"/>
      <c r="CO127" s="541"/>
      <c r="CP127" s="541"/>
      <c r="CQ127" s="541"/>
      <c r="CR127" s="541"/>
      <c r="CS127" s="541"/>
      <c r="CT127" s="541"/>
      <c r="CU127" s="541"/>
      <c r="CV127" s="541"/>
      <c r="CW127" s="541"/>
      <c r="CX127" s="541"/>
      <c r="CY127" s="541"/>
      <c r="CZ127" s="541"/>
      <c r="DA127" s="541"/>
      <c r="DB127" s="541"/>
      <c r="DC127" s="541"/>
      <c r="DD127" s="541"/>
      <c r="DE127" s="541"/>
      <c r="DF127" s="541"/>
      <c r="DG127" s="541"/>
      <c r="DH127" s="541"/>
      <c r="DI127" s="541"/>
      <c r="DJ127" s="541"/>
      <c r="DK127" s="541"/>
      <c r="DL127" s="541"/>
      <c r="DM127" s="541"/>
      <c r="DN127" s="541"/>
      <c r="DO127" s="541"/>
      <c r="DP127" s="541"/>
      <c r="DQ127" s="541"/>
      <c r="DR127" s="541"/>
      <c r="DS127" s="541"/>
      <c r="DT127" s="541"/>
      <c r="DU127" s="541"/>
      <c r="DV127" s="541"/>
      <c r="DW127" s="541"/>
      <c r="DX127" s="541"/>
      <c r="DY127" s="541"/>
      <c r="DZ127" s="541"/>
      <c r="EA127" s="541"/>
      <c r="EB127" s="541"/>
      <c r="EC127" s="541"/>
      <c r="ED127" s="541"/>
      <c r="EE127" s="541"/>
      <c r="EF127" s="541"/>
      <c r="EG127" s="541"/>
      <c r="EH127" s="541"/>
      <c r="EI127" s="541"/>
      <c r="EJ127" s="541"/>
      <c r="EK127" s="541"/>
      <c r="EL127" s="541"/>
      <c r="EM127" s="541"/>
      <c r="EN127" s="541"/>
      <c r="EO127" s="541"/>
      <c r="EP127" s="541"/>
      <c r="EQ127" s="541"/>
      <c r="ER127" s="541"/>
      <c r="ES127" s="541"/>
      <c r="ET127" s="541"/>
      <c r="EU127" s="541"/>
      <c r="EV127" s="541"/>
      <c r="EW127" s="541"/>
      <c r="EX127" s="541"/>
      <c r="EY127" s="541"/>
      <c r="EZ127" s="541"/>
      <c r="FA127" s="541"/>
      <c r="FB127" s="541"/>
      <c r="FC127" s="541"/>
      <c r="FD127" s="541"/>
      <c r="FE127" s="541"/>
      <c r="FF127" s="541"/>
      <c r="FG127" s="541"/>
      <c r="FH127" s="541"/>
      <c r="FI127" s="541"/>
      <c r="FJ127" s="541"/>
      <c r="FK127" s="541"/>
      <c r="FL127" s="541"/>
      <c r="FM127" s="541"/>
      <c r="FN127" s="541"/>
      <c r="FO127" s="541"/>
      <c r="FP127" s="541"/>
      <c r="FQ127" s="541"/>
      <c r="FR127" s="541"/>
      <c r="FS127" s="541"/>
      <c r="FT127" s="541"/>
      <c r="FU127" s="541"/>
      <c r="FV127" s="541"/>
      <c r="FW127" s="541"/>
      <c r="FX127" s="541"/>
      <c r="FY127" s="541"/>
      <c r="FZ127" s="541"/>
      <c r="GA127" s="541"/>
      <c r="GB127" s="541"/>
      <c r="GC127" s="541"/>
      <c r="GD127" s="541"/>
      <c r="GE127" s="541"/>
      <c r="GF127" s="541"/>
      <c r="GG127" s="541"/>
      <c r="GH127" s="541"/>
      <c r="GI127" s="541"/>
      <c r="GJ127" s="541"/>
      <c r="GK127" s="541"/>
      <c r="GL127" s="541"/>
      <c r="GM127" s="541"/>
      <c r="GN127" s="541"/>
      <c r="GO127" s="541"/>
      <c r="GP127" s="541"/>
      <c r="GQ127" s="541"/>
      <c r="GR127" s="541"/>
      <c r="GS127" s="541"/>
      <c r="GT127" s="541"/>
      <c r="GU127" s="541"/>
      <c r="GV127" s="541"/>
      <c r="GW127" s="541"/>
      <c r="GX127" s="541"/>
      <c r="GY127" s="541"/>
      <c r="GZ127" s="541"/>
      <c r="HA127" s="541"/>
      <c r="HB127" s="541"/>
      <c r="HC127" s="541"/>
      <c r="HD127" s="541"/>
      <c r="HE127" s="541"/>
      <c r="HF127" s="541"/>
      <c r="HG127" s="541"/>
      <c r="HH127" s="541"/>
      <c r="HI127" s="541"/>
      <c r="HJ127" s="541"/>
      <c r="HK127" s="541"/>
      <c r="HL127" s="541"/>
      <c r="HM127" s="541"/>
      <c r="HN127" s="541"/>
      <c r="HO127" s="541"/>
    </row>
    <row r="128" spans="24:223" s="542" customFormat="1" ht="12.75"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541"/>
      <c r="AT128" s="541"/>
      <c r="AU128" s="541"/>
      <c r="AV128" s="541"/>
      <c r="AW128" s="541"/>
      <c r="AX128" s="541"/>
      <c r="AY128" s="541"/>
      <c r="AZ128" s="541"/>
      <c r="BA128" s="541"/>
      <c r="BB128" s="541"/>
      <c r="BC128" s="541"/>
      <c r="BD128" s="541"/>
      <c r="BE128" s="541"/>
      <c r="BF128" s="541"/>
      <c r="BG128" s="541"/>
      <c r="BH128" s="541"/>
      <c r="BI128" s="541"/>
      <c r="BJ128" s="541"/>
      <c r="BK128" s="541"/>
      <c r="BL128" s="541"/>
      <c r="BM128" s="541"/>
      <c r="BN128" s="541"/>
      <c r="BO128" s="541"/>
      <c r="BP128" s="541"/>
      <c r="BQ128" s="541"/>
      <c r="BR128" s="541"/>
      <c r="BS128" s="541"/>
      <c r="BT128" s="541"/>
      <c r="BU128" s="541"/>
      <c r="BV128" s="541"/>
      <c r="BW128" s="541"/>
      <c r="BX128" s="541"/>
      <c r="BY128" s="541"/>
      <c r="BZ128" s="541"/>
      <c r="CA128" s="541"/>
      <c r="CB128" s="541"/>
      <c r="CC128" s="541"/>
      <c r="CD128" s="541"/>
      <c r="CE128" s="541"/>
      <c r="CF128" s="541"/>
      <c r="CG128" s="541"/>
      <c r="CH128" s="541"/>
      <c r="CI128" s="541"/>
      <c r="CJ128" s="541"/>
      <c r="CK128" s="541"/>
      <c r="CL128" s="541"/>
      <c r="CM128" s="541"/>
      <c r="CN128" s="541"/>
      <c r="CO128" s="541"/>
      <c r="CP128" s="541"/>
      <c r="CQ128" s="541"/>
      <c r="CR128" s="541"/>
      <c r="CS128" s="541"/>
      <c r="CT128" s="541"/>
      <c r="CU128" s="541"/>
      <c r="CV128" s="541"/>
      <c r="CW128" s="541"/>
      <c r="CX128" s="541"/>
      <c r="CY128" s="541"/>
      <c r="CZ128" s="541"/>
      <c r="DA128" s="541"/>
      <c r="DB128" s="541"/>
      <c r="DC128" s="541"/>
      <c r="DD128" s="541"/>
      <c r="DE128" s="541"/>
      <c r="DF128" s="541"/>
      <c r="DG128" s="541"/>
      <c r="DH128" s="541"/>
      <c r="DI128" s="541"/>
      <c r="DJ128" s="541"/>
      <c r="DK128" s="541"/>
      <c r="DL128" s="541"/>
      <c r="DM128" s="541"/>
      <c r="DN128" s="541"/>
      <c r="DO128" s="541"/>
      <c r="DP128" s="541"/>
      <c r="DQ128" s="541"/>
      <c r="DR128" s="541"/>
      <c r="DS128" s="541"/>
      <c r="DT128" s="541"/>
      <c r="DU128" s="541"/>
      <c r="DV128" s="541"/>
      <c r="DW128" s="541"/>
      <c r="DX128" s="541"/>
      <c r="DY128" s="541"/>
      <c r="DZ128" s="541"/>
      <c r="EA128" s="541"/>
      <c r="EB128" s="541"/>
      <c r="EC128" s="541"/>
      <c r="ED128" s="541"/>
      <c r="EE128" s="541"/>
      <c r="EF128" s="541"/>
      <c r="EG128" s="541"/>
      <c r="EH128" s="541"/>
      <c r="EI128" s="541"/>
      <c r="EJ128" s="541"/>
      <c r="EK128" s="541"/>
      <c r="EL128" s="541"/>
      <c r="EM128" s="541"/>
      <c r="EN128" s="541"/>
      <c r="EO128" s="541"/>
      <c r="EP128" s="541"/>
      <c r="EQ128" s="541"/>
      <c r="ER128" s="541"/>
      <c r="ES128" s="541"/>
      <c r="ET128" s="541"/>
      <c r="EU128" s="541"/>
      <c r="EV128" s="541"/>
      <c r="EW128" s="541"/>
      <c r="EX128" s="541"/>
      <c r="EY128" s="541"/>
      <c r="EZ128" s="541"/>
      <c r="FA128" s="541"/>
      <c r="FB128" s="541"/>
      <c r="FC128" s="541"/>
      <c r="FD128" s="541"/>
      <c r="FE128" s="541"/>
      <c r="FF128" s="541"/>
      <c r="FG128" s="541"/>
      <c r="FH128" s="541"/>
      <c r="FI128" s="541"/>
      <c r="FJ128" s="541"/>
      <c r="FK128" s="541"/>
      <c r="FL128" s="541"/>
      <c r="FM128" s="541"/>
      <c r="FN128" s="541"/>
      <c r="FO128" s="541"/>
      <c r="FP128" s="541"/>
      <c r="FQ128" s="541"/>
      <c r="FR128" s="541"/>
      <c r="FS128" s="541"/>
      <c r="FT128" s="541"/>
      <c r="FU128" s="541"/>
      <c r="FV128" s="541"/>
      <c r="FW128" s="541"/>
      <c r="FX128" s="541"/>
      <c r="FY128" s="541"/>
      <c r="FZ128" s="541"/>
      <c r="GA128" s="541"/>
      <c r="GB128" s="541"/>
      <c r="GC128" s="541"/>
      <c r="GD128" s="541"/>
      <c r="GE128" s="541"/>
      <c r="GF128" s="541"/>
      <c r="GG128" s="541"/>
      <c r="GH128" s="541"/>
      <c r="GI128" s="541"/>
      <c r="GJ128" s="541"/>
      <c r="GK128" s="541"/>
      <c r="GL128" s="541"/>
      <c r="GM128" s="541"/>
      <c r="GN128" s="541"/>
      <c r="GO128" s="541"/>
      <c r="GP128" s="541"/>
      <c r="GQ128" s="541"/>
      <c r="GR128" s="541"/>
      <c r="GS128" s="541"/>
      <c r="GT128" s="541"/>
      <c r="GU128" s="541"/>
      <c r="GV128" s="541"/>
      <c r="GW128" s="541"/>
      <c r="GX128" s="541"/>
      <c r="GY128" s="541"/>
      <c r="GZ128" s="541"/>
      <c r="HA128" s="541"/>
      <c r="HB128" s="541"/>
      <c r="HC128" s="541"/>
      <c r="HD128" s="541"/>
      <c r="HE128" s="541"/>
      <c r="HF128" s="541"/>
      <c r="HG128" s="541"/>
      <c r="HH128" s="541"/>
      <c r="HI128" s="541"/>
      <c r="HJ128" s="541"/>
      <c r="HK128" s="541"/>
      <c r="HL128" s="541"/>
      <c r="HM128" s="541"/>
      <c r="HN128" s="541"/>
      <c r="HO128" s="541"/>
    </row>
    <row r="129" spans="24:223" s="542" customFormat="1" ht="12.75"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541"/>
      <c r="AT129" s="541"/>
      <c r="AU129" s="541"/>
      <c r="AV129" s="541"/>
      <c r="AW129" s="541"/>
      <c r="AX129" s="541"/>
      <c r="AY129" s="541"/>
      <c r="AZ129" s="541"/>
      <c r="BA129" s="541"/>
      <c r="BB129" s="541"/>
      <c r="BC129" s="541"/>
      <c r="BD129" s="541"/>
      <c r="BE129" s="541"/>
      <c r="BF129" s="541"/>
      <c r="BG129" s="541"/>
      <c r="BH129" s="541"/>
      <c r="BI129" s="541"/>
      <c r="BJ129" s="541"/>
      <c r="BK129" s="541"/>
      <c r="BL129" s="541"/>
      <c r="BM129" s="541"/>
      <c r="BN129" s="541"/>
      <c r="BO129" s="541"/>
      <c r="BP129" s="541"/>
      <c r="BQ129" s="541"/>
      <c r="BR129" s="541"/>
      <c r="BS129" s="541"/>
      <c r="BT129" s="541"/>
      <c r="BU129" s="541"/>
      <c r="BV129" s="541"/>
      <c r="BW129" s="541"/>
      <c r="BX129" s="541"/>
      <c r="BY129" s="541"/>
      <c r="BZ129" s="541"/>
      <c r="CA129" s="541"/>
      <c r="CB129" s="541"/>
      <c r="CC129" s="541"/>
      <c r="CD129" s="541"/>
      <c r="CE129" s="541"/>
      <c r="CF129" s="541"/>
      <c r="CG129" s="541"/>
      <c r="CH129" s="541"/>
      <c r="CI129" s="541"/>
      <c r="CJ129" s="541"/>
      <c r="CK129" s="541"/>
      <c r="CL129" s="541"/>
      <c r="CM129" s="541"/>
      <c r="CN129" s="541"/>
      <c r="CO129" s="541"/>
      <c r="CP129" s="541"/>
      <c r="CQ129" s="541"/>
      <c r="CR129" s="541"/>
      <c r="CS129" s="541"/>
      <c r="CT129" s="541"/>
      <c r="CU129" s="541"/>
      <c r="CV129" s="541"/>
      <c r="CW129" s="541"/>
      <c r="CX129" s="541"/>
      <c r="CY129" s="541"/>
      <c r="CZ129" s="541"/>
      <c r="DA129" s="541"/>
      <c r="DB129" s="541"/>
      <c r="DC129" s="541"/>
      <c r="DD129" s="541"/>
      <c r="DE129" s="541"/>
      <c r="DF129" s="541"/>
      <c r="DG129" s="541"/>
      <c r="DH129" s="541"/>
      <c r="DI129" s="541"/>
      <c r="DJ129" s="541"/>
      <c r="DK129" s="541"/>
      <c r="DL129" s="541"/>
      <c r="DM129" s="541"/>
      <c r="DN129" s="541"/>
      <c r="DO129" s="541"/>
      <c r="DP129" s="541"/>
      <c r="DQ129" s="541"/>
      <c r="DR129" s="541"/>
      <c r="DS129" s="541"/>
      <c r="DT129" s="541"/>
      <c r="DU129" s="541"/>
      <c r="DV129" s="541"/>
      <c r="DW129" s="541"/>
      <c r="DX129" s="541"/>
      <c r="DY129" s="541"/>
      <c r="DZ129" s="541"/>
      <c r="EA129" s="541"/>
      <c r="EB129" s="541"/>
      <c r="EC129" s="541"/>
      <c r="ED129" s="541"/>
      <c r="EE129" s="541"/>
      <c r="EF129" s="541"/>
      <c r="EG129" s="541"/>
      <c r="EH129" s="541"/>
      <c r="EI129" s="541"/>
      <c r="EJ129" s="541"/>
      <c r="EK129" s="541"/>
      <c r="EL129" s="541"/>
      <c r="EM129" s="541"/>
      <c r="EN129" s="541"/>
      <c r="EO129" s="541"/>
      <c r="EP129" s="541"/>
      <c r="EQ129" s="541"/>
      <c r="ER129" s="541"/>
      <c r="ES129" s="541"/>
      <c r="ET129" s="541"/>
      <c r="EU129" s="541"/>
      <c r="EV129" s="541"/>
      <c r="EW129" s="541"/>
      <c r="EX129" s="541"/>
      <c r="EY129" s="541"/>
      <c r="EZ129" s="541"/>
      <c r="FA129" s="541"/>
      <c r="FB129" s="541"/>
      <c r="FC129" s="541"/>
      <c r="FD129" s="541"/>
      <c r="FE129" s="541"/>
      <c r="FF129" s="541"/>
      <c r="FG129" s="541"/>
      <c r="FH129" s="541"/>
      <c r="FI129" s="541"/>
      <c r="FJ129" s="541"/>
      <c r="FK129" s="541"/>
      <c r="FL129" s="541"/>
      <c r="FM129" s="541"/>
      <c r="FN129" s="541"/>
      <c r="FO129" s="541"/>
      <c r="FP129" s="541"/>
      <c r="FQ129" s="541"/>
      <c r="FR129" s="541"/>
      <c r="FS129" s="541"/>
      <c r="FT129" s="541"/>
      <c r="FU129" s="541"/>
      <c r="FV129" s="541"/>
      <c r="FW129" s="541"/>
      <c r="FX129" s="541"/>
      <c r="FY129" s="541"/>
      <c r="FZ129" s="541"/>
      <c r="GA129" s="541"/>
      <c r="GB129" s="541"/>
      <c r="GC129" s="541"/>
      <c r="GD129" s="541"/>
      <c r="GE129" s="541"/>
      <c r="GF129" s="541"/>
      <c r="GG129" s="541"/>
      <c r="GH129" s="541"/>
      <c r="GI129" s="541"/>
      <c r="GJ129" s="541"/>
      <c r="GK129" s="541"/>
      <c r="GL129" s="541"/>
      <c r="GM129" s="541"/>
      <c r="GN129" s="541"/>
      <c r="GO129" s="541"/>
      <c r="GP129" s="541"/>
      <c r="GQ129" s="541"/>
      <c r="GR129" s="541"/>
      <c r="GS129" s="541"/>
      <c r="GT129" s="541"/>
      <c r="GU129" s="541"/>
      <c r="GV129" s="541"/>
      <c r="GW129" s="541"/>
      <c r="GX129" s="541"/>
      <c r="GY129" s="541"/>
      <c r="GZ129" s="541"/>
      <c r="HA129" s="541"/>
      <c r="HB129" s="541"/>
      <c r="HC129" s="541"/>
      <c r="HD129" s="541"/>
      <c r="HE129" s="541"/>
      <c r="HF129" s="541"/>
      <c r="HG129" s="541"/>
      <c r="HH129" s="541"/>
      <c r="HI129" s="541"/>
      <c r="HJ129" s="541"/>
      <c r="HK129" s="541"/>
      <c r="HL129" s="541"/>
      <c r="HM129" s="541"/>
      <c r="HN129" s="541"/>
      <c r="HO129" s="541"/>
    </row>
    <row r="130" spans="24:223" s="542" customFormat="1" ht="12.75"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541"/>
      <c r="AT130" s="541"/>
      <c r="AU130" s="541"/>
      <c r="AV130" s="541"/>
      <c r="AW130" s="541"/>
      <c r="AX130" s="541"/>
      <c r="AY130" s="541"/>
      <c r="AZ130" s="541"/>
      <c r="BA130" s="541"/>
      <c r="BB130" s="541"/>
      <c r="BC130" s="541"/>
      <c r="BD130" s="541"/>
      <c r="BE130" s="541"/>
      <c r="BF130" s="541"/>
      <c r="BG130" s="541"/>
      <c r="BH130" s="541"/>
      <c r="BI130" s="541"/>
      <c r="BJ130" s="541"/>
      <c r="BK130" s="541"/>
      <c r="BL130" s="541"/>
      <c r="BM130" s="541"/>
      <c r="BN130" s="541"/>
      <c r="BO130" s="541"/>
      <c r="BP130" s="541"/>
      <c r="BQ130" s="541"/>
      <c r="BR130" s="541"/>
      <c r="BS130" s="541"/>
      <c r="BT130" s="541"/>
      <c r="BU130" s="541"/>
      <c r="BV130" s="541"/>
      <c r="BW130" s="541"/>
      <c r="BX130" s="541"/>
      <c r="BY130" s="541"/>
      <c r="BZ130" s="541"/>
      <c r="CA130" s="541"/>
      <c r="CB130" s="541"/>
      <c r="CC130" s="541"/>
      <c r="CD130" s="541"/>
      <c r="CE130" s="541"/>
      <c r="CF130" s="541"/>
      <c r="CG130" s="541"/>
      <c r="CH130" s="541"/>
      <c r="CI130" s="541"/>
      <c r="CJ130" s="541"/>
      <c r="CK130" s="541"/>
      <c r="CL130" s="541"/>
      <c r="CM130" s="541"/>
      <c r="CN130" s="541"/>
      <c r="CO130" s="541"/>
      <c r="CP130" s="541"/>
      <c r="CQ130" s="541"/>
      <c r="CR130" s="541"/>
      <c r="CS130" s="541"/>
      <c r="CT130" s="541"/>
      <c r="CU130" s="541"/>
      <c r="CV130" s="541"/>
      <c r="CW130" s="541"/>
      <c r="CX130" s="541"/>
      <c r="CY130" s="541"/>
      <c r="CZ130" s="541"/>
      <c r="DA130" s="541"/>
      <c r="DB130" s="541"/>
      <c r="DC130" s="541"/>
      <c r="DD130" s="541"/>
      <c r="DE130" s="541"/>
      <c r="DF130" s="541"/>
      <c r="DG130" s="541"/>
      <c r="DH130" s="541"/>
      <c r="DI130" s="541"/>
      <c r="DJ130" s="541"/>
      <c r="DK130" s="541"/>
      <c r="DL130" s="541"/>
      <c r="DM130" s="541"/>
      <c r="DN130" s="541"/>
      <c r="DO130" s="541"/>
      <c r="DP130" s="541"/>
      <c r="DQ130" s="541"/>
      <c r="DR130" s="541"/>
      <c r="DS130" s="541"/>
      <c r="DT130" s="541"/>
      <c r="DU130" s="541"/>
      <c r="DV130" s="541"/>
      <c r="DW130" s="541"/>
      <c r="DX130" s="541"/>
      <c r="DY130" s="541"/>
      <c r="DZ130" s="541"/>
      <c r="EA130" s="541"/>
      <c r="EB130" s="541"/>
      <c r="EC130" s="541"/>
      <c r="ED130" s="541"/>
      <c r="EE130" s="541"/>
      <c r="EF130" s="541"/>
      <c r="EG130" s="541"/>
      <c r="EH130" s="541"/>
      <c r="EI130" s="541"/>
      <c r="EJ130" s="541"/>
      <c r="EK130" s="541"/>
      <c r="EL130" s="541"/>
      <c r="EM130" s="541"/>
      <c r="EN130" s="541"/>
      <c r="EO130" s="541"/>
      <c r="EP130" s="541"/>
      <c r="EQ130" s="541"/>
      <c r="ER130" s="541"/>
      <c r="ES130" s="541"/>
      <c r="ET130" s="541"/>
      <c r="EU130" s="541"/>
      <c r="EV130" s="541"/>
      <c r="EW130" s="541"/>
      <c r="EX130" s="541"/>
      <c r="EY130" s="541"/>
      <c r="EZ130" s="541"/>
      <c r="FA130" s="541"/>
      <c r="FB130" s="541"/>
      <c r="FC130" s="541"/>
      <c r="FD130" s="541"/>
      <c r="FE130" s="541"/>
      <c r="FF130" s="541"/>
      <c r="FG130" s="541"/>
      <c r="FH130" s="541"/>
      <c r="FI130" s="541"/>
      <c r="FJ130" s="541"/>
      <c r="FK130" s="541"/>
      <c r="FL130" s="541"/>
      <c r="FM130" s="541"/>
      <c r="FN130" s="541"/>
      <c r="FO130" s="541"/>
      <c r="FP130" s="541"/>
      <c r="FQ130" s="541"/>
      <c r="FR130" s="541"/>
      <c r="FS130" s="541"/>
      <c r="FT130" s="541"/>
      <c r="FU130" s="541"/>
      <c r="FV130" s="541"/>
      <c r="FW130" s="541"/>
      <c r="FX130" s="541"/>
      <c r="FY130" s="541"/>
      <c r="FZ130" s="541"/>
      <c r="GA130" s="541"/>
      <c r="GB130" s="541"/>
      <c r="GC130" s="541"/>
      <c r="GD130" s="541"/>
      <c r="GE130" s="541"/>
      <c r="GF130" s="541"/>
      <c r="GG130" s="541"/>
      <c r="GH130" s="541"/>
      <c r="GI130" s="541"/>
      <c r="GJ130" s="541"/>
      <c r="GK130" s="541"/>
      <c r="GL130" s="541"/>
      <c r="GM130" s="541"/>
      <c r="GN130" s="541"/>
      <c r="GO130" s="541"/>
      <c r="GP130" s="541"/>
      <c r="GQ130" s="541"/>
      <c r="GR130" s="541"/>
      <c r="GS130" s="541"/>
      <c r="GT130" s="541"/>
      <c r="GU130" s="541"/>
      <c r="GV130" s="541"/>
      <c r="GW130" s="541"/>
      <c r="GX130" s="541"/>
      <c r="GY130" s="541"/>
      <c r="GZ130" s="541"/>
      <c r="HA130" s="541"/>
      <c r="HB130" s="541"/>
      <c r="HC130" s="541"/>
      <c r="HD130" s="541"/>
      <c r="HE130" s="541"/>
      <c r="HF130" s="541"/>
      <c r="HG130" s="541"/>
      <c r="HH130" s="541"/>
      <c r="HI130" s="541"/>
      <c r="HJ130" s="541"/>
      <c r="HK130" s="541"/>
      <c r="HL130" s="541"/>
      <c r="HM130" s="541"/>
      <c r="HN130" s="541"/>
      <c r="HO130" s="541"/>
    </row>
    <row r="131" spans="24:223" s="542" customFormat="1" ht="12.75"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541"/>
      <c r="AT131" s="541"/>
      <c r="AU131" s="541"/>
      <c r="AV131" s="541"/>
      <c r="AW131" s="541"/>
      <c r="AX131" s="541"/>
      <c r="AY131" s="541"/>
      <c r="AZ131" s="541"/>
      <c r="BA131" s="541"/>
      <c r="BB131" s="541"/>
      <c r="BC131" s="541"/>
      <c r="BD131" s="541"/>
      <c r="BE131" s="541"/>
      <c r="BF131" s="541"/>
      <c r="BG131" s="541"/>
      <c r="BH131" s="541"/>
      <c r="BI131" s="541"/>
      <c r="BJ131" s="541"/>
      <c r="BK131" s="541"/>
      <c r="BL131" s="541"/>
      <c r="BM131" s="541"/>
      <c r="BN131" s="541"/>
      <c r="BO131" s="541"/>
      <c r="BP131" s="541"/>
      <c r="BQ131" s="541"/>
      <c r="BR131" s="541"/>
      <c r="BS131" s="541"/>
      <c r="BT131" s="541"/>
      <c r="BU131" s="541"/>
      <c r="BV131" s="541"/>
      <c r="BW131" s="541"/>
      <c r="BX131" s="541"/>
      <c r="BY131" s="541"/>
      <c r="BZ131" s="541"/>
      <c r="CA131" s="541"/>
      <c r="CB131" s="541"/>
      <c r="CC131" s="541"/>
      <c r="CD131" s="541"/>
      <c r="CE131" s="541"/>
      <c r="CF131" s="541"/>
      <c r="CG131" s="541"/>
      <c r="CH131" s="541"/>
      <c r="CI131" s="541"/>
      <c r="CJ131" s="541"/>
      <c r="CK131" s="541"/>
      <c r="CL131" s="541"/>
      <c r="CM131" s="541"/>
      <c r="CN131" s="541"/>
      <c r="CO131" s="541"/>
      <c r="CP131" s="541"/>
      <c r="CQ131" s="541"/>
      <c r="CR131" s="541"/>
      <c r="CS131" s="541"/>
      <c r="CT131" s="541"/>
      <c r="CU131" s="541"/>
      <c r="CV131" s="541"/>
      <c r="CW131" s="541"/>
      <c r="CX131" s="541"/>
      <c r="CY131" s="541"/>
      <c r="CZ131" s="541"/>
      <c r="DA131" s="541"/>
      <c r="DB131" s="541"/>
      <c r="DC131" s="541"/>
      <c r="DD131" s="541"/>
      <c r="DE131" s="541"/>
      <c r="DF131" s="541"/>
      <c r="DG131" s="541"/>
      <c r="DH131" s="541"/>
      <c r="DI131" s="541"/>
      <c r="DJ131" s="541"/>
      <c r="DK131" s="541"/>
      <c r="DL131" s="541"/>
      <c r="DM131" s="541"/>
      <c r="DN131" s="541"/>
      <c r="DO131" s="541"/>
      <c r="DP131" s="541"/>
      <c r="DQ131" s="541"/>
      <c r="DR131" s="541"/>
      <c r="DS131" s="541"/>
      <c r="DT131" s="541"/>
      <c r="DU131" s="541"/>
      <c r="DV131" s="541"/>
      <c r="DW131" s="541"/>
      <c r="DX131" s="541"/>
      <c r="DY131" s="541"/>
      <c r="DZ131" s="541"/>
      <c r="EA131" s="541"/>
      <c r="EB131" s="541"/>
      <c r="EC131" s="541"/>
      <c r="ED131" s="541"/>
      <c r="EE131" s="541"/>
      <c r="EF131" s="541"/>
      <c r="EG131" s="541"/>
      <c r="EH131" s="541"/>
      <c r="EI131" s="541"/>
      <c r="EJ131" s="541"/>
      <c r="EK131" s="541"/>
      <c r="EL131" s="541"/>
      <c r="EM131" s="541"/>
      <c r="EN131" s="541"/>
      <c r="EO131" s="541"/>
      <c r="EP131" s="541"/>
      <c r="EQ131" s="541"/>
      <c r="ER131" s="541"/>
      <c r="ES131" s="541"/>
      <c r="ET131" s="541"/>
      <c r="EU131" s="541"/>
      <c r="EV131" s="541"/>
      <c r="EW131" s="541"/>
      <c r="EX131" s="541"/>
      <c r="EY131" s="541"/>
      <c r="EZ131" s="541"/>
      <c r="FA131" s="541"/>
      <c r="FB131" s="541"/>
      <c r="FC131" s="541"/>
      <c r="FD131" s="541"/>
      <c r="FE131" s="541"/>
      <c r="FF131" s="541"/>
      <c r="FG131" s="541"/>
      <c r="FH131" s="541"/>
      <c r="FI131" s="541"/>
      <c r="FJ131" s="541"/>
      <c r="FK131" s="541"/>
      <c r="FL131" s="541"/>
      <c r="FM131" s="541"/>
      <c r="FN131" s="541"/>
      <c r="FO131" s="541"/>
      <c r="FP131" s="541"/>
      <c r="FQ131" s="541"/>
      <c r="FR131" s="541"/>
      <c r="FS131" s="541"/>
      <c r="FT131" s="541"/>
      <c r="FU131" s="541"/>
      <c r="FV131" s="541"/>
      <c r="FW131" s="541"/>
      <c r="FX131" s="541"/>
      <c r="FY131" s="541"/>
      <c r="FZ131" s="541"/>
      <c r="GA131" s="541"/>
      <c r="GB131" s="541"/>
      <c r="GC131" s="541"/>
      <c r="GD131" s="541"/>
      <c r="GE131" s="541"/>
      <c r="GF131" s="541"/>
      <c r="GG131" s="541"/>
      <c r="GH131" s="541"/>
      <c r="GI131" s="541"/>
      <c r="GJ131" s="541"/>
      <c r="GK131" s="541"/>
      <c r="GL131" s="541"/>
      <c r="GM131" s="541"/>
      <c r="GN131" s="541"/>
      <c r="GO131" s="541"/>
      <c r="GP131" s="541"/>
      <c r="GQ131" s="541"/>
      <c r="GR131" s="541"/>
      <c r="GS131" s="541"/>
      <c r="GT131" s="541"/>
      <c r="GU131" s="541"/>
      <c r="GV131" s="541"/>
      <c r="GW131" s="541"/>
      <c r="GX131" s="541"/>
      <c r="GY131" s="541"/>
      <c r="GZ131" s="541"/>
      <c r="HA131" s="541"/>
      <c r="HB131" s="541"/>
      <c r="HC131" s="541"/>
      <c r="HD131" s="541"/>
      <c r="HE131" s="541"/>
      <c r="HF131" s="541"/>
      <c r="HG131" s="541"/>
      <c r="HH131" s="541"/>
      <c r="HI131" s="541"/>
      <c r="HJ131" s="541"/>
      <c r="HK131" s="541"/>
      <c r="HL131" s="541"/>
      <c r="HM131" s="541"/>
      <c r="HN131" s="541"/>
      <c r="HO131" s="541"/>
    </row>
    <row r="132" spans="24:223" s="542" customFormat="1" ht="12.75"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541"/>
      <c r="AT132" s="541"/>
      <c r="AU132" s="541"/>
      <c r="AV132" s="541"/>
      <c r="AW132" s="541"/>
      <c r="AX132" s="541"/>
      <c r="AY132" s="541"/>
      <c r="AZ132" s="541"/>
      <c r="BA132" s="541"/>
      <c r="BB132" s="541"/>
      <c r="BC132" s="541"/>
      <c r="BD132" s="541"/>
      <c r="BE132" s="541"/>
      <c r="BF132" s="541"/>
      <c r="BG132" s="541"/>
      <c r="BH132" s="541"/>
      <c r="BI132" s="541"/>
      <c r="BJ132" s="541"/>
      <c r="BK132" s="541"/>
      <c r="BL132" s="541"/>
      <c r="BM132" s="541"/>
      <c r="BN132" s="541"/>
      <c r="BO132" s="541"/>
      <c r="BP132" s="541"/>
      <c r="BQ132" s="541"/>
      <c r="BR132" s="541"/>
      <c r="BS132" s="541"/>
      <c r="BT132" s="541"/>
      <c r="BU132" s="541"/>
      <c r="BV132" s="541"/>
      <c r="BW132" s="541"/>
      <c r="BX132" s="541"/>
      <c r="BY132" s="541"/>
      <c r="BZ132" s="541"/>
      <c r="CA132" s="541"/>
      <c r="CB132" s="541"/>
      <c r="CC132" s="541"/>
      <c r="CD132" s="541"/>
      <c r="CE132" s="541"/>
      <c r="CF132" s="541"/>
      <c r="CG132" s="541"/>
      <c r="CH132" s="541"/>
      <c r="CI132" s="541"/>
      <c r="CJ132" s="541"/>
      <c r="CK132" s="541"/>
      <c r="CL132" s="541"/>
      <c r="CM132" s="541"/>
      <c r="CN132" s="541"/>
      <c r="CO132" s="541"/>
      <c r="CP132" s="541"/>
      <c r="CQ132" s="541"/>
      <c r="CR132" s="541"/>
      <c r="CS132" s="541"/>
      <c r="CT132" s="541"/>
      <c r="CU132" s="541"/>
      <c r="CV132" s="541"/>
      <c r="CW132" s="541"/>
      <c r="CX132" s="541"/>
      <c r="CY132" s="541"/>
      <c r="CZ132" s="541"/>
      <c r="DA132" s="541"/>
      <c r="DB132" s="541"/>
      <c r="DC132" s="541"/>
      <c r="DD132" s="541"/>
      <c r="DE132" s="541"/>
      <c r="DF132" s="541"/>
      <c r="DG132" s="541"/>
      <c r="DH132" s="541"/>
      <c r="DI132" s="541"/>
      <c r="DJ132" s="541"/>
      <c r="DK132" s="541"/>
      <c r="DL132" s="541"/>
      <c r="DM132" s="541"/>
      <c r="DN132" s="541"/>
      <c r="DO132" s="541"/>
      <c r="DP132" s="541"/>
      <c r="DQ132" s="541"/>
      <c r="DR132" s="541"/>
      <c r="DS132" s="541"/>
      <c r="DT132" s="541"/>
      <c r="DU132" s="541"/>
      <c r="DV132" s="541"/>
      <c r="DW132" s="541"/>
      <c r="DX132" s="541"/>
      <c r="DY132" s="541"/>
      <c r="DZ132" s="541"/>
      <c r="EA132" s="541"/>
      <c r="EB132" s="541"/>
      <c r="EC132" s="541"/>
      <c r="ED132" s="541"/>
      <c r="EE132" s="541"/>
      <c r="EF132" s="541"/>
      <c r="EG132" s="541"/>
      <c r="EH132" s="541"/>
      <c r="EI132" s="541"/>
      <c r="EJ132" s="541"/>
      <c r="EK132" s="541"/>
      <c r="EL132" s="541"/>
      <c r="EM132" s="541"/>
      <c r="EN132" s="541"/>
      <c r="EO132" s="541"/>
      <c r="EP132" s="541"/>
      <c r="EQ132" s="541"/>
      <c r="ER132" s="541"/>
      <c r="ES132" s="541"/>
      <c r="ET132" s="541"/>
      <c r="EU132" s="541"/>
      <c r="EV132" s="541"/>
      <c r="EW132" s="541"/>
      <c r="EX132" s="541"/>
      <c r="EY132" s="541"/>
      <c r="EZ132" s="541"/>
      <c r="FA132" s="541"/>
      <c r="FB132" s="541"/>
      <c r="FC132" s="541"/>
      <c r="FD132" s="541"/>
      <c r="FE132" s="541"/>
      <c r="FF132" s="541"/>
      <c r="FG132" s="541"/>
      <c r="FH132" s="541"/>
      <c r="FI132" s="541"/>
      <c r="FJ132" s="541"/>
      <c r="FK132" s="541"/>
      <c r="FL132" s="541"/>
      <c r="FM132" s="541"/>
      <c r="FN132" s="541"/>
      <c r="FO132" s="541"/>
      <c r="FP132" s="541"/>
      <c r="FQ132" s="541"/>
      <c r="FR132" s="541"/>
      <c r="FS132" s="541"/>
      <c r="FT132" s="541"/>
      <c r="FU132" s="541"/>
      <c r="FV132" s="541"/>
      <c r="FW132" s="541"/>
      <c r="FX132" s="541"/>
      <c r="FY132" s="541"/>
      <c r="FZ132" s="541"/>
      <c r="GA132" s="541"/>
      <c r="GB132" s="541"/>
      <c r="GC132" s="541"/>
      <c r="GD132" s="541"/>
      <c r="GE132" s="541"/>
      <c r="GF132" s="541"/>
      <c r="GG132" s="541"/>
      <c r="GH132" s="541"/>
      <c r="GI132" s="541"/>
      <c r="GJ132" s="541"/>
      <c r="GK132" s="541"/>
      <c r="GL132" s="541"/>
      <c r="GM132" s="541"/>
      <c r="GN132" s="541"/>
      <c r="GO132" s="541"/>
      <c r="GP132" s="541"/>
      <c r="GQ132" s="541"/>
      <c r="GR132" s="541"/>
      <c r="GS132" s="541"/>
      <c r="GT132" s="541"/>
      <c r="GU132" s="541"/>
      <c r="GV132" s="541"/>
      <c r="GW132" s="541"/>
      <c r="GX132" s="541"/>
      <c r="GY132" s="541"/>
      <c r="GZ132" s="541"/>
      <c r="HA132" s="541"/>
      <c r="HB132" s="541"/>
      <c r="HC132" s="541"/>
      <c r="HD132" s="541"/>
      <c r="HE132" s="541"/>
      <c r="HF132" s="541"/>
      <c r="HG132" s="541"/>
      <c r="HH132" s="541"/>
      <c r="HI132" s="541"/>
      <c r="HJ132" s="541"/>
      <c r="HK132" s="541"/>
      <c r="HL132" s="541"/>
      <c r="HM132" s="541"/>
      <c r="HN132" s="541"/>
      <c r="HO132" s="541"/>
    </row>
    <row r="133" spans="24:223" s="542" customFormat="1" ht="12.75"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  <c r="AS133" s="541"/>
      <c r="AT133" s="541"/>
      <c r="AU133" s="541"/>
      <c r="AV133" s="541"/>
      <c r="AW133" s="541"/>
      <c r="AX133" s="541"/>
      <c r="AY133" s="541"/>
      <c r="AZ133" s="541"/>
      <c r="BA133" s="541"/>
      <c r="BB133" s="541"/>
      <c r="BC133" s="541"/>
      <c r="BD133" s="541"/>
      <c r="BE133" s="541"/>
      <c r="BF133" s="541"/>
      <c r="BG133" s="541"/>
      <c r="BH133" s="541"/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541"/>
      <c r="BT133" s="541"/>
      <c r="BU133" s="541"/>
      <c r="BV133" s="541"/>
      <c r="BW133" s="541"/>
      <c r="BX133" s="541"/>
      <c r="BY133" s="541"/>
      <c r="BZ133" s="541"/>
      <c r="CA133" s="541"/>
      <c r="CB133" s="541"/>
      <c r="CC133" s="541"/>
      <c r="CD133" s="541"/>
      <c r="CE133" s="541"/>
      <c r="CF133" s="541"/>
      <c r="CG133" s="541"/>
      <c r="CH133" s="541"/>
      <c r="CI133" s="541"/>
      <c r="CJ133" s="541"/>
      <c r="CK133" s="541"/>
      <c r="CL133" s="541"/>
      <c r="CM133" s="541"/>
      <c r="CN133" s="541"/>
      <c r="CO133" s="541"/>
      <c r="CP133" s="541"/>
      <c r="CQ133" s="541"/>
      <c r="CR133" s="541"/>
      <c r="CS133" s="541"/>
      <c r="CT133" s="541"/>
      <c r="CU133" s="541"/>
      <c r="CV133" s="541"/>
      <c r="CW133" s="541"/>
      <c r="CX133" s="541"/>
      <c r="CY133" s="541"/>
      <c r="CZ133" s="541"/>
      <c r="DA133" s="541"/>
      <c r="DB133" s="541"/>
      <c r="DC133" s="541"/>
      <c r="DD133" s="541"/>
      <c r="DE133" s="541"/>
      <c r="DF133" s="541"/>
      <c r="DG133" s="541"/>
      <c r="DH133" s="541"/>
      <c r="DI133" s="541"/>
      <c r="DJ133" s="541"/>
      <c r="DK133" s="541"/>
      <c r="DL133" s="541"/>
      <c r="DM133" s="541"/>
      <c r="DN133" s="541"/>
      <c r="DO133" s="541"/>
      <c r="DP133" s="541"/>
      <c r="DQ133" s="541"/>
      <c r="DR133" s="541"/>
      <c r="DS133" s="541"/>
      <c r="DT133" s="541"/>
      <c r="DU133" s="541"/>
      <c r="DV133" s="541"/>
      <c r="DW133" s="541"/>
      <c r="DX133" s="541"/>
      <c r="DY133" s="541"/>
      <c r="DZ133" s="541"/>
      <c r="EA133" s="541"/>
      <c r="EB133" s="541"/>
      <c r="EC133" s="541"/>
      <c r="ED133" s="541"/>
      <c r="EE133" s="541"/>
      <c r="EF133" s="541"/>
      <c r="EG133" s="541"/>
      <c r="EH133" s="541"/>
      <c r="EI133" s="541"/>
      <c r="EJ133" s="541"/>
      <c r="EK133" s="541"/>
      <c r="EL133" s="541"/>
      <c r="EM133" s="541"/>
      <c r="EN133" s="541"/>
      <c r="EO133" s="541"/>
      <c r="EP133" s="541"/>
      <c r="EQ133" s="541"/>
      <c r="ER133" s="541"/>
      <c r="ES133" s="541"/>
      <c r="ET133" s="541"/>
      <c r="EU133" s="541"/>
      <c r="EV133" s="541"/>
      <c r="EW133" s="541"/>
      <c r="EX133" s="541"/>
      <c r="EY133" s="541"/>
      <c r="EZ133" s="541"/>
      <c r="FA133" s="541"/>
      <c r="FB133" s="541"/>
      <c r="FC133" s="541"/>
      <c r="FD133" s="541"/>
      <c r="FE133" s="541"/>
      <c r="FF133" s="541"/>
      <c r="FG133" s="541"/>
      <c r="FH133" s="541"/>
      <c r="FI133" s="541"/>
      <c r="FJ133" s="541"/>
      <c r="FK133" s="541"/>
      <c r="FL133" s="541"/>
      <c r="FM133" s="541"/>
      <c r="FN133" s="541"/>
      <c r="FO133" s="541"/>
      <c r="FP133" s="541"/>
      <c r="FQ133" s="541"/>
      <c r="FR133" s="541"/>
      <c r="FS133" s="541"/>
      <c r="FT133" s="541"/>
      <c r="FU133" s="541"/>
      <c r="FV133" s="541"/>
      <c r="FW133" s="541"/>
      <c r="FX133" s="541"/>
      <c r="FY133" s="541"/>
      <c r="FZ133" s="541"/>
      <c r="GA133" s="541"/>
      <c r="GB133" s="541"/>
      <c r="GC133" s="541"/>
      <c r="GD133" s="541"/>
      <c r="GE133" s="541"/>
      <c r="GF133" s="541"/>
      <c r="GG133" s="541"/>
      <c r="GH133" s="541"/>
      <c r="GI133" s="541"/>
      <c r="GJ133" s="541"/>
      <c r="GK133" s="541"/>
      <c r="GL133" s="541"/>
      <c r="GM133" s="541"/>
      <c r="GN133" s="541"/>
      <c r="GO133" s="541"/>
      <c r="GP133" s="541"/>
      <c r="GQ133" s="541"/>
      <c r="GR133" s="541"/>
      <c r="GS133" s="541"/>
      <c r="GT133" s="541"/>
      <c r="GU133" s="541"/>
      <c r="GV133" s="541"/>
      <c r="GW133" s="541"/>
      <c r="GX133" s="541"/>
      <c r="GY133" s="541"/>
      <c r="GZ133" s="541"/>
      <c r="HA133" s="541"/>
      <c r="HB133" s="541"/>
      <c r="HC133" s="541"/>
      <c r="HD133" s="541"/>
      <c r="HE133" s="541"/>
      <c r="HF133" s="541"/>
      <c r="HG133" s="541"/>
      <c r="HH133" s="541"/>
      <c r="HI133" s="541"/>
      <c r="HJ133" s="541"/>
      <c r="HK133" s="541"/>
      <c r="HL133" s="541"/>
      <c r="HM133" s="541"/>
      <c r="HN133" s="541"/>
      <c r="HO133" s="541"/>
    </row>
    <row r="134" spans="24:223" s="542" customFormat="1" ht="12.75"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  <c r="AS134" s="541"/>
      <c r="AT134" s="541"/>
      <c r="AU134" s="541"/>
      <c r="AV134" s="541"/>
      <c r="AW134" s="541"/>
      <c r="AX134" s="541"/>
      <c r="AY134" s="541"/>
      <c r="AZ134" s="541"/>
      <c r="BA134" s="541"/>
      <c r="BB134" s="541"/>
      <c r="BC134" s="541"/>
      <c r="BD134" s="541"/>
      <c r="BE134" s="541"/>
      <c r="BF134" s="541"/>
      <c r="BG134" s="541"/>
      <c r="BH134" s="541"/>
      <c r="BI134" s="541"/>
      <c r="BJ134" s="541"/>
      <c r="BK134" s="541"/>
      <c r="BL134" s="541"/>
      <c r="BM134" s="541"/>
      <c r="BN134" s="541"/>
      <c r="BO134" s="541"/>
      <c r="BP134" s="541"/>
      <c r="BQ134" s="541"/>
      <c r="BR134" s="541"/>
      <c r="BS134" s="541"/>
      <c r="BT134" s="541"/>
      <c r="BU134" s="541"/>
      <c r="BV134" s="541"/>
      <c r="BW134" s="541"/>
      <c r="BX134" s="541"/>
      <c r="BY134" s="541"/>
      <c r="BZ134" s="541"/>
      <c r="CA134" s="541"/>
      <c r="CB134" s="541"/>
      <c r="CC134" s="541"/>
      <c r="CD134" s="541"/>
      <c r="CE134" s="541"/>
      <c r="CF134" s="541"/>
      <c r="CG134" s="541"/>
      <c r="CH134" s="541"/>
      <c r="CI134" s="541"/>
      <c r="CJ134" s="541"/>
      <c r="CK134" s="541"/>
      <c r="CL134" s="541"/>
      <c r="CM134" s="541"/>
      <c r="CN134" s="541"/>
      <c r="CO134" s="541"/>
      <c r="CP134" s="541"/>
      <c r="CQ134" s="541"/>
      <c r="CR134" s="541"/>
      <c r="CS134" s="541"/>
      <c r="CT134" s="541"/>
      <c r="CU134" s="541"/>
      <c r="CV134" s="541"/>
      <c r="CW134" s="541"/>
      <c r="CX134" s="541"/>
      <c r="CY134" s="541"/>
      <c r="CZ134" s="541"/>
      <c r="DA134" s="541"/>
      <c r="DB134" s="541"/>
      <c r="DC134" s="541"/>
      <c r="DD134" s="541"/>
      <c r="DE134" s="541"/>
      <c r="DF134" s="541"/>
      <c r="DG134" s="541"/>
      <c r="DH134" s="541"/>
      <c r="DI134" s="541"/>
      <c r="DJ134" s="541"/>
      <c r="DK134" s="541"/>
      <c r="DL134" s="541"/>
      <c r="DM134" s="541"/>
      <c r="DN134" s="541"/>
      <c r="DO134" s="541"/>
      <c r="DP134" s="541"/>
      <c r="DQ134" s="541"/>
      <c r="DR134" s="541"/>
      <c r="DS134" s="541"/>
      <c r="DT134" s="541"/>
      <c r="DU134" s="541"/>
      <c r="DV134" s="541"/>
      <c r="DW134" s="541"/>
      <c r="DX134" s="541"/>
      <c r="DY134" s="541"/>
      <c r="DZ134" s="541"/>
      <c r="EA134" s="541"/>
      <c r="EB134" s="541"/>
      <c r="EC134" s="541"/>
      <c r="ED134" s="541"/>
      <c r="EE134" s="541"/>
      <c r="EF134" s="541"/>
      <c r="EG134" s="541"/>
      <c r="EH134" s="541"/>
      <c r="EI134" s="541"/>
      <c r="EJ134" s="541"/>
      <c r="EK134" s="541"/>
      <c r="EL134" s="541"/>
      <c r="EM134" s="541"/>
      <c r="EN134" s="541"/>
      <c r="EO134" s="541"/>
      <c r="EP134" s="541"/>
      <c r="EQ134" s="541"/>
      <c r="ER134" s="541"/>
      <c r="ES134" s="541"/>
      <c r="ET134" s="541"/>
      <c r="EU134" s="541"/>
      <c r="EV134" s="541"/>
      <c r="EW134" s="541"/>
      <c r="EX134" s="541"/>
      <c r="EY134" s="541"/>
      <c r="EZ134" s="541"/>
      <c r="FA134" s="541"/>
      <c r="FB134" s="541"/>
      <c r="FC134" s="541"/>
      <c r="FD134" s="541"/>
      <c r="FE134" s="541"/>
      <c r="FF134" s="541"/>
      <c r="FG134" s="541"/>
      <c r="FH134" s="541"/>
      <c r="FI134" s="541"/>
      <c r="FJ134" s="541"/>
      <c r="FK134" s="541"/>
      <c r="FL134" s="541"/>
      <c r="FM134" s="541"/>
      <c r="FN134" s="541"/>
      <c r="FO134" s="541"/>
      <c r="FP134" s="541"/>
      <c r="FQ134" s="541"/>
      <c r="FR134" s="541"/>
      <c r="FS134" s="541"/>
      <c r="FT134" s="541"/>
      <c r="FU134" s="541"/>
      <c r="FV134" s="541"/>
      <c r="FW134" s="541"/>
      <c r="FX134" s="541"/>
      <c r="FY134" s="541"/>
      <c r="FZ134" s="541"/>
      <c r="GA134" s="541"/>
      <c r="GB134" s="541"/>
      <c r="GC134" s="541"/>
      <c r="GD134" s="541"/>
      <c r="GE134" s="541"/>
      <c r="GF134" s="541"/>
      <c r="GG134" s="541"/>
      <c r="GH134" s="541"/>
      <c r="GI134" s="541"/>
      <c r="GJ134" s="541"/>
      <c r="GK134" s="541"/>
      <c r="GL134" s="541"/>
      <c r="GM134" s="541"/>
      <c r="GN134" s="541"/>
      <c r="GO134" s="541"/>
      <c r="GP134" s="541"/>
      <c r="GQ134" s="541"/>
      <c r="GR134" s="541"/>
      <c r="GS134" s="541"/>
      <c r="GT134" s="541"/>
      <c r="GU134" s="541"/>
      <c r="GV134" s="541"/>
      <c r="GW134" s="541"/>
      <c r="GX134" s="541"/>
      <c r="GY134" s="541"/>
      <c r="GZ134" s="541"/>
      <c r="HA134" s="541"/>
      <c r="HB134" s="541"/>
      <c r="HC134" s="541"/>
      <c r="HD134" s="541"/>
      <c r="HE134" s="541"/>
      <c r="HF134" s="541"/>
      <c r="HG134" s="541"/>
      <c r="HH134" s="541"/>
      <c r="HI134" s="541"/>
      <c r="HJ134" s="541"/>
      <c r="HK134" s="541"/>
      <c r="HL134" s="541"/>
      <c r="HM134" s="541"/>
      <c r="HN134" s="541"/>
      <c r="HO134" s="541"/>
    </row>
    <row r="135" spans="24:223" s="542" customFormat="1" ht="12.75"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  <c r="AS135" s="541"/>
      <c r="AT135" s="541"/>
      <c r="AU135" s="541"/>
      <c r="AV135" s="541"/>
      <c r="AW135" s="541"/>
      <c r="AX135" s="541"/>
      <c r="AY135" s="541"/>
      <c r="AZ135" s="541"/>
      <c r="BA135" s="541"/>
      <c r="BB135" s="541"/>
      <c r="BC135" s="541"/>
      <c r="BD135" s="541"/>
      <c r="BE135" s="541"/>
      <c r="BF135" s="541"/>
      <c r="BG135" s="541"/>
      <c r="BH135" s="541"/>
      <c r="BI135" s="541"/>
      <c r="BJ135" s="541"/>
      <c r="BK135" s="541"/>
      <c r="BL135" s="541"/>
      <c r="BM135" s="541"/>
      <c r="BN135" s="541"/>
      <c r="BO135" s="541"/>
      <c r="BP135" s="541"/>
      <c r="BQ135" s="541"/>
      <c r="BR135" s="541"/>
      <c r="BS135" s="541"/>
      <c r="BT135" s="541"/>
      <c r="BU135" s="541"/>
      <c r="BV135" s="541"/>
      <c r="BW135" s="541"/>
      <c r="BX135" s="541"/>
      <c r="BY135" s="541"/>
      <c r="BZ135" s="541"/>
      <c r="CA135" s="541"/>
      <c r="CB135" s="541"/>
      <c r="CC135" s="541"/>
      <c r="CD135" s="541"/>
      <c r="CE135" s="541"/>
      <c r="CF135" s="541"/>
      <c r="CG135" s="541"/>
      <c r="CH135" s="541"/>
      <c r="CI135" s="541"/>
      <c r="CJ135" s="541"/>
      <c r="CK135" s="541"/>
      <c r="CL135" s="541"/>
      <c r="CM135" s="541"/>
      <c r="CN135" s="541"/>
      <c r="CO135" s="541"/>
      <c r="CP135" s="541"/>
      <c r="CQ135" s="541"/>
      <c r="CR135" s="541"/>
      <c r="CS135" s="541"/>
      <c r="CT135" s="541"/>
      <c r="CU135" s="541"/>
      <c r="CV135" s="541"/>
      <c r="CW135" s="541"/>
      <c r="CX135" s="541"/>
      <c r="CY135" s="541"/>
      <c r="CZ135" s="541"/>
      <c r="DA135" s="541"/>
      <c r="DB135" s="541"/>
      <c r="DC135" s="541"/>
      <c r="DD135" s="541"/>
      <c r="DE135" s="541"/>
      <c r="DF135" s="541"/>
      <c r="DG135" s="541"/>
      <c r="DH135" s="541"/>
      <c r="DI135" s="541"/>
      <c r="DJ135" s="541"/>
      <c r="DK135" s="541"/>
      <c r="DL135" s="541"/>
      <c r="DM135" s="541"/>
      <c r="DN135" s="541"/>
      <c r="DO135" s="541"/>
      <c r="DP135" s="541"/>
      <c r="DQ135" s="541"/>
      <c r="DR135" s="541"/>
      <c r="DS135" s="541"/>
      <c r="DT135" s="541"/>
      <c r="DU135" s="541"/>
      <c r="DV135" s="541"/>
      <c r="DW135" s="541"/>
      <c r="DX135" s="541"/>
      <c r="DY135" s="541"/>
      <c r="DZ135" s="541"/>
      <c r="EA135" s="541"/>
      <c r="EB135" s="541"/>
      <c r="EC135" s="541"/>
      <c r="ED135" s="541"/>
      <c r="EE135" s="541"/>
      <c r="EF135" s="541"/>
      <c r="EG135" s="541"/>
      <c r="EH135" s="541"/>
      <c r="EI135" s="541"/>
      <c r="EJ135" s="541"/>
      <c r="EK135" s="541"/>
      <c r="EL135" s="541"/>
      <c r="EM135" s="541"/>
      <c r="EN135" s="541"/>
      <c r="EO135" s="541"/>
      <c r="EP135" s="541"/>
      <c r="EQ135" s="541"/>
      <c r="ER135" s="541"/>
      <c r="ES135" s="541"/>
      <c r="ET135" s="541"/>
      <c r="EU135" s="541"/>
      <c r="EV135" s="541"/>
      <c r="EW135" s="541"/>
      <c r="EX135" s="541"/>
      <c r="EY135" s="541"/>
      <c r="EZ135" s="541"/>
      <c r="FA135" s="541"/>
      <c r="FB135" s="541"/>
      <c r="FC135" s="541"/>
      <c r="FD135" s="541"/>
      <c r="FE135" s="541"/>
      <c r="FF135" s="541"/>
      <c r="FG135" s="541"/>
      <c r="FH135" s="541"/>
      <c r="FI135" s="541"/>
      <c r="FJ135" s="541"/>
      <c r="FK135" s="541"/>
      <c r="FL135" s="541"/>
      <c r="FM135" s="541"/>
      <c r="FN135" s="541"/>
      <c r="FO135" s="541"/>
      <c r="FP135" s="541"/>
      <c r="FQ135" s="541"/>
      <c r="FR135" s="541"/>
      <c r="FS135" s="541"/>
      <c r="FT135" s="541"/>
      <c r="FU135" s="541"/>
      <c r="FV135" s="541"/>
      <c r="FW135" s="541"/>
      <c r="FX135" s="541"/>
      <c r="FY135" s="541"/>
      <c r="FZ135" s="541"/>
      <c r="GA135" s="541"/>
      <c r="GB135" s="541"/>
      <c r="GC135" s="541"/>
      <c r="GD135" s="541"/>
      <c r="GE135" s="541"/>
      <c r="GF135" s="541"/>
      <c r="GG135" s="541"/>
      <c r="GH135" s="541"/>
      <c r="GI135" s="541"/>
      <c r="GJ135" s="541"/>
      <c r="GK135" s="541"/>
      <c r="GL135" s="541"/>
      <c r="GM135" s="541"/>
      <c r="GN135" s="541"/>
      <c r="GO135" s="541"/>
      <c r="GP135" s="541"/>
      <c r="GQ135" s="541"/>
      <c r="GR135" s="541"/>
      <c r="GS135" s="541"/>
      <c r="GT135" s="541"/>
      <c r="GU135" s="541"/>
      <c r="GV135" s="541"/>
      <c r="GW135" s="541"/>
      <c r="GX135" s="541"/>
      <c r="GY135" s="541"/>
      <c r="GZ135" s="541"/>
      <c r="HA135" s="541"/>
      <c r="HB135" s="541"/>
      <c r="HC135" s="541"/>
      <c r="HD135" s="541"/>
      <c r="HE135" s="541"/>
      <c r="HF135" s="541"/>
      <c r="HG135" s="541"/>
      <c r="HH135" s="541"/>
      <c r="HI135" s="541"/>
      <c r="HJ135" s="541"/>
      <c r="HK135" s="541"/>
      <c r="HL135" s="541"/>
      <c r="HM135" s="541"/>
      <c r="HN135" s="541"/>
      <c r="HO135" s="541"/>
    </row>
    <row r="136" spans="24:223" s="542" customFormat="1" ht="12.75"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  <c r="AS136" s="541"/>
      <c r="AT136" s="541"/>
      <c r="AU136" s="541"/>
      <c r="AV136" s="541"/>
      <c r="AW136" s="541"/>
      <c r="AX136" s="541"/>
      <c r="AY136" s="541"/>
      <c r="AZ136" s="541"/>
      <c r="BA136" s="541"/>
      <c r="BB136" s="541"/>
      <c r="BC136" s="541"/>
      <c r="BD136" s="541"/>
      <c r="BE136" s="541"/>
      <c r="BF136" s="541"/>
      <c r="BG136" s="541"/>
      <c r="BH136" s="541"/>
      <c r="BI136" s="541"/>
      <c r="BJ136" s="541"/>
      <c r="BK136" s="541"/>
      <c r="BL136" s="541"/>
      <c r="BM136" s="541"/>
      <c r="BN136" s="541"/>
      <c r="BO136" s="541"/>
      <c r="BP136" s="541"/>
      <c r="BQ136" s="541"/>
      <c r="BR136" s="541"/>
      <c r="BS136" s="541"/>
      <c r="BT136" s="541"/>
      <c r="BU136" s="541"/>
      <c r="BV136" s="541"/>
      <c r="BW136" s="541"/>
      <c r="BX136" s="541"/>
      <c r="BY136" s="541"/>
      <c r="BZ136" s="541"/>
      <c r="CA136" s="541"/>
      <c r="CB136" s="541"/>
      <c r="CC136" s="541"/>
      <c r="CD136" s="541"/>
      <c r="CE136" s="541"/>
      <c r="CF136" s="541"/>
      <c r="CG136" s="541"/>
      <c r="CH136" s="541"/>
      <c r="CI136" s="541"/>
      <c r="CJ136" s="541"/>
      <c r="CK136" s="541"/>
      <c r="CL136" s="541"/>
      <c r="CM136" s="541"/>
      <c r="CN136" s="541"/>
      <c r="CO136" s="541"/>
      <c r="CP136" s="541"/>
      <c r="CQ136" s="541"/>
      <c r="CR136" s="541"/>
      <c r="CS136" s="541"/>
      <c r="CT136" s="541"/>
      <c r="CU136" s="541"/>
      <c r="CV136" s="541"/>
      <c r="CW136" s="541"/>
      <c r="CX136" s="541"/>
      <c r="CY136" s="541"/>
      <c r="CZ136" s="541"/>
      <c r="DA136" s="541"/>
      <c r="DB136" s="541"/>
      <c r="DC136" s="541"/>
      <c r="DD136" s="541"/>
      <c r="DE136" s="541"/>
      <c r="DF136" s="541"/>
      <c r="DG136" s="541"/>
      <c r="DH136" s="541"/>
      <c r="DI136" s="541"/>
      <c r="DJ136" s="541"/>
      <c r="DK136" s="541"/>
      <c r="DL136" s="541"/>
      <c r="DM136" s="541"/>
      <c r="DN136" s="541"/>
      <c r="DO136" s="541"/>
      <c r="DP136" s="541"/>
      <c r="DQ136" s="541"/>
      <c r="DR136" s="541"/>
      <c r="DS136" s="541"/>
      <c r="DT136" s="541"/>
      <c r="DU136" s="541"/>
      <c r="DV136" s="541"/>
      <c r="DW136" s="541"/>
      <c r="DX136" s="541"/>
      <c r="DY136" s="541"/>
      <c r="DZ136" s="541"/>
      <c r="EA136" s="541"/>
      <c r="EB136" s="541"/>
      <c r="EC136" s="541"/>
      <c r="ED136" s="541"/>
      <c r="EE136" s="541"/>
      <c r="EF136" s="541"/>
      <c r="EG136" s="541"/>
      <c r="EH136" s="541"/>
      <c r="EI136" s="541"/>
      <c r="EJ136" s="541"/>
      <c r="EK136" s="541"/>
      <c r="EL136" s="541"/>
      <c r="EM136" s="541"/>
      <c r="EN136" s="541"/>
      <c r="EO136" s="541"/>
      <c r="EP136" s="541"/>
      <c r="EQ136" s="541"/>
      <c r="ER136" s="541"/>
      <c r="ES136" s="541"/>
      <c r="ET136" s="541"/>
      <c r="EU136" s="541"/>
      <c r="EV136" s="541"/>
      <c r="EW136" s="541"/>
      <c r="EX136" s="541"/>
      <c r="EY136" s="541"/>
      <c r="EZ136" s="541"/>
      <c r="FA136" s="541"/>
      <c r="FB136" s="541"/>
      <c r="FC136" s="541"/>
      <c r="FD136" s="541"/>
      <c r="FE136" s="541"/>
      <c r="FF136" s="541"/>
      <c r="FG136" s="541"/>
      <c r="FH136" s="541"/>
      <c r="FI136" s="541"/>
      <c r="FJ136" s="541"/>
      <c r="FK136" s="541"/>
      <c r="FL136" s="541"/>
      <c r="FM136" s="541"/>
      <c r="FN136" s="541"/>
      <c r="FO136" s="541"/>
      <c r="FP136" s="541"/>
      <c r="FQ136" s="541"/>
      <c r="FR136" s="541"/>
      <c r="FS136" s="541"/>
      <c r="FT136" s="541"/>
      <c r="FU136" s="541"/>
      <c r="FV136" s="541"/>
      <c r="FW136" s="541"/>
      <c r="FX136" s="541"/>
      <c r="FY136" s="541"/>
      <c r="FZ136" s="541"/>
      <c r="GA136" s="541"/>
      <c r="GB136" s="541"/>
      <c r="GC136" s="541"/>
      <c r="GD136" s="541"/>
      <c r="GE136" s="541"/>
      <c r="GF136" s="541"/>
      <c r="GG136" s="541"/>
      <c r="GH136" s="541"/>
      <c r="GI136" s="541"/>
      <c r="GJ136" s="541"/>
      <c r="GK136" s="541"/>
      <c r="GL136" s="541"/>
      <c r="GM136" s="541"/>
      <c r="GN136" s="541"/>
      <c r="GO136" s="541"/>
      <c r="GP136" s="541"/>
      <c r="GQ136" s="541"/>
      <c r="GR136" s="541"/>
      <c r="GS136" s="541"/>
      <c r="GT136" s="541"/>
      <c r="GU136" s="541"/>
      <c r="GV136" s="541"/>
      <c r="GW136" s="541"/>
      <c r="GX136" s="541"/>
      <c r="GY136" s="541"/>
      <c r="GZ136" s="541"/>
      <c r="HA136" s="541"/>
      <c r="HB136" s="541"/>
      <c r="HC136" s="541"/>
      <c r="HD136" s="541"/>
      <c r="HE136" s="541"/>
      <c r="HF136" s="541"/>
      <c r="HG136" s="541"/>
      <c r="HH136" s="541"/>
      <c r="HI136" s="541"/>
      <c r="HJ136" s="541"/>
      <c r="HK136" s="541"/>
      <c r="HL136" s="541"/>
      <c r="HM136" s="541"/>
      <c r="HN136" s="541"/>
      <c r="HO136" s="541"/>
    </row>
    <row r="137" spans="24:223" s="542" customFormat="1" ht="12.75"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  <c r="AS137" s="541"/>
      <c r="AT137" s="541"/>
      <c r="AU137" s="541"/>
      <c r="AV137" s="541"/>
      <c r="AW137" s="541"/>
      <c r="AX137" s="541"/>
      <c r="AY137" s="541"/>
      <c r="AZ137" s="541"/>
      <c r="BA137" s="541"/>
      <c r="BB137" s="541"/>
      <c r="BC137" s="541"/>
      <c r="BD137" s="541"/>
      <c r="BE137" s="541"/>
      <c r="BF137" s="541"/>
      <c r="BG137" s="541"/>
      <c r="BH137" s="541"/>
      <c r="BI137" s="541"/>
      <c r="BJ137" s="541"/>
      <c r="BK137" s="541"/>
      <c r="BL137" s="541"/>
      <c r="BM137" s="541"/>
      <c r="BN137" s="541"/>
      <c r="BO137" s="541"/>
      <c r="BP137" s="541"/>
      <c r="BQ137" s="541"/>
      <c r="BR137" s="541"/>
      <c r="BS137" s="541"/>
      <c r="BT137" s="541"/>
      <c r="BU137" s="541"/>
      <c r="BV137" s="541"/>
      <c r="BW137" s="541"/>
      <c r="BX137" s="541"/>
      <c r="BY137" s="541"/>
      <c r="BZ137" s="541"/>
      <c r="CA137" s="541"/>
      <c r="CB137" s="541"/>
      <c r="CC137" s="541"/>
      <c r="CD137" s="541"/>
      <c r="CE137" s="541"/>
      <c r="CF137" s="541"/>
      <c r="CG137" s="541"/>
      <c r="CH137" s="541"/>
      <c r="CI137" s="541"/>
      <c r="CJ137" s="541"/>
      <c r="CK137" s="541"/>
      <c r="CL137" s="541"/>
      <c r="CM137" s="541"/>
      <c r="CN137" s="541"/>
      <c r="CO137" s="541"/>
      <c r="CP137" s="541"/>
      <c r="CQ137" s="541"/>
      <c r="CR137" s="541"/>
      <c r="CS137" s="541"/>
      <c r="CT137" s="541"/>
      <c r="CU137" s="541"/>
      <c r="CV137" s="541"/>
      <c r="CW137" s="541"/>
      <c r="CX137" s="541"/>
      <c r="CY137" s="541"/>
      <c r="CZ137" s="541"/>
      <c r="DA137" s="541"/>
      <c r="DB137" s="541"/>
      <c r="DC137" s="541"/>
      <c r="DD137" s="541"/>
      <c r="DE137" s="541"/>
      <c r="DF137" s="541"/>
      <c r="DG137" s="541"/>
      <c r="DH137" s="541"/>
      <c r="DI137" s="541"/>
      <c r="DJ137" s="541"/>
      <c r="DK137" s="541"/>
      <c r="DL137" s="541"/>
      <c r="DM137" s="541"/>
      <c r="DN137" s="541"/>
      <c r="DO137" s="541"/>
      <c r="DP137" s="541"/>
      <c r="DQ137" s="541"/>
      <c r="DR137" s="541"/>
      <c r="DS137" s="541"/>
      <c r="DT137" s="541"/>
      <c r="DU137" s="541"/>
      <c r="DV137" s="541"/>
      <c r="DW137" s="541"/>
      <c r="DX137" s="541"/>
      <c r="DY137" s="541"/>
      <c r="DZ137" s="541"/>
      <c r="EA137" s="541"/>
      <c r="EB137" s="541"/>
      <c r="EC137" s="541"/>
      <c r="ED137" s="541"/>
      <c r="EE137" s="541"/>
      <c r="EF137" s="541"/>
      <c r="EG137" s="541"/>
      <c r="EH137" s="541"/>
      <c r="EI137" s="541"/>
      <c r="EJ137" s="541"/>
      <c r="EK137" s="541"/>
      <c r="EL137" s="541"/>
      <c r="EM137" s="541"/>
      <c r="EN137" s="541"/>
      <c r="EO137" s="541"/>
      <c r="EP137" s="541"/>
      <c r="EQ137" s="541"/>
      <c r="ER137" s="541"/>
      <c r="ES137" s="541"/>
      <c r="ET137" s="541"/>
      <c r="EU137" s="541"/>
      <c r="EV137" s="541"/>
      <c r="EW137" s="541"/>
      <c r="EX137" s="541"/>
      <c r="EY137" s="541"/>
      <c r="EZ137" s="541"/>
      <c r="FA137" s="541"/>
      <c r="FB137" s="541"/>
      <c r="FC137" s="541"/>
      <c r="FD137" s="541"/>
      <c r="FE137" s="541"/>
      <c r="FF137" s="541"/>
      <c r="FG137" s="541"/>
      <c r="FH137" s="541"/>
      <c r="FI137" s="541"/>
      <c r="FJ137" s="541"/>
      <c r="FK137" s="541"/>
      <c r="FL137" s="541"/>
      <c r="FM137" s="541"/>
      <c r="FN137" s="541"/>
      <c r="FO137" s="541"/>
      <c r="FP137" s="541"/>
      <c r="FQ137" s="541"/>
      <c r="FR137" s="541"/>
      <c r="FS137" s="541"/>
      <c r="FT137" s="541"/>
      <c r="FU137" s="541"/>
      <c r="FV137" s="541"/>
      <c r="FW137" s="541"/>
      <c r="FX137" s="541"/>
      <c r="FY137" s="541"/>
      <c r="FZ137" s="541"/>
      <c r="GA137" s="541"/>
      <c r="GB137" s="541"/>
      <c r="GC137" s="541"/>
      <c r="GD137" s="541"/>
      <c r="GE137" s="541"/>
      <c r="GF137" s="541"/>
      <c r="GG137" s="541"/>
      <c r="GH137" s="541"/>
      <c r="GI137" s="541"/>
      <c r="GJ137" s="541"/>
      <c r="GK137" s="541"/>
      <c r="GL137" s="541"/>
      <c r="GM137" s="541"/>
      <c r="GN137" s="541"/>
      <c r="GO137" s="541"/>
      <c r="GP137" s="541"/>
      <c r="GQ137" s="541"/>
      <c r="GR137" s="541"/>
      <c r="GS137" s="541"/>
      <c r="GT137" s="541"/>
      <c r="GU137" s="541"/>
      <c r="GV137" s="541"/>
      <c r="GW137" s="541"/>
      <c r="GX137" s="541"/>
      <c r="GY137" s="541"/>
      <c r="GZ137" s="541"/>
      <c r="HA137" s="541"/>
      <c r="HB137" s="541"/>
      <c r="HC137" s="541"/>
      <c r="HD137" s="541"/>
      <c r="HE137" s="541"/>
      <c r="HF137" s="541"/>
      <c r="HG137" s="541"/>
      <c r="HH137" s="541"/>
      <c r="HI137" s="541"/>
      <c r="HJ137" s="541"/>
      <c r="HK137" s="541"/>
      <c r="HL137" s="541"/>
      <c r="HM137" s="541"/>
      <c r="HN137" s="541"/>
      <c r="HO137" s="541"/>
    </row>
    <row r="138" spans="24:223" s="542" customFormat="1" ht="12.75"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  <c r="AS138" s="541"/>
      <c r="AT138" s="541"/>
      <c r="AU138" s="541"/>
      <c r="AV138" s="541"/>
      <c r="AW138" s="541"/>
      <c r="AX138" s="541"/>
      <c r="AY138" s="541"/>
      <c r="AZ138" s="541"/>
      <c r="BA138" s="541"/>
      <c r="BB138" s="541"/>
      <c r="BC138" s="541"/>
      <c r="BD138" s="541"/>
      <c r="BE138" s="541"/>
      <c r="BF138" s="541"/>
      <c r="BG138" s="541"/>
      <c r="BH138" s="541"/>
      <c r="BI138" s="541"/>
      <c r="BJ138" s="541"/>
      <c r="BK138" s="541"/>
      <c r="BL138" s="541"/>
      <c r="BM138" s="541"/>
      <c r="BN138" s="541"/>
      <c r="BO138" s="541"/>
      <c r="BP138" s="541"/>
      <c r="BQ138" s="541"/>
      <c r="BR138" s="541"/>
      <c r="BS138" s="541"/>
      <c r="BT138" s="541"/>
      <c r="BU138" s="541"/>
      <c r="BV138" s="541"/>
      <c r="BW138" s="541"/>
      <c r="BX138" s="541"/>
      <c r="BY138" s="541"/>
      <c r="BZ138" s="541"/>
      <c r="CA138" s="541"/>
      <c r="CB138" s="541"/>
      <c r="CC138" s="541"/>
      <c r="CD138" s="541"/>
      <c r="CE138" s="541"/>
      <c r="CF138" s="541"/>
      <c r="CG138" s="541"/>
      <c r="CH138" s="541"/>
      <c r="CI138" s="541"/>
      <c r="CJ138" s="541"/>
      <c r="CK138" s="541"/>
      <c r="CL138" s="541"/>
      <c r="CM138" s="541"/>
      <c r="CN138" s="541"/>
      <c r="CO138" s="541"/>
      <c r="CP138" s="541"/>
      <c r="CQ138" s="541"/>
      <c r="CR138" s="541"/>
      <c r="CS138" s="541"/>
      <c r="CT138" s="541"/>
      <c r="CU138" s="541"/>
      <c r="CV138" s="541"/>
      <c r="CW138" s="541"/>
      <c r="CX138" s="541"/>
      <c r="CY138" s="541"/>
      <c r="CZ138" s="541"/>
      <c r="DA138" s="541"/>
      <c r="DB138" s="541"/>
      <c r="DC138" s="541"/>
      <c r="DD138" s="541"/>
      <c r="DE138" s="541"/>
      <c r="DF138" s="541"/>
      <c r="DG138" s="541"/>
      <c r="DH138" s="541"/>
      <c r="DI138" s="541"/>
      <c r="DJ138" s="541"/>
      <c r="DK138" s="541"/>
      <c r="DL138" s="541"/>
      <c r="DM138" s="541"/>
      <c r="DN138" s="541"/>
      <c r="DO138" s="541"/>
      <c r="DP138" s="541"/>
      <c r="DQ138" s="541"/>
      <c r="DR138" s="541"/>
      <c r="DS138" s="541"/>
      <c r="DT138" s="541"/>
      <c r="DU138" s="541"/>
      <c r="DV138" s="541"/>
      <c r="DW138" s="541"/>
      <c r="DX138" s="541"/>
      <c r="DY138" s="541"/>
      <c r="DZ138" s="541"/>
      <c r="EA138" s="541"/>
      <c r="EB138" s="541"/>
      <c r="EC138" s="541"/>
      <c r="ED138" s="541"/>
      <c r="EE138" s="541"/>
      <c r="EF138" s="541"/>
      <c r="EG138" s="541"/>
      <c r="EH138" s="541"/>
      <c r="EI138" s="541"/>
      <c r="EJ138" s="541"/>
      <c r="EK138" s="541"/>
      <c r="EL138" s="541"/>
      <c r="EM138" s="541"/>
      <c r="EN138" s="541"/>
      <c r="EO138" s="541"/>
      <c r="EP138" s="541"/>
      <c r="EQ138" s="541"/>
      <c r="ER138" s="541"/>
      <c r="ES138" s="541"/>
      <c r="ET138" s="541"/>
      <c r="EU138" s="541"/>
      <c r="EV138" s="541"/>
      <c r="EW138" s="541"/>
      <c r="EX138" s="541"/>
      <c r="EY138" s="541"/>
      <c r="EZ138" s="541"/>
      <c r="FA138" s="541"/>
      <c r="FB138" s="541"/>
      <c r="FC138" s="541"/>
      <c r="FD138" s="541"/>
      <c r="FE138" s="541"/>
      <c r="FF138" s="541"/>
      <c r="FG138" s="541"/>
      <c r="FH138" s="541"/>
      <c r="FI138" s="541"/>
      <c r="FJ138" s="541"/>
      <c r="FK138" s="541"/>
      <c r="FL138" s="541"/>
      <c r="FM138" s="541"/>
      <c r="FN138" s="541"/>
      <c r="FO138" s="541"/>
      <c r="FP138" s="541"/>
      <c r="FQ138" s="541"/>
      <c r="FR138" s="541"/>
      <c r="FS138" s="541"/>
      <c r="FT138" s="541"/>
      <c r="FU138" s="541"/>
      <c r="FV138" s="541"/>
      <c r="FW138" s="541"/>
      <c r="FX138" s="541"/>
      <c r="FY138" s="541"/>
      <c r="FZ138" s="541"/>
      <c r="GA138" s="541"/>
      <c r="GB138" s="541"/>
      <c r="GC138" s="541"/>
      <c r="GD138" s="541"/>
      <c r="GE138" s="541"/>
      <c r="GF138" s="541"/>
      <c r="GG138" s="541"/>
      <c r="GH138" s="541"/>
      <c r="GI138" s="541"/>
      <c r="GJ138" s="541"/>
      <c r="GK138" s="541"/>
      <c r="GL138" s="541"/>
      <c r="GM138" s="541"/>
      <c r="GN138" s="541"/>
      <c r="GO138" s="541"/>
      <c r="GP138" s="541"/>
      <c r="GQ138" s="541"/>
      <c r="GR138" s="541"/>
      <c r="GS138" s="541"/>
      <c r="GT138" s="541"/>
      <c r="GU138" s="541"/>
      <c r="GV138" s="541"/>
      <c r="GW138" s="541"/>
      <c r="GX138" s="541"/>
      <c r="GY138" s="541"/>
      <c r="GZ138" s="541"/>
      <c r="HA138" s="541"/>
      <c r="HB138" s="541"/>
      <c r="HC138" s="541"/>
      <c r="HD138" s="541"/>
      <c r="HE138" s="541"/>
      <c r="HF138" s="541"/>
      <c r="HG138" s="541"/>
      <c r="HH138" s="541"/>
      <c r="HI138" s="541"/>
      <c r="HJ138" s="541"/>
      <c r="HK138" s="541"/>
      <c r="HL138" s="541"/>
      <c r="HM138" s="541"/>
      <c r="HN138" s="541"/>
      <c r="HO138" s="541"/>
    </row>
    <row r="139" spans="24:223" s="542" customFormat="1" ht="12.75"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  <c r="AS139" s="541"/>
      <c r="AT139" s="541"/>
      <c r="AU139" s="541"/>
      <c r="AV139" s="541"/>
      <c r="AW139" s="541"/>
      <c r="AX139" s="541"/>
      <c r="AY139" s="541"/>
      <c r="AZ139" s="541"/>
      <c r="BA139" s="541"/>
      <c r="BB139" s="541"/>
      <c r="BC139" s="541"/>
      <c r="BD139" s="541"/>
      <c r="BE139" s="541"/>
      <c r="BF139" s="541"/>
      <c r="BG139" s="541"/>
      <c r="BH139" s="541"/>
      <c r="BI139" s="541"/>
      <c r="BJ139" s="541"/>
      <c r="BK139" s="541"/>
      <c r="BL139" s="541"/>
      <c r="BM139" s="541"/>
      <c r="BN139" s="541"/>
      <c r="BO139" s="541"/>
      <c r="BP139" s="541"/>
      <c r="BQ139" s="541"/>
      <c r="BR139" s="541"/>
      <c r="BS139" s="541"/>
      <c r="BT139" s="541"/>
      <c r="BU139" s="541"/>
      <c r="BV139" s="541"/>
      <c r="BW139" s="541"/>
      <c r="BX139" s="541"/>
      <c r="BY139" s="541"/>
      <c r="BZ139" s="541"/>
      <c r="CA139" s="541"/>
      <c r="CB139" s="541"/>
      <c r="CC139" s="541"/>
      <c r="CD139" s="541"/>
      <c r="CE139" s="541"/>
      <c r="CF139" s="541"/>
      <c r="CG139" s="541"/>
      <c r="CH139" s="541"/>
      <c r="CI139" s="541"/>
      <c r="CJ139" s="541"/>
      <c r="CK139" s="541"/>
      <c r="CL139" s="541"/>
      <c r="CM139" s="541"/>
      <c r="CN139" s="541"/>
      <c r="CO139" s="541"/>
      <c r="CP139" s="541"/>
      <c r="CQ139" s="541"/>
      <c r="CR139" s="541"/>
      <c r="CS139" s="541"/>
      <c r="CT139" s="541"/>
      <c r="CU139" s="541"/>
      <c r="CV139" s="541"/>
      <c r="CW139" s="541"/>
      <c r="CX139" s="541"/>
      <c r="CY139" s="541"/>
      <c r="CZ139" s="541"/>
      <c r="DA139" s="541"/>
      <c r="DB139" s="541"/>
      <c r="DC139" s="541"/>
      <c r="DD139" s="541"/>
      <c r="DE139" s="541"/>
      <c r="DF139" s="541"/>
      <c r="DG139" s="541"/>
      <c r="DH139" s="541"/>
      <c r="DI139" s="541"/>
      <c r="DJ139" s="541"/>
      <c r="DK139" s="541"/>
      <c r="DL139" s="541"/>
      <c r="DM139" s="541"/>
      <c r="DN139" s="541"/>
      <c r="DO139" s="541"/>
      <c r="DP139" s="541"/>
      <c r="DQ139" s="541"/>
      <c r="DR139" s="541"/>
      <c r="DS139" s="541"/>
      <c r="DT139" s="541"/>
      <c r="DU139" s="541"/>
      <c r="DV139" s="541"/>
      <c r="DW139" s="541"/>
      <c r="DX139" s="541"/>
      <c r="DY139" s="541"/>
      <c r="DZ139" s="541"/>
      <c r="EA139" s="541"/>
      <c r="EB139" s="541"/>
      <c r="EC139" s="541"/>
      <c r="ED139" s="541"/>
      <c r="EE139" s="541"/>
      <c r="EF139" s="541"/>
      <c r="EG139" s="541"/>
      <c r="EH139" s="541"/>
      <c r="EI139" s="541"/>
      <c r="EJ139" s="541"/>
      <c r="EK139" s="541"/>
      <c r="EL139" s="541"/>
      <c r="EM139" s="541"/>
      <c r="EN139" s="541"/>
      <c r="EO139" s="541"/>
      <c r="EP139" s="541"/>
      <c r="EQ139" s="541"/>
      <c r="ER139" s="541"/>
      <c r="ES139" s="541"/>
      <c r="ET139" s="541"/>
      <c r="EU139" s="541"/>
      <c r="EV139" s="541"/>
      <c r="EW139" s="541"/>
      <c r="EX139" s="541"/>
      <c r="EY139" s="541"/>
      <c r="EZ139" s="541"/>
      <c r="FA139" s="541"/>
      <c r="FB139" s="541"/>
      <c r="FC139" s="541"/>
      <c r="FD139" s="541"/>
      <c r="FE139" s="541"/>
      <c r="FF139" s="541"/>
      <c r="FG139" s="541"/>
      <c r="FH139" s="541"/>
      <c r="FI139" s="541"/>
      <c r="FJ139" s="541"/>
      <c r="FK139" s="541"/>
      <c r="FL139" s="541"/>
      <c r="FM139" s="541"/>
      <c r="FN139" s="541"/>
      <c r="FO139" s="541"/>
      <c r="FP139" s="541"/>
      <c r="FQ139" s="541"/>
      <c r="FR139" s="541"/>
      <c r="FS139" s="541"/>
      <c r="FT139" s="541"/>
      <c r="FU139" s="541"/>
      <c r="FV139" s="541"/>
      <c r="FW139" s="541"/>
      <c r="FX139" s="541"/>
      <c r="FY139" s="541"/>
      <c r="FZ139" s="541"/>
      <c r="GA139" s="541"/>
      <c r="GB139" s="541"/>
      <c r="GC139" s="541"/>
      <c r="GD139" s="541"/>
      <c r="GE139" s="541"/>
      <c r="GF139" s="541"/>
      <c r="GG139" s="541"/>
      <c r="GH139" s="541"/>
      <c r="GI139" s="541"/>
      <c r="GJ139" s="541"/>
      <c r="GK139" s="541"/>
      <c r="GL139" s="541"/>
      <c r="GM139" s="541"/>
      <c r="GN139" s="541"/>
      <c r="GO139" s="541"/>
      <c r="GP139" s="541"/>
      <c r="GQ139" s="541"/>
      <c r="GR139" s="541"/>
      <c r="GS139" s="541"/>
      <c r="GT139" s="541"/>
      <c r="GU139" s="541"/>
      <c r="GV139" s="541"/>
      <c r="GW139" s="541"/>
      <c r="GX139" s="541"/>
      <c r="GY139" s="541"/>
      <c r="GZ139" s="541"/>
      <c r="HA139" s="541"/>
      <c r="HB139" s="541"/>
      <c r="HC139" s="541"/>
      <c r="HD139" s="541"/>
      <c r="HE139" s="541"/>
      <c r="HF139" s="541"/>
      <c r="HG139" s="541"/>
      <c r="HH139" s="541"/>
      <c r="HI139" s="541"/>
      <c r="HJ139" s="541"/>
      <c r="HK139" s="541"/>
      <c r="HL139" s="541"/>
      <c r="HM139" s="541"/>
      <c r="HN139" s="541"/>
      <c r="HO139" s="541"/>
    </row>
    <row r="140" spans="24:223" s="542" customFormat="1" ht="12.75"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  <c r="AS140" s="541"/>
      <c r="AT140" s="541"/>
      <c r="AU140" s="541"/>
      <c r="AV140" s="541"/>
      <c r="AW140" s="541"/>
      <c r="AX140" s="541"/>
      <c r="AY140" s="541"/>
      <c r="AZ140" s="541"/>
      <c r="BA140" s="541"/>
      <c r="BB140" s="541"/>
      <c r="BC140" s="541"/>
      <c r="BD140" s="541"/>
      <c r="BE140" s="541"/>
      <c r="BF140" s="541"/>
      <c r="BG140" s="541"/>
      <c r="BH140" s="541"/>
      <c r="BI140" s="541"/>
      <c r="BJ140" s="541"/>
      <c r="BK140" s="541"/>
      <c r="BL140" s="541"/>
      <c r="BM140" s="541"/>
      <c r="BN140" s="541"/>
      <c r="BO140" s="541"/>
      <c r="BP140" s="541"/>
      <c r="BQ140" s="541"/>
      <c r="BR140" s="541"/>
      <c r="BS140" s="541"/>
      <c r="BT140" s="541"/>
      <c r="BU140" s="541"/>
      <c r="BV140" s="541"/>
      <c r="BW140" s="541"/>
      <c r="BX140" s="541"/>
      <c r="BY140" s="541"/>
      <c r="BZ140" s="541"/>
      <c r="CA140" s="541"/>
      <c r="CB140" s="541"/>
      <c r="CC140" s="541"/>
      <c r="CD140" s="541"/>
      <c r="CE140" s="541"/>
      <c r="CF140" s="541"/>
      <c r="CG140" s="541"/>
      <c r="CH140" s="541"/>
      <c r="CI140" s="541"/>
      <c r="CJ140" s="541"/>
      <c r="CK140" s="541"/>
      <c r="CL140" s="541"/>
      <c r="CM140" s="541"/>
      <c r="CN140" s="541"/>
      <c r="CO140" s="541"/>
      <c r="CP140" s="541"/>
      <c r="CQ140" s="541"/>
      <c r="CR140" s="541"/>
      <c r="CS140" s="541"/>
      <c r="CT140" s="541"/>
      <c r="CU140" s="541"/>
      <c r="CV140" s="541"/>
      <c r="CW140" s="541"/>
      <c r="CX140" s="541"/>
      <c r="CY140" s="541"/>
      <c r="CZ140" s="541"/>
      <c r="DA140" s="541"/>
      <c r="DB140" s="541"/>
      <c r="DC140" s="541"/>
      <c r="DD140" s="541"/>
      <c r="DE140" s="541"/>
      <c r="DF140" s="541"/>
      <c r="DG140" s="541"/>
      <c r="DH140" s="541"/>
      <c r="DI140" s="541"/>
      <c r="DJ140" s="541"/>
      <c r="DK140" s="541"/>
      <c r="DL140" s="541"/>
      <c r="DM140" s="541"/>
      <c r="DN140" s="541"/>
      <c r="DO140" s="541"/>
      <c r="DP140" s="541"/>
      <c r="DQ140" s="541"/>
      <c r="DR140" s="541"/>
      <c r="DS140" s="541"/>
      <c r="DT140" s="541"/>
      <c r="DU140" s="541"/>
      <c r="DV140" s="541"/>
      <c r="DW140" s="541"/>
      <c r="DX140" s="541"/>
      <c r="DY140" s="541"/>
      <c r="DZ140" s="541"/>
      <c r="EA140" s="541"/>
      <c r="EB140" s="541"/>
      <c r="EC140" s="541"/>
      <c r="ED140" s="541"/>
      <c r="EE140" s="541"/>
      <c r="EF140" s="541"/>
      <c r="EG140" s="541"/>
      <c r="EH140" s="541"/>
      <c r="EI140" s="541"/>
      <c r="EJ140" s="541"/>
      <c r="EK140" s="541"/>
      <c r="EL140" s="541"/>
      <c r="EM140" s="541"/>
      <c r="EN140" s="541"/>
      <c r="EO140" s="541"/>
      <c r="EP140" s="541"/>
      <c r="EQ140" s="541"/>
      <c r="ER140" s="541"/>
      <c r="ES140" s="541"/>
      <c r="ET140" s="541"/>
      <c r="EU140" s="541"/>
      <c r="EV140" s="541"/>
      <c r="EW140" s="541"/>
      <c r="EX140" s="541"/>
      <c r="EY140" s="541"/>
      <c r="EZ140" s="541"/>
      <c r="FA140" s="541"/>
      <c r="FB140" s="541"/>
      <c r="FC140" s="541"/>
      <c r="FD140" s="541"/>
      <c r="FE140" s="541"/>
      <c r="FF140" s="541"/>
      <c r="FG140" s="541"/>
      <c r="FH140" s="541"/>
      <c r="FI140" s="541"/>
      <c r="FJ140" s="541"/>
      <c r="FK140" s="541"/>
      <c r="FL140" s="541"/>
      <c r="FM140" s="541"/>
      <c r="FN140" s="541"/>
      <c r="FO140" s="541"/>
      <c r="FP140" s="541"/>
      <c r="FQ140" s="541"/>
      <c r="FR140" s="541"/>
      <c r="FS140" s="541"/>
      <c r="FT140" s="541"/>
      <c r="FU140" s="541"/>
      <c r="FV140" s="541"/>
      <c r="FW140" s="541"/>
      <c r="FX140" s="541"/>
      <c r="FY140" s="541"/>
      <c r="FZ140" s="541"/>
      <c r="GA140" s="541"/>
      <c r="GB140" s="541"/>
      <c r="GC140" s="541"/>
      <c r="GD140" s="541"/>
      <c r="GE140" s="541"/>
      <c r="GF140" s="541"/>
      <c r="GG140" s="541"/>
      <c r="GH140" s="541"/>
      <c r="GI140" s="541"/>
      <c r="GJ140" s="541"/>
      <c r="GK140" s="541"/>
      <c r="GL140" s="541"/>
      <c r="GM140" s="541"/>
      <c r="GN140" s="541"/>
      <c r="GO140" s="541"/>
      <c r="GP140" s="541"/>
      <c r="GQ140" s="541"/>
      <c r="GR140" s="541"/>
      <c r="GS140" s="541"/>
      <c r="GT140" s="541"/>
      <c r="GU140" s="541"/>
      <c r="GV140" s="541"/>
      <c r="GW140" s="541"/>
      <c r="GX140" s="541"/>
      <c r="GY140" s="541"/>
      <c r="GZ140" s="541"/>
      <c r="HA140" s="541"/>
      <c r="HB140" s="541"/>
      <c r="HC140" s="541"/>
      <c r="HD140" s="541"/>
      <c r="HE140" s="541"/>
      <c r="HF140" s="541"/>
      <c r="HG140" s="541"/>
      <c r="HH140" s="541"/>
      <c r="HI140" s="541"/>
      <c r="HJ140" s="541"/>
      <c r="HK140" s="541"/>
      <c r="HL140" s="541"/>
      <c r="HM140" s="541"/>
      <c r="HN140" s="541"/>
      <c r="HO140" s="541"/>
    </row>
    <row r="141" spans="24:223" s="542" customFormat="1" ht="12.75"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  <c r="AS141" s="541"/>
      <c r="AT141" s="541"/>
      <c r="AU141" s="541"/>
      <c r="AV141" s="541"/>
      <c r="AW141" s="541"/>
      <c r="AX141" s="541"/>
      <c r="AY141" s="541"/>
      <c r="AZ141" s="541"/>
      <c r="BA141" s="541"/>
      <c r="BB141" s="541"/>
      <c r="BC141" s="541"/>
      <c r="BD141" s="541"/>
      <c r="BE141" s="541"/>
      <c r="BF141" s="541"/>
      <c r="BG141" s="541"/>
      <c r="BH141" s="541"/>
      <c r="BI141" s="541"/>
      <c r="BJ141" s="541"/>
      <c r="BK141" s="541"/>
      <c r="BL141" s="541"/>
      <c r="BM141" s="541"/>
      <c r="BN141" s="541"/>
      <c r="BO141" s="541"/>
      <c r="BP141" s="541"/>
      <c r="BQ141" s="541"/>
      <c r="BR141" s="541"/>
      <c r="BS141" s="541"/>
      <c r="BT141" s="541"/>
      <c r="BU141" s="541"/>
      <c r="BV141" s="541"/>
      <c r="BW141" s="541"/>
      <c r="BX141" s="541"/>
      <c r="BY141" s="541"/>
      <c r="BZ141" s="541"/>
      <c r="CA141" s="541"/>
      <c r="CB141" s="541"/>
      <c r="CC141" s="541"/>
      <c r="CD141" s="541"/>
      <c r="CE141" s="541"/>
      <c r="CF141" s="541"/>
      <c r="CG141" s="541"/>
      <c r="CH141" s="541"/>
      <c r="CI141" s="541"/>
      <c r="CJ141" s="541"/>
      <c r="CK141" s="541"/>
      <c r="CL141" s="541"/>
      <c r="CM141" s="541"/>
      <c r="CN141" s="541"/>
      <c r="CO141" s="541"/>
      <c r="CP141" s="541"/>
      <c r="CQ141" s="541"/>
      <c r="CR141" s="541"/>
      <c r="CS141" s="541"/>
      <c r="CT141" s="541"/>
      <c r="CU141" s="541"/>
      <c r="CV141" s="541"/>
      <c r="CW141" s="541"/>
      <c r="CX141" s="541"/>
      <c r="CY141" s="541"/>
      <c r="CZ141" s="541"/>
      <c r="DA141" s="541"/>
      <c r="DB141" s="541"/>
      <c r="DC141" s="541"/>
      <c r="DD141" s="541"/>
      <c r="DE141" s="541"/>
      <c r="DF141" s="541"/>
      <c r="DG141" s="541"/>
      <c r="DH141" s="541"/>
      <c r="DI141" s="541"/>
      <c r="DJ141" s="541"/>
      <c r="DK141" s="541"/>
      <c r="DL141" s="541"/>
      <c r="DM141" s="541"/>
      <c r="DN141" s="541"/>
      <c r="DO141" s="541"/>
      <c r="DP141" s="541"/>
      <c r="DQ141" s="541"/>
      <c r="DR141" s="541"/>
      <c r="DS141" s="541"/>
      <c r="DT141" s="541"/>
      <c r="DU141" s="541"/>
      <c r="DV141" s="541"/>
      <c r="DW141" s="541"/>
      <c r="DX141" s="541"/>
      <c r="DY141" s="541"/>
      <c r="DZ141" s="541"/>
      <c r="EA141" s="541"/>
      <c r="EB141" s="541"/>
      <c r="EC141" s="541"/>
      <c r="ED141" s="541"/>
      <c r="EE141" s="541"/>
      <c r="EF141" s="541"/>
      <c r="EG141" s="541"/>
      <c r="EH141" s="541"/>
      <c r="EI141" s="541"/>
      <c r="EJ141" s="541"/>
      <c r="EK141" s="541"/>
      <c r="EL141" s="541"/>
      <c r="EM141" s="541"/>
      <c r="EN141" s="541"/>
      <c r="EO141" s="541"/>
      <c r="EP141" s="541"/>
      <c r="EQ141" s="541"/>
      <c r="ER141" s="541"/>
      <c r="ES141" s="541"/>
      <c r="ET141" s="541"/>
      <c r="EU141" s="541"/>
      <c r="EV141" s="541"/>
      <c r="EW141" s="541"/>
      <c r="EX141" s="541"/>
      <c r="EY141" s="541"/>
      <c r="EZ141" s="541"/>
      <c r="FA141" s="541"/>
      <c r="FB141" s="541"/>
      <c r="FC141" s="541"/>
      <c r="FD141" s="541"/>
      <c r="FE141" s="541"/>
      <c r="FF141" s="541"/>
      <c r="FG141" s="541"/>
      <c r="FH141" s="541"/>
      <c r="FI141" s="541"/>
      <c r="FJ141" s="541"/>
      <c r="FK141" s="541"/>
      <c r="FL141" s="541"/>
      <c r="FM141" s="541"/>
      <c r="FN141" s="541"/>
      <c r="FO141" s="541"/>
      <c r="FP141" s="541"/>
      <c r="FQ141" s="541"/>
      <c r="FR141" s="541"/>
      <c r="FS141" s="541"/>
      <c r="FT141" s="541"/>
      <c r="FU141" s="541"/>
      <c r="FV141" s="541"/>
      <c r="FW141" s="541"/>
      <c r="FX141" s="541"/>
      <c r="FY141" s="541"/>
      <c r="FZ141" s="541"/>
      <c r="GA141" s="541"/>
      <c r="GB141" s="541"/>
      <c r="GC141" s="541"/>
      <c r="GD141" s="541"/>
      <c r="GE141" s="541"/>
      <c r="GF141" s="541"/>
      <c r="GG141" s="541"/>
      <c r="GH141" s="541"/>
      <c r="GI141" s="541"/>
      <c r="GJ141" s="541"/>
      <c r="GK141" s="541"/>
      <c r="GL141" s="541"/>
      <c r="GM141" s="541"/>
      <c r="GN141" s="541"/>
      <c r="GO141" s="541"/>
      <c r="GP141" s="541"/>
      <c r="GQ141" s="541"/>
      <c r="GR141" s="541"/>
      <c r="GS141" s="541"/>
      <c r="GT141" s="541"/>
      <c r="GU141" s="541"/>
      <c r="GV141" s="541"/>
      <c r="GW141" s="541"/>
      <c r="GX141" s="541"/>
      <c r="GY141" s="541"/>
      <c r="GZ141" s="541"/>
      <c r="HA141" s="541"/>
      <c r="HB141" s="541"/>
      <c r="HC141" s="541"/>
      <c r="HD141" s="541"/>
      <c r="HE141" s="541"/>
      <c r="HF141" s="541"/>
      <c r="HG141" s="541"/>
      <c r="HH141" s="541"/>
      <c r="HI141" s="541"/>
      <c r="HJ141" s="541"/>
      <c r="HK141" s="541"/>
      <c r="HL141" s="541"/>
      <c r="HM141" s="541"/>
      <c r="HN141" s="541"/>
      <c r="HO141" s="541"/>
    </row>
    <row r="142" spans="24:223" s="542" customFormat="1" ht="12.75"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  <c r="AS142" s="541"/>
      <c r="AT142" s="541"/>
      <c r="AU142" s="541"/>
      <c r="AV142" s="541"/>
      <c r="AW142" s="541"/>
      <c r="AX142" s="541"/>
      <c r="AY142" s="541"/>
      <c r="AZ142" s="541"/>
      <c r="BA142" s="541"/>
      <c r="BB142" s="541"/>
      <c r="BC142" s="541"/>
      <c r="BD142" s="541"/>
      <c r="BE142" s="541"/>
      <c r="BF142" s="541"/>
      <c r="BG142" s="541"/>
      <c r="BH142" s="541"/>
      <c r="BI142" s="541"/>
      <c r="BJ142" s="541"/>
      <c r="BK142" s="541"/>
      <c r="BL142" s="541"/>
      <c r="BM142" s="541"/>
      <c r="BN142" s="541"/>
      <c r="BO142" s="541"/>
      <c r="BP142" s="541"/>
      <c r="BQ142" s="541"/>
      <c r="BR142" s="541"/>
      <c r="BS142" s="541"/>
      <c r="BT142" s="541"/>
      <c r="BU142" s="541"/>
      <c r="BV142" s="541"/>
      <c r="BW142" s="541"/>
      <c r="BX142" s="541"/>
      <c r="BY142" s="541"/>
      <c r="BZ142" s="541"/>
      <c r="CA142" s="541"/>
      <c r="CB142" s="541"/>
      <c r="CC142" s="541"/>
      <c r="CD142" s="541"/>
      <c r="CE142" s="541"/>
      <c r="CF142" s="541"/>
      <c r="CG142" s="541"/>
      <c r="CH142" s="541"/>
      <c r="CI142" s="541"/>
      <c r="CJ142" s="541"/>
      <c r="CK142" s="541"/>
      <c r="CL142" s="541"/>
      <c r="CM142" s="541"/>
      <c r="CN142" s="541"/>
      <c r="CO142" s="541"/>
      <c r="CP142" s="541"/>
      <c r="CQ142" s="541"/>
      <c r="CR142" s="541"/>
      <c r="CS142" s="541"/>
      <c r="CT142" s="541"/>
      <c r="CU142" s="541"/>
      <c r="CV142" s="541"/>
      <c r="CW142" s="541"/>
      <c r="CX142" s="541"/>
      <c r="CY142" s="541"/>
      <c r="CZ142" s="541"/>
      <c r="DA142" s="541"/>
      <c r="DB142" s="541"/>
      <c r="DC142" s="541"/>
      <c r="DD142" s="541"/>
      <c r="DE142" s="541"/>
      <c r="DF142" s="541"/>
      <c r="DG142" s="541"/>
      <c r="DH142" s="541"/>
      <c r="DI142" s="541"/>
      <c r="DJ142" s="541"/>
      <c r="DK142" s="541"/>
      <c r="DL142" s="541"/>
      <c r="DM142" s="541"/>
      <c r="DN142" s="541"/>
      <c r="DO142" s="541"/>
      <c r="DP142" s="541"/>
      <c r="DQ142" s="541"/>
      <c r="DR142" s="541"/>
      <c r="DS142" s="541"/>
      <c r="DT142" s="541"/>
      <c r="DU142" s="541"/>
      <c r="DV142" s="541"/>
      <c r="DW142" s="541"/>
      <c r="DX142" s="541"/>
      <c r="DY142" s="541"/>
      <c r="DZ142" s="541"/>
      <c r="EA142" s="541"/>
      <c r="EB142" s="541"/>
      <c r="EC142" s="541"/>
      <c r="ED142" s="541"/>
      <c r="EE142" s="541"/>
      <c r="EF142" s="541"/>
      <c r="EG142" s="541"/>
      <c r="EH142" s="541"/>
      <c r="EI142" s="541"/>
      <c r="EJ142" s="541"/>
      <c r="EK142" s="541"/>
      <c r="EL142" s="541"/>
      <c r="EM142" s="541"/>
      <c r="EN142" s="541"/>
      <c r="EO142" s="541"/>
      <c r="EP142" s="541"/>
      <c r="EQ142" s="541"/>
      <c r="ER142" s="541"/>
      <c r="ES142" s="541"/>
      <c r="ET142" s="541"/>
      <c r="EU142" s="541"/>
      <c r="EV142" s="541"/>
      <c r="EW142" s="541"/>
      <c r="EX142" s="541"/>
      <c r="EY142" s="541"/>
      <c r="EZ142" s="541"/>
      <c r="FA142" s="541"/>
      <c r="FB142" s="541"/>
      <c r="FC142" s="541"/>
      <c r="FD142" s="541"/>
      <c r="FE142" s="541"/>
      <c r="FF142" s="541"/>
      <c r="FG142" s="541"/>
      <c r="FH142" s="541"/>
      <c r="FI142" s="541"/>
      <c r="FJ142" s="541"/>
      <c r="FK142" s="541"/>
      <c r="FL142" s="541"/>
      <c r="FM142" s="541"/>
      <c r="FN142" s="541"/>
      <c r="FO142" s="541"/>
      <c r="FP142" s="541"/>
      <c r="FQ142" s="541"/>
      <c r="FR142" s="541"/>
      <c r="FS142" s="541"/>
      <c r="FT142" s="541"/>
      <c r="FU142" s="541"/>
      <c r="FV142" s="541"/>
      <c r="FW142" s="541"/>
      <c r="FX142" s="541"/>
      <c r="FY142" s="541"/>
      <c r="FZ142" s="541"/>
      <c r="GA142" s="541"/>
      <c r="GB142" s="541"/>
      <c r="GC142" s="541"/>
      <c r="GD142" s="541"/>
      <c r="GE142" s="541"/>
      <c r="GF142" s="541"/>
      <c r="GG142" s="541"/>
      <c r="GH142" s="541"/>
      <c r="GI142" s="541"/>
      <c r="GJ142" s="541"/>
      <c r="GK142" s="541"/>
      <c r="GL142" s="541"/>
      <c r="GM142" s="541"/>
      <c r="GN142" s="541"/>
      <c r="GO142" s="541"/>
      <c r="GP142" s="541"/>
      <c r="GQ142" s="541"/>
      <c r="GR142" s="541"/>
      <c r="GS142" s="541"/>
      <c r="GT142" s="541"/>
      <c r="GU142" s="541"/>
      <c r="GV142" s="541"/>
      <c r="GW142" s="541"/>
      <c r="GX142" s="541"/>
      <c r="GY142" s="541"/>
      <c r="GZ142" s="541"/>
      <c r="HA142" s="541"/>
      <c r="HB142" s="541"/>
      <c r="HC142" s="541"/>
      <c r="HD142" s="541"/>
      <c r="HE142" s="541"/>
      <c r="HF142" s="541"/>
      <c r="HG142" s="541"/>
      <c r="HH142" s="541"/>
      <c r="HI142" s="541"/>
      <c r="HJ142" s="541"/>
      <c r="HK142" s="541"/>
      <c r="HL142" s="541"/>
      <c r="HM142" s="541"/>
      <c r="HN142" s="541"/>
      <c r="HO142" s="541"/>
    </row>
    <row r="143" spans="24:223" s="542" customFormat="1" ht="12.75"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  <c r="AS143" s="541"/>
      <c r="AT143" s="541"/>
      <c r="AU143" s="541"/>
      <c r="AV143" s="541"/>
      <c r="AW143" s="541"/>
      <c r="AX143" s="541"/>
      <c r="AY143" s="541"/>
      <c r="AZ143" s="541"/>
      <c r="BA143" s="541"/>
      <c r="BB143" s="541"/>
      <c r="BC143" s="541"/>
      <c r="BD143" s="541"/>
      <c r="BE143" s="541"/>
      <c r="BF143" s="541"/>
      <c r="BG143" s="541"/>
      <c r="BH143" s="541"/>
      <c r="BI143" s="541"/>
      <c r="BJ143" s="541"/>
      <c r="BK143" s="541"/>
      <c r="BL143" s="541"/>
      <c r="BM143" s="541"/>
      <c r="BN143" s="541"/>
      <c r="BO143" s="541"/>
      <c r="BP143" s="541"/>
      <c r="BQ143" s="541"/>
      <c r="BR143" s="541"/>
      <c r="BS143" s="541"/>
      <c r="BT143" s="541"/>
      <c r="BU143" s="541"/>
      <c r="BV143" s="541"/>
      <c r="BW143" s="541"/>
      <c r="BX143" s="541"/>
      <c r="BY143" s="541"/>
      <c r="BZ143" s="541"/>
      <c r="CA143" s="541"/>
      <c r="CB143" s="541"/>
      <c r="CC143" s="541"/>
      <c r="CD143" s="541"/>
      <c r="CE143" s="541"/>
      <c r="CF143" s="541"/>
      <c r="CG143" s="541"/>
      <c r="CH143" s="541"/>
      <c r="CI143" s="541"/>
      <c r="CJ143" s="541"/>
      <c r="CK143" s="541"/>
      <c r="CL143" s="541"/>
      <c r="CM143" s="541"/>
      <c r="CN143" s="541"/>
      <c r="CO143" s="541"/>
      <c r="CP143" s="541"/>
      <c r="CQ143" s="541"/>
      <c r="CR143" s="541"/>
      <c r="CS143" s="541"/>
      <c r="CT143" s="541"/>
      <c r="CU143" s="541"/>
      <c r="CV143" s="541"/>
      <c r="CW143" s="541"/>
      <c r="CX143" s="541"/>
      <c r="CY143" s="541"/>
      <c r="CZ143" s="541"/>
      <c r="DA143" s="541"/>
      <c r="DB143" s="541"/>
      <c r="DC143" s="541"/>
      <c r="DD143" s="541"/>
      <c r="DE143" s="541"/>
      <c r="DF143" s="541"/>
      <c r="DG143" s="541"/>
      <c r="DH143" s="541"/>
      <c r="DI143" s="541"/>
      <c r="DJ143" s="541"/>
      <c r="DK143" s="541"/>
      <c r="DL143" s="541"/>
      <c r="DM143" s="541"/>
      <c r="DN143" s="541"/>
      <c r="DO143" s="541"/>
      <c r="DP143" s="541"/>
      <c r="DQ143" s="541"/>
      <c r="DR143" s="541"/>
      <c r="DS143" s="541"/>
      <c r="DT143" s="541"/>
      <c r="DU143" s="541"/>
      <c r="DV143" s="541"/>
      <c r="DW143" s="541"/>
      <c r="DX143" s="541"/>
      <c r="DY143" s="541"/>
      <c r="DZ143" s="541"/>
      <c r="EA143" s="541"/>
      <c r="EB143" s="541"/>
      <c r="EC143" s="541"/>
      <c r="ED143" s="541"/>
      <c r="EE143" s="541"/>
      <c r="EF143" s="541"/>
      <c r="EG143" s="541"/>
      <c r="EH143" s="541"/>
      <c r="EI143" s="541"/>
      <c r="EJ143" s="541"/>
      <c r="EK143" s="541"/>
      <c r="EL143" s="541"/>
      <c r="EM143" s="541"/>
      <c r="EN143" s="541"/>
      <c r="EO143" s="541"/>
      <c r="EP143" s="541"/>
      <c r="EQ143" s="541"/>
      <c r="ER143" s="541"/>
      <c r="ES143" s="541"/>
      <c r="ET143" s="541"/>
      <c r="EU143" s="541"/>
      <c r="EV143" s="541"/>
      <c r="EW143" s="541"/>
      <c r="EX143" s="541"/>
      <c r="EY143" s="541"/>
      <c r="EZ143" s="541"/>
      <c r="FA143" s="541"/>
      <c r="FB143" s="541"/>
      <c r="FC143" s="541"/>
      <c r="FD143" s="541"/>
      <c r="FE143" s="541"/>
      <c r="FF143" s="541"/>
      <c r="FG143" s="541"/>
      <c r="FH143" s="541"/>
      <c r="FI143" s="541"/>
      <c r="FJ143" s="541"/>
      <c r="FK143" s="541"/>
      <c r="FL143" s="541"/>
      <c r="FM143" s="541"/>
      <c r="FN143" s="541"/>
      <c r="FO143" s="541"/>
      <c r="FP143" s="541"/>
      <c r="FQ143" s="541"/>
      <c r="FR143" s="541"/>
      <c r="FS143" s="541"/>
      <c r="FT143" s="541"/>
      <c r="FU143" s="541"/>
      <c r="FV143" s="541"/>
      <c r="FW143" s="541"/>
      <c r="FX143" s="541"/>
      <c r="FY143" s="541"/>
      <c r="FZ143" s="541"/>
      <c r="GA143" s="541"/>
      <c r="GB143" s="541"/>
      <c r="GC143" s="541"/>
      <c r="GD143" s="541"/>
      <c r="GE143" s="541"/>
      <c r="GF143" s="541"/>
      <c r="GG143" s="541"/>
      <c r="GH143" s="541"/>
      <c r="GI143" s="541"/>
      <c r="GJ143" s="541"/>
      <c r="GK143" s="541"/>
      <c r="GL143" s="541"/>
      <c r="GM143" s="541"/>
      <c r="GN143" s="541"/>
      <c r="GO143" s="541"/>
      <c r="GP143" s="541"/>
      <c r="GQ143" s="541"/>
      <c r="GR143" s="541"/>
      <c r="GS143" s="541"/>
      <c r="GT143" s="541"/>
      <c r="GU143" s="541"/>
      <c r="GV143" s="541"/>
      <c r="GW143" s="541"/>
      <c r="GX143" s="541"/>
      <c r="GY143" s="541"/>
      <c r="GZ143" s="541"/>
      <c r="HA143" s="541"/>
      <c r="HB143" s="541"/>
      <c r="HC143" s="541"/>
      <c r="HD143" s="541"/>
      <c r="HE143" s="541"/>
      <c r="HF143" s="541"/>
      <c r="HG143" s="541"/>
      <c r="HH143" s="541"/>
      <c r="HI143" s="541"/>
      <c r="HJ143" s="541"/>
      <c r="HK143" s="541"/>
      <c r="HL143" s="541"/>
      <c r="HM143" s="541"/>
      <c r="HN143" s="541"/>
      <c r="HO143" s="541"/>
    </row>
    <row r="144" spans="24:223" s="542" customFormat="1" ht="12.75">
      <c r="X144" s="541"/>
      <c r="Y144" s="541"/>
      <c r="Z144" s="541"/>
      <c r="AA144" s="541"/>
      <c r="AB144" s="541"/>
      <c r="AC144" s="541"/>
      <c r="AD144" s="541"/>
      <c r="AE144" s="541"/>
      <c r="AF144" s="541"/>
      <c r="AG144" s="541"/>
      <c r="AH144" s="541"/>
      <c r="AI144" s="541"/>
      <c r="AJ144" s="541"/>
      <c r="AK144" s="541"/>
      <c r="AL144" s="541"/>
      <c r="AM144" s="541"/>
      <c r="AN144" s="541"/>
      <c r="AO144" s="541"/>
      <c r="AP144" s="541"/>
      <c r="AQ144" s="541"/>
      <c r="AR144" s="541"/>
      <c r="AS144" s="541"/>
      <c r="AT144" s="541"/>
      <c r="AU144" s="541"/>
      <c r="AV144" s="541"/>
      <c r="AW144" s="541"/>
      <c r="AX144" s="541"/>
      <c r="AY144" s="541"/>
      <c r="AZ144" s="541"/>
      <c r="BA144" s="541"/>
      <c r="BB144" s="541"/>
      <c r="BC144" s="541"/>
      <c r="BD144" s="541"/>
      <c r="BE144" s="541"/>
      <c r="BF144" s="541"/>
      <c r="BG144" s="541"/>
      <c r="BH144" s="541"/>
      <c r="BI144" s="541"/>
      <c r="BJ144" s="541"/>
      <c r="BK144" s="541"/>
      <c r="BL144" s="541"/>
      <c r="BM144" s="541"/>
      <c r="BN144" s="541"/>
      <c r="BO144" s="541"/>
      <c r="BP144" s="541"/>
      <c r="BQ144" s="541"/>
      <c r="BR144" s="541"/>
      <c r="BS144" s="541"/>
      <c r="BT144" s="541"/>
      <c r="BU144" s="541"/>
      <c r="BV144" s="541"/>
      <c r="BW144" s="541"/>
      <c r="BX144" s="541"/>
      <c r="BY144" s="541"/>
      <c r="BZ144" s="541"/>
      <c r="CA144" s="541"/>
      <c r="CB144" s="541"/>
      <c r="CC144" s="541"/>
      <c r="CD144" s="541"/>
      <c r="CE144" s="541"/>
      <c r="CF144" s="541"/>
      <c r="CG144" s="541"/>
      <c r="CH144" s="541"/>
      <c r="CI144" s="541"/>
      <c r="CJ144" s="541"/>
      <c r="CK144" s="541"/>
      <c r="CL144" s="541"/>
      <c r="CM144" s="541"/>
      <c r="CN144" s="541"/>
      <c r="CO144" s="541"/>
      <c r="CP144" s="541"/>
      <c r="CQ144" s="541"/>
      <c r="CR144" s="541"/>
      <c r="CS144" s="541"/>
      <c r="CT144" s="541"/>
      <c r="CU144" s="541"/>
      <c r="CV144" s="541"/>
      <c r="CW144" s="541"/>
      <c r="CX144" s="541"/>
      <c r="CY144" s="541"/>
      <c r="CZ144" s="541"/>
      <c r="DA144" s="541"/>
      <c r="DB144" s="541"/>
      <c r="DC144" s="541"/>
      <c r="DD144" s="541"/>
      <c r="DE144" s="541"/>
      <c r="DF144" s="541"/>
      <c r="DG144" s="541"/>
      <c r="DH144" s="541"/>
      <c r="DI144" s="541"/>
      <c r="DJ144" s="541"/>
      <c r="DK144" s="541"/>
      <c r="DL144" s="541"/>
      <c r="DM144" s="541"/>
      <c r="DN144" s="541"/>
      <c r="DO144" s="541"/>
      <c r="DP144" s="541"/>
      <c r="DQ144" s="541"/>
      <c r="DR144" s="541"/>
      <c r="DS144" s="541"/>
      <c r="DT144" s="541"/>
      <c r="DU144" s="541"/>
      <c r="DV144" s="541"/>
      <c r="DW144" s="541"/>
      <c r="DX144" s="541"/>
      <c r="DY144" s="541"/>
      <c r="DZ144" s="541"/>
      <c r="EA144" s="541"/>
      <c r="EB144" s="541"/>
      <c r="EC144" s="541"/>
      <c r="ED144" s="541"/>
      <c r="EE144" s="541"/>
      <c r="EF144" s="541"/>
      <c r="EG144" s="541"/>
      <c r="EH144" s="541"/>
      <c r="EI144" s="541"/>
      <c r="EJ144" s="541"/>
      <c r="EK144" s="541"/>
      <c r="EL144" s="541"/>
      <c r="EM144" s="541"/>
      <c r="EN144" s="541"/>
      <c r="EO144" s="541"/>
      <c r="EP144" s="541"/>
      <c r="EQ144" s="541"/>
      <c r="ER144" s="541"/>
      <c r="ES144" s="541"/>
      <c r="ET144" s="541"/>
      <c r="EU144" s="541"/>
      <c r="EV144" s="541"/>
      <c r="EW144" s="541"/>
      <c r="EX144" s="541"/>
      <c r="EY144" s="541"/>
      <c r="EZ144" s="541"/>
      <c r="FA144" s="541"/>
      <c r="FB144" s="541"/>
      <c r="FC144" s="541"/>
      <c r="FD144" s="541"/>
      <c r="FE144" s="541"/>
      <c r="FF144" s="541"/>
      <c r="FG144" s="541"/>
      <c r="FH144" s="541"/>
      <c r="FI144" s="541"/>
      <c r="FJ144" s="541"/>
      <c r="FK144" s="541"/>
      <c r="FL144" s="541"/>
      <c r="FM144" s="541"/>
      <c r="FN144" s="541"/>
      <c r="FO144" s="541"/>
      <c r="FP144" s="541"/>
      <c r="FQ144" s="541"/>
      <c r="FR144" s="541"/>
      <c r="FS144" s="541"/>
      <c r="FT144" s="541"/>
      <c r="FU144" s="541"/>
      <c r="FV144" s="541"/>
      <c r="FW144" s="541"/>
      <c r="FX144" s="541"/>
      <c r="FY144" s="541"/>
      <c r="FZ144" s="541"/>
      <c r="GA144" s="541"/>
      <c r="GB144" s="541"/>
      <c r="GC144" s="541"/>
      <c r="GD144" s="541"/>
      <c r="GE144" s="541"/>
      <c r="GF144" s="541"/>
      <c r="GG144" s="541"/>
      <c r="GH144" s="541"/>
      <c r="GI144" s="541"/>
      <c r="GJ144" s="541"/>
      <c r="GK144" s="541"/>
      <c r="GL144" s="541"/>
      <c r="GM144" s="541"/>
      <c r="GN144" s="541"/>
      <c r="GO144" s="541"/>
      <c r="GP144" s="541"/>
      <c r="GQ144" s="541"/>
      <c r="GR144" s="541"/>
      <c r="GS144" s="541"/>
      <c r="GT144" s="541"/>
      <c r="GU144" s="541"/>
      <c r="GV144" s="541"/>
      <c r="GW144" s="541"/>
      <c r="GX144" s="541"/>
      <c r="GY144" s="541"/>
      <c r="GZ144" s="541"/>
      <c r="HA144" s="541"/>
      <c r="HB144" s="541"/>
      <c r="HC144" s="541"/>
      <c r="HD144" s="541"/>
      <c r="HE144" s="541"/>
      <c r="HF144" s="541"/>
      <c r="HG144" s="541"/>
      <c r="HH144" s="541"/>
      <c r="HI144" s="541"/>
      <c r="HJ144" s="541"/>
      <c r="HK144" s="541"/>
      <c r="HL144" s="541"/>
      <c r="HM144" s="541"/>
      <c r="HN144" s="541"/>
      <c r="HO144" s="541"/>
    </row>
    <row r="145" spans="24:223" s="542" customFormat="1" ht="12.75">
      <c r="X145" s="541"/>
      <c r="Y145" s="541"/>
      <c r="Z145" s="541"/>
      <c r="AA145" s="541"/>
      <c r="AB145" s="541"/>
      <c r="AC145" s="541"/>
      <c r="AD145" s="541"/>
      <c r="AE145" s="541"/>
      <c r="AF145" s="541"/>
      <c r="AG145" s="541"/>
      <c r="AH145" s="541"/>
      <c r="AI145" s="541"/>
      <c r="AJ145" s="541"/>
      <c r="AK145" s="541"/>
      <c r="AL145" s="541"/>
      <c r="AM145" s="541"/>
      <c r="AN145" s="541"/>
      <c r="AO145" s="541"/>
      <c r="AP145" s="541"/>
      <c r="AQ145" s="541"/>
      <c r="AR145" s="541"/>
      <c r="AS145" s="541"/>
      <c r="AT145" s="541"/>
      <c r="AU145" s="541"/>
      <c r="AV145" s="541"/>
      <c r="AW145" s="541"/>
      <c r="AX145" s="541"/>
      <c r="AY145" s="541"/>
      <c r="AZ145" s="541"/>
      <c r="BA145" s="541"/>
      <c r="BB145" s="541"/>
      <c r="BC145" s="541"/>
      <c r="BD145" s="541"/>
      <c r="BE145" s="541"/>
      <c r="BF145" s="541"/>
      <c r="BG145" s="541"/>
      <c r="BH145" s="541"/>
      <c r="BI145" s="541"/>
      <c r="BJ145" s="541"/>
      <c r="BK145" s="541"/>
      <c r="BL145" s="541"/>
      <c r="BM145" s="541"/>
      <c r="BN145" s="541"/>
      <c r="BO145" s="541"/>
      <c r="BP145" s="541"/>
      <c r="BQ145" s="541"/>
      <c r="BR145" s="541"/>
      <c r="BS145" s="541"/>
      <c r="BT145" s="541"/>
      <c r="BU145" s="541"/>
      <c r="BV145" s="541"/>
      <c r="BW145" s="541"/>
      <c r="BX145" s="541"/>
      <c r="BY145" s="541"/>
      <c r="BZ145" s="541"/>
      <c r="CA145" s="541"/>
      <c r="CB145" s="541"/>
      <c r="CC145" s="541"/>
      <c r="CD145" s="541"/>
      <c r="CE145" s="541"/>
      <c r="CF145" s="541"/>
      <c r="CG145" s="541"/>
      <c r="CH145" s="541"/>
      <c r="CI145" s="541"/>
      <c r="CJ145" s="541"/>
      <c r="CK145" s="541"/>
      <c r="CL145" s="541"/>
      <c r="CM145" s="541"/>
      <c r="CN145" s="541"/>
      <c r="CO145" s="541"/>
      <c r="CP145" s="541"/>
      <c r="CQ145" s="541"/>
      <c r="CR145" s="541"/>
      <c r="CS145" s="541"/>
      <c r="CT145" s="541"/>
      <c r="CU145" s="541"/>
      <c r="CV145" s="541"/>
      <c r="CW145" s="541"/>
      <c r="CX145" s="541"/>
      <c r="CY145" s="541"/>
      <c r="CZ145" s="541"/>
      <c r="DA145" s="541"/>
      <c r="DB145" s="541"/>
      <c r="DC145" s="541"/>
      <c r="DD145" s="541"/>
      <c r="DE145" s="541"/>
      <c r="DF145" s="541"/>
      <c r="DG145" s="541"/>
      <c r="DH145" s="541"/>
      <c r="DI145" s="541"/>
      <c r="DJ145" s="541"/>
      <c r="DK145" s="541"/>
      <c r="DL145" s="541"/>
      <c r="DM145" s="541"/>
      <c r="DN145" s="541"/>
      <c r="DO145" s="541"/>
      <c r="DP145" s="541"/>
      <c r="DQ145" s="541"/>
      <c r="DR145" s="541"/>
      <c r="DS145" s="541"/>
      <c r="DT145" s="541"/>
      <c r="DU145" s="541"/>
      <c r="DV145" s="541"/>
      <c r="DW145" s="541"/>
      <c r="DX145" s="541"/>
      <c r="DY145" s="541"/>
      <c r="DZ145" s="541"/>
      <c r="EA145" s="541"/>
      <c r="EB145" s="541"/>
      <c r="EC145" s="541"/>
      <c r="ED145" s="541"/>
      <c r="EE145" s="541"/>
      <c r="EF145" s="541"/>
      <c r="EG145" s="541"/>
      <c r="EH145" s="541"/>
      <c r="EI145" s="541"/>
      <c r="EJ145" s="541"/>
      <c r="EK145" s="541"/>
      <c r="EL145" s="541"/>
      <c r="EM145" s="541"/>
      <c r="EN145" s="541"/>
      <c r="EO145" s="541"/>
      <c r="EP145" s="541"/>
      <c r="EQ145" s="541"/>
      <c r="ER145" s="541"/>
      <c r="ES145" s="541"/>
      <c r="ET145" s="541"/>
      <c r="EU145" s="541"/>
      <c r="EV145" s="541"/>
      <c r="EW145" s="541"/>
      <c r="EX145" s="541"/>
      <c r="EY145" s="541"/>
      <c r="EZ145" s="541"/>
      <c r="FA145" s="541"/>
      <c r="FB145" s="541"/>
      <c r="FC145" s="541"/>
      <c r="FD145" s="541"/>
      <c r="FE145" s="541"/>
      <c r="FF145" s="541"/>
      <c r="FG145" s="541"/>
      <c r="FH145" s="541"/>
      <c r="FI145" s="541"/>
      <c r="FJ145" s="541"/>
      <c r="FK145" s="541"/>
      <c r="FL145" s="541"/>
      <c r="FM145" s="541"/>
      <c r="FN145" s="541"/>
      <c r="FO145" s="541"/>
      <c r="FP145" s="541"/>
      <c r="FQ145" s="541"/>
      <c r="FR145" s="541"/>
      <c r="FS145" s="541"/>
      <c r="FT145" s="541"/>
      <c r="FU145" s="541"/>
      <c r="FV145" s="541"/>
      <c r="FW145" s="541"/>
      <c r="FX145" s="541"/>
      <c r="FY145" s="541"/>
      <c r="FZ145" s="541"/>
      <c r="GA145" s="541"/>
      <c r="GB145" s="541"/>
      <c r="GC145" s="541"/>
      <c r="GD145" s="541"/>
      <c r="GE145" s="541"/>
      <c r="GF145" s="541"/>
      <c r="GG145" s="541"/>
      <c r="GH145" s="541"/>
      <c r="GI145" s="541"/>
      <c r="GJ145" s="541"/>
      <c r="GK145" s="541"/>
      <c r="GL145" s="541"/>
      <c r="GM145" s="541"/>
      <c r="GN145" s="541"/>
      <c r="GO145" s="541"/>
      <c r="GP145" s="541"/>
      <c r="GQ145" s="541"/>
      <c r="GR145" s="541"/>
      <c r="GS145" s="541"/>
      <c r="GT145" s="541"/>
      <c r="GU145" s="541"/>
      <c r="GV145" s="541"/>
      <c r="GW145" s="541"/>
      <c r="GX145" s="541"/>
      <c r="GY145" s="541"/>
      <c r="GZ145" s="541"/>
      <c r="HA145" s="541"/>
      <c r="HB145" s="541"/>
      <c r="HC145" s="541"/>
      <c r="HD145" s="541"/>
      <c r="HE145" s="541"/>
      <c r="HF145" s="541"/>
      <c r="HG145" s="541"/>
      <c r="HH145" s="541"/>
      <c r="HI145" s="541"/>
      <c r="HJ145" s="541"/>
      <c r="HK145" s="541"/>
      <c r="HL145" s="541"/>
      <c r="HM145" s="541"/>
      <c r="HN145" s="541"/>
      <c r="HO145" s="541"/>
    </row>
    <row r="146" spans="24:223" s="542" customFormat="1" ht="12.75"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41"/>
      <c r="BD146" s="541"/>
      <c r="BE146" s="541"/>
      <c r="BF146" s="541"/>
      <c r="BG146" s="541"/>
      <c r="BH146" s="541"/>
      <c r="BI146" s="541"/>
      <c r="BJ146" s="541"/>
      <c r="BK146" s="541"/>
      <c r="BL146" s="541"/>
      <c r="BM146" s="541"/>
      <c r="BN146" s="541"/>
      <c r="BO146" s="541"/>
      <c r="BP146" s="541"/>
      <c r="BQ146" s="541"/>
      <c r="BR146" s="541"/>
      <c r="BS146" s="541"/>
      <c r="BT146" s="541"/>
      <c r="BU146" s="541"/>
      <c r="BV146" s="541"/>
      <c r="BW146" s="541"/>
      <c r="BX146" s="541"/>
      <c r="BY146" s="541"/>
      <c r="BZ146" s="541"/>
      <c r="CA146" s="541"/>
      <c r="CB146" s="541"/>
      <c r="CC146" s="541"/>
      <c r="CD146" s="541"/>
      <c r="CE146" s="541"/>
      <c r="CF146" s="541"/>
      <c r="CG146" s="541"/>
      <c r="CH146" s="541"/>
      <c r="CI146" s="541"/>
      <c r="CJ146" s="541"/>
      <c r="CK146" s="541"/>
      <c r="CL146" s="541"/>
      <c r="CM146" s="541"/>
      <c r="CN146" s="541"/>
      <c r="CO146" s="541"/>
      <c r="CP146" s="541"/>
      <c r="CQ146" s="541"/>
      <c r="CR146" s="541"/>
      <c r="CS146" s="541"/>
      <c r="CT146" s="541"/>
      <c r="CU146" s="541"/>
      <c r="CV146" s="541"/>
      <c r="CW146" s="541"/>
      <c r="CX146" s="541"/>
      <c r="CY146" s="541"/>
      <c r="CZ146" s="541"/>
      <c r="DA146" s="541"/>
      <c r="DB146" s="541"/>
      <c r="DC146" s="541"/>
      <c r="DD146" s="541"/>
      <c r="DE146" s="541"/>
      <c r="DF146" s="541"/>
      <c r="DG146" s="541"/>
      <c r="DH146" s="541"/>
      <c r="DI146" s="541"/>
      <c r="DJ146" s="541"/>
      <c r="DK146" s="541"/>
      <c r="DL146" s="541"/>
      <c r="DM146" s="541"/>
      <c r="DN146" s="541"/>
      <c r="DO146" s="541"/>
      <c r="DP146" s="541"/>
      <c r="DQ146" s="541"/>
      <c r="DR146" s="541"/>
      <c r="DS146" s="541"/>
      <c r="DT146" s="541"/>
      <c r="DU146" s="541"/>
      <c r="DV146" s="541"/>
      <c r="DW146" s="541"/>
      <c r="DX146" s="541"/>
      <c r="DY146" s="541"/>
      <c r="DZ146" s="541"/>
      <c r="EA146" s="541"/>
      <c r="EB146" s="541"/>
      <c r="EC146" s="541"/>
      <c r="ED146" s="541"/>
      <c r="EE146" s="541"/>
      <c r="EF146" s="541"/>
      <c r="EG146" s="541"/>
      <c r="EH146" s="541"/>
      <c r="EI146" s="541"/>
      <c r="EJ146" s="541"/>
      <c r="EK146" s="541"/>
      <c r="EL146" s="541"/>
      <c r="EM146" s="541"/>
      <c r="EN146" s="541"/>
      <c r="EO146" s="541"/>
      <c r="EP146" s="541"/>
      <c r="EQ146" s="541"/>
      <c r="ER146" s="541"/>
      <c r="ES146" s="541"/>
      <c r="ET146" s="541"/>
      <c r="EU146" s="541"/>
      <c r="EV146" s="541"/>
      <c r="EW146" s="541"/>
      <c r="EX146" s="541"/>
      <c r="EY146" s="541"/>
      <c r="EZ146" s="541"/>
      <c r="FA146" s="541"/>
      <c r="FB146" s="541"/>
      <c r="FC146" s="541"/>
      <c r="FD146" s="541"/>
      <c r="FE146" s="541"/>
      <c r="FF146" s="541"/>
      <c r="FG146" s="541"/>
      <c r="FH146" s="541"/>
      <c r="FI146" s="541"/>
      <c r="FJ146" s="541"/>
      <c r="FK146" s="541"/>
      <c r="FL146" s="541"/>
      <c r="FM146" s="541"/>
      <c r="FN146" s="541"/>
      <c r="FO146" s="541"/>
      <c r="FP146" s="541"/>
      <c r="FQ146" s="541"/>
      <c r="FR146" s="541"/>
      <c r="FS146" s="541"/>
      <c r="FT146" s="541"/>
      <c r="FU146" s="541"/>
      <c r="FV146" s="541"/>
      <c r="FW146" s="541"/>
      <c r="FX146" s="541"/>
      <c r="FY146" s="541"/>
      <c r="FZ146" s="541"/>
      <c r="GA146" s="541"/>
      <c r="GB146" s="541"/>
      <c r="GC146" s="541"/>
      <c r="GD146" s="541"/>
      <c r="GE146" s="541"/>
      <c r="GF146" s="541"/>
      <c r="GG146" s="541"/>
      <c r="GH146" s="541"/>
      <c r="GI146" s="541"/>
      <c r="GJ146" s="541"/>
      <c r="GK146" s="541"/>
      <c r="GL146" s="541"/>
      <c r="GM146" s="541"/>
      <c r="GN146" s="541"/>
      <c r="GO146" s="541"/>
      <c r="GP146" s="541"/>
      <c r="GQ146" s="541"/>
      <c r="GR146" s="541"/>
      <c r="GS146" s="541"/>
      <c r="GT146" s="541"/>
      <c r="GU146" s="541"/>
      <c r="GV146" s="541"/>
      <c r="GW146" s="541"/>
      <c r="GX146" s="541"/>
      <c r="GY146" s="541"/>
      <c r="GZ146" s="541"/>
      <c r="HA146" s="541"/>
      <c r="HB146" s="541"/>
      <c r="HC146" s="541"/>
      <c r="HD146" s="541"/>
      <c r="HE146" s="541"/>
      <c r="HF146" s="541"/>
      <c r="HG146" s="541"/>
      <c r="HH146" s="541"/>
      <c r="HI146" s="541"/>
      <c r="HJ146" s="541"/>
      <c r="HK146" s="541"/>
      <c r="HL146" s="541"/>
      <c r="HM146" s="541"/>
      <c r="HN146" s="541"/>
      <c r="HO146" s="541"/>
    </row>
    <row r="147" spans="24:223" s="542" customFormat="1" ht="12.75">
      <c r="X147" s="541"/>
      <c r="Y147" s="541"/>
      <c r="Z147" s="541"/>
      <c r="AA147" s="541"/>
      <c r="AB147" s="541"/>
      <c r="AC147" s="541"/>
      <c r="AD147" s="541"/>
      <c r="AE147" s="541"/>
      <c r="AF147" s="541"/>
      <c r="AG147" s="541"/>
      <c r="AH147" s="541"/>
      <c r="AI147" s="541"/>
      <c r="AJ147" s="541"/>
      <c r="AK147" s="541"/>
      <c r="AL147" s="541"/>
      <c r="AM147" s="541"/>
      <c r="AN147" s="541"/>
      <c r="AO147" s="541"/>
      <c r="AP147" s="541"/>
      <c r="AQ147" s="541"/>
      <c r="AR147" s="541"/>
      <c r="AS147" s="541"/>
      <c r="AT147" s="541"/>
      <c r="AU147" s="541"/>
      <c r="AV147" s="541"/>
      <c r="AW147" s="541"/>
      <c r="AX147" s="541"/>
      <c r="AY147" s="541"/>
      <c r="AZ147" s="541"/>
      <c r="BA147" s="541"/>
      <c r="BB147" s="541"/>
      <c r="BC147" s="541"/>
      <c r="BD147" s="541"/>
      <c r="BE147" s="541"/>
      <c r="BF147" s="541"/>
      <c r="BG147" s="541"/>
      <c r="BH147" s="541"/>
      <c r="BI147" s="541"/>
      <c r="BJ147" s="541"/>
      <c r="BK147" s="541"/>
      <c r="BL147" s="541"/>
      <c r="BM147" s="541"/>
      <c r="BN147" s="541"/>
      <c r="BO147" s="541"/>
      <c r="BP147" s="541"/>
      <c r="BQ147" s="541"/>
      <c r="BR147" s="541"/>
      <c r="BS147" s="541"/>
      <c r="BT147" s="541"/>
      <c r="BU147" s="541"/>
      <c r="BV147" s="541"/>
      <c r="BW147" s="541"/>
      <c r="BX147" s="541"/>
      <c r="BY147" s="541"/>
      <c r="BZ147" s="541"/>
      <c r="CA147" s="541"/>
      <c r="CB147" s="541"/>
      <c r="CC147" s="541"/>
      <c r="CD147" s="541"/>
      <c r="CE147" s="541"/>
      <c r="CF147" s="541"/>
      <c r="CG147" s="541"/>
      <c r="CH147" s="541"/>
      <c r="CI147" s="541"/>
      <c r="CJ147" s="541"/>
      <c r="CK147" s="541"/>
      <c r="CL147" s="541"/>
      <c r="CM147" s="541"/>
      <c r="CN147" s="541"/>
      <c r="CO147" s="541"/>
      <c r="CP147" s="541"/>
      <c r="CQ147" s="541"/>
      <c r="CR147" s="541"/>
      <c r="CS147" s="541"/>
      <c r="CT147" s="541"/>
      <c r="CU147" s="541"/>
      <c r="CV147" s="541"/>
      <c r="CW147" s="541"/>
      <c r="CX147" s="541"/>
      <c r="CY147" s="541"/>
      <c r="CZ147" s="541"/>
      <c r="DA147" s="541"/>
      <c r="DB147" s="541"/>
      <c r="DC147" s="541"/>
      <c r="DD147" s="541"/>
      <c r="DE147" s="541"/>
      <c r="DF147" s="541"/>
      <c r="DG147" s="541"/>
      <c r="DH147" s="541"/>
      <c r="DI147" s="541"/>
      <c r="DJ147" s="541"/>
      <c r="DK147" s="541"/>
      <c r="DL147" s="541"/>
      <c r="DM147" s="541"/>
      <c r="DN147" s="541"/>
      <c r="DO147" s="541"/>
      <c r="DP147" s="541"/>
      <c r="DQ147" s="541"/>
      <c r="DR147" s="541"/>
      <c r="DS147" s="541"/>
      <c r="DT147" s="541"/>
      <c r="DU147" s="541"/>
      <c r="DV147" s="541"/>
      <c r="DW147" s="541"/>
      <c r="DX147" s="541"/>
      <c r="DY147" s="541"/>
      <c r="DZ147" s="541"/>
      <c r="EA147" s="541"/>
      <c r="EB147" s="541"/>
      <c r="EC147" s="541"/>
      <c r="ED147" s="541"/>
      <c r="EE147" s="541"/>
      <c r="EF147" s="541"/>
      <c r="EG147" s="541"/>
      <c r="EH147" s="541"/>
      <c r="EI147" s="541"/>
      <c r="EJ147" s="541"/>
      <c r="EK147" s="541"/>
      <c r="EL147" s="541"/>
      <c r="EM147" s="541"/>
      <c r="EN147" s="541"/>
      <c r="EO147" s="541"/>
      <c r="EP147" s="541"/>
      <c r="EQ147" s="541"/>
      <c r="ER147" s="541"/>
      <c r="ES147" s="541"/>
      <c r="ET147" s="541"/>
      <c r="EU147" s="541"/>
      <c r="EV147" s="541"/>
      <c r="EW147" s="541"/>
      <c r="EX147" s="541"/>
      <c r="EY147" s="541"/>
      <c r="EZ147" s="541"/>
      <c r="FA147" s="541"/>
      <c r="FB147" s="541"/>
      <c r="FC147" s="541"/>
      <c r="FD147" s="541"/>
      <c r="FE147" s="541"/>
      <c r="FF147" s="541"/>
      <c r="FG147" s="541"/>
      <c r="FH147" s="541"/>
      <c r="FI147" s="541"/>
      <c r="FJ147" s="541"/>
      <c r="FK147" s="541"/>
      <c r="FL147" s="541"/>
      <c r="FM147" s="541"/>
      <c r="FN147" s="541"/>
      <c r="FO147" s="541"/>
      <c r="FP147" s="541"/>
      <c r="FQ147" s="541"/>
      <c r="FR147" s="541"/>
      <c r="FS147" s="541"/>
      <c r="FT147" s="541"/>
      <c r="FU147" s="541"/>
      <c r="FV147" s="541"/>
      <c r="FW147" s="541"/>
      <c r="FX147" s="541"/>
      <c r="FY147" s="541"/>
      <c r="FZ147" s="541"/>
      <c r="GA147" s="541"/>
      <c r="GB147" s="541"/>
      <c r="GC147" s="541"/>
      <c r="GD147" s="541"/>
      <c r="GE147" s="541"/>
      <c r="GF147" s="541"/>
      <c r="GG147" s="541"/>
      <c r="GH147" s="541"/>
      <c r="GI147" s="541"/>
      <c r="GJ147" s="541"/>
      <c r="GK147" s="541"/>
      <c r="GL147" s="541"/>
      <c r="GM147" s="541"/>
      <c r="GN147" s="541"/>
      <c r="GO147" s="541"/>
      <c r="GP147" s="541"/>
      <c r="GQ147" s="541"/>
      <c r="GR147" s="541"/>
      <c r="GS147" s="541"/>
      <c r="GT147" s="541"/>
      <c r="GU147" s="541"/>
      <c r="GV147" s="541"/>
      <c r="GW147" s="541"/>
      <c r="GX147" s="541"/>
      <c r="GY147" s="541"/>
      <c r="GZ147" s="541"/>
      <c r="HA147" s="541"/>
      <c r="HB147" s="541"/>
      <c r="HC147" s="541"/>
      <c r="HD147" s="541"/>
      <c r="HE147" s="541"/>
      <c r="HF147" s="541"/>
      <c r="HG147" s="541"/>
      <c r="HH147" s="541"/>
      <c r="HI147" s="541"/>
      <c r="HJ147" s="541"/>
      <c r="HK147" s="541"/>
      <c r="HL147" s="541"/>
      <c r="HM147" s="541"/>
      <c r="HN147" s="541"/>
      <c r="HO147" s="541"/>
    </row>
    <row r="148" spans="24:223" s="542" customFormat="1" ht="12.75">
      <c r="X148" s="541"/>
      <c r="Y148" s="541"/>
      <c r="Z148" s="541"/>
      <c r="AA148" s="541"/>
      <c r="AB148" s="541"/>
      <c r="AC148" s="541"/>
      <c r="AD148" s="541"/>
      <c r="AE148" s="541"/>
      <c r="AF148" s="541"/>
      <c r="AG148" s="541"/>
      <c r="AH148" s="541"/>
      <c r="AI148" s="541"/>
      <c r="AJ148" s="541"/>
      <c r="AK148" s="541"/>
      <c r="AL148" s="541"/>
      <c r="AM148" s="541"/>
      <c r="AN148" s="541"/>
      <c r="AO148" s="541"/>
      <c r="AP148" s="541"/>
      <c r="AQ148" s="541"/>
      <c r="AR148" s="541"/>
      <c r="AS148" s="541"/>
      <c r="AT148" s="541"/>
      <c r="AU148" s="541"/>
      <c r="AV148" s="541"/>
      <c r="AW148" s="541"/>
      <c r="AX148" s="541"/>
      <c r="AY148" s="541"/>
      <c r="AZ148" s="541"/>
      <c r="BA148" s="541"/>
      <c r="BB148" s="541"/>
      <c r="BC148" s="541"/>
      <c r="BD148" s="541"/>
      <c r="BE148" s="541"/>
      <c r="BF148" s="541"/>
      <c r="BG148" s="541"/>
      <c r="BH148" s="541"/>
      <c r="BI148" s="541"/>
      <c r="BJ148" s="541"/>
      <c r="BK148" s="541"/>
      <c r="BL148" s="541"/>
      <c r="BM148" s="541"/>
      <c r="BN148" s="541"/>
      <c r="BO148" s="541"/>
      <c r="BP148" s="541"/>
      <c r="BQ148" s="541"/>
      <c r="BR148" s="541"/>
      <c r="BS148" s="541"/>
      <c r="BT148" s="541"/>
      <c r="BU148" s="541"/>
      <c r="BV148" s="541"/>
      <c r="BW148" s="541"/>
      <c r="BX148" s="541"/>
      <c r="BY148" s="541"/>
      <c r="BZ148" s="541"/>
      <c r="CA148" s="541"/>
      <c r="CB148" s="541"/>
      <c r="CC148" s="541"/>
      <c r="CD148" s="541"/>
      <c r="CE148" s="541"/>
      <c r="CF148" s="541"/>
      <c r="CG148" s="541"/>
      <c r="CH148" s="541"/>
      <c r="CI148" s="541"/>
      <c r="CJ148" s="541"/>
      <c r="CK148" s="541"/>
      <c r="CL148" s="541"/>
      <c r="CM148" s="541"/>
      <c r="CN148" s="541"/>
      <c r="CO148" s="541"/>
      <c r="CP148" s="541"/>
      <c r="CQ148" s="541"/>
      <c r="CR148" s="541"/>
      <c r="CS148" s="541"/>
      <c r="CT148" s="541"/>
      <c r="CU148" s="541"/>
      <c r="CV148" s="541"/>
      <c r="CW148" s="541"/>
      <c r="CX148" s="541"/>
      <c r="CY148" s="541"/>
      <c r="CZ148" s="541"/>
      <c r="DA148" s="541"/>
      <c r="DB148" s="541"/>
      <c r="DC148" s="541"/>
      <c r="DD148" s="541"/>
      <c r="DE148" s="541"/>
      <c r="DF148" s="541"/>
      <c r="DG148" s="541"/>
      <c r="DH148" s="541"/>
      <c r="DI148" s="541"/>
      <c r="DJ148" s="541"/>
      <c r="DK148" s="541"/>
      <c r="DL148" s="541"/>
      <c r="DM148" s="541"/>
      <c r="DN148" s="541"/>
      <c r="DO148" s="541"/>
      <c r="DP148" s="541"/>
      <c r="DQ148" s="541"/>
      <c r="DR148" s="541"/>
      <c r="DS148" s="541"/>
      <c r="DT148" s="541"/>
      <c r="DU148" s="541"/>
      <c r="DV148" s="541"/>
      <c r="DW148" s="541"/>
      <c r="DX148" s="541"/>
      <c r="DY148" s="541"/>
      <c r="DZ148" s="541"/>
      <c r="EA148" s="541"/>
      <c r="EB148" s="541"/>
      <c r="EC148" s="541"/>
      <c r="ED148" s="541"/>
      <c r="EE148" s="541"/>
      <c r="EF148" s="541"/>
      <c r="EG148" s="541"/>
      <c r="EH148" s="541"/>
      <c r="EI148" s="541"/>
      <c r="EJ148" s="541"/>
      <c r="EK148" s="541"/>
      <c r="EL148" s="541"/>
      <c r="EM148" s="541"/>
      <c r="EN148" s="541"/>
      <c r="EO148" s="541"/>
      <c r="EP148" s="541"/>
      <c r="EQ148" s="541"/>
      <c r="ER148" s="541"/>
      <c r="ES148" s="541"/>
      <c r="ET148" s="541"/>
      <c r="EU148" s="541"/>
      <c r="EV148" s="541"/>
      <c r="EW148" s="541"/>
      <c r="EX148" s="541"/>
      <c r="EY148" s="541"/>
      <c r="EZ148" s="541"/>
      <c r="FA148" s="541"/>
      <c r="FB148" s="541"/>
      <c r="FC148" s="541"/>
      <c r="FD148" s="541"/>
      <c r="FE148" s="541"/>
      <c r="FF148" s="541"/>
      <c r="FG148" s="541"/>
      <c r="FH148" s="541"/>
      <c r="FI148" s="541"/>
      <c r="FJ148" s="541"/>
      <c r="FK148" s="541"/>
      <c r="FL148" s="541"/>
      <c r="FM148" s="541"/>
      <c r="FN148" s="541"/>
      <c r="FO148" s="541"/>
      <c r="FP148" s="541"/>
      <c r="FQ148" s="541"/>
      <c r="FR148" s="541"/>
      <c r="FS148" s="541"/>
      <c r="FT148" s="541"/>
      <c r="FU148" s="541"/>
      <c r="FV148" s="541"/>
      <c r="FW148" s="541"/>
      <c r="FX148" s="541"/>
      <c r="FY148" s="541"/>
      <c r="FZ148" s="541"/>
      <c r="GA148" s="541"/>
      <c r="GB148" s="541"/>
      <c r="GC148" s="541"/>
      <c r="GD148" s="541"/>
      <c r="GE148" s="541"/>
      <c r="GF148" s="541"/>
      <c r="GG148" s="541"/>
      <c r="GH148" s="541"/>
      <c r="GI148" s="541"/>
      <c r="GJ148" s="541"/>
      <c r="GK148" s="541"/>
      <c r="GL148" s="541"/>
      <c r="GM148" s="541"/>
      <c r="GN148" s="541"/>
      <c r="GO148" s="541"/>
      <c r="GP148" s="541"/>
      <c r="GQ148" s="541"/>
      <c r="GR148" s="541"/>
      <c r="GS148" s="541"/>
      <c r="GT148" s="541"/>
      <c r="GU148" s="541"/>
      <c r="GV148" s="541"/>
      <c r="GW148" s="541"/>
      <c r="GX148" s="541"/>
      <c r="GY148" s="541"/>
      <c r="GZ148" s="541"/>
      <c r="HA148" s="541"/>
      <c r="HB148" s="541"/>
      <c r="HC148" s="541"/>
      <c r="HD148" s="541"/>
      <c r="HE148" s="541"/>
      <c r="HF148" s="541"/>
      <c r="HG148" s="541"/>
      <c r="HH148" s="541"/>
      <c r="HI148" s="541"/>
      <c r="HJ148" s="541"/>
      <c r="HK148" s="541"/>
      <c r="HL148" s="541"/>
      <c r="HM148" s="541"/>
      <c r="HN148" s="541"/>
      <c r="HO148" s="541"/>
    </row>
    <row r="149" spans="24:223" s="542" customFormat="1" ht="12.75">
      <c r="X149" s="541"/>
      <c r="Y149" s="541"/>
      <c r="Z149" s="541"/>
      <c r="AA149" s="541"/>
      <c r="AB149" s="541"/>
      <c r="AC149" s="541"/>
      <c r="AD149" s="541"/>
      <c r="AE149" s="541"/>
      <c r="AF149" s="541"/>
      <c r="AG149" s="541"/>
      <c r="AH149" s="541"/>
      <c r="AI149" s="541"/>
      <c r="AJ149" s="541"/>
      <c r="AK149" s="541"/>
      <c r="AL149" s="541"/>
      <c r="AM149" s="541"/>
      <c r="AN149" s="541"/>
      <c r="AO149" s="541"/>
      <c r="AP149" s="541"/>
      <c r="AQ149" s="541"/>
      <c r="AR149" s="541"/>
      <c r="AS149" s="541"/>
      <c r="AT149" s="541"/>
      <c r="AU149" s="541"/>
      <c r="AV149" s="541"/>
      <c r="AW149" s="541"/>
      <c r="AX149" s="541"/>
      <c r="AY149" s="541"/>
      <c r="AZ149" s="541"/>
      <c r="BA149" s="541"/>
      <c r="BB149" s="541"/>
      <c r="BC149" s="541"/>
      <c r="BD149" s="541"/>
      <c r="BE149" s="541"/>
      <c r="BF149" s="541"/>
      <c r="BG149" s="541"/>
      <c r="BH149" s="541"/>
      <c r="BI149" s="541"/>
      <c r="BJ149" s="541"/>
      <c r="BK149" s="541"/>
      <c r="BL149" s="541"/>
      <c r="BM149" s="541"/>
      <c r="BN149" s="541"/>
      <c r="BO149" s="541"/>
      <c r="BP149" s="541"/>
      <c r="BQ149" s="541"/>
      <c r="BR149" s="541"/>
      <c r="BS149" s="541"/>
      <c r="BT149" s="541"/>
      <c r="BU149" s="541"/>
      <c r="BV149" s="541"/>
      <c r="BW149" s="541"/>
      <c r="BX149" s="541"/>
      <c r="BY149" s="541"/>
      <c r="BZ149" s="541"/>
      <c r="CA149" s="541"/>
      <c r="CB149" s="541"/>
      <c r="CC149" s="541"/>
      <c r="CD149" s="541"/>
      <c r="CE149" s="541"/>
      <c r="CF149" s="541"/>
      <c r="CG149" s="541"/>
      <c r="CH149" s="541"/>
      <c r="CI149" s="541"/>
      <c r="CJ149" s="541"/>
      <c r="CK149" s="541"/>
      <c r="CL149" s="541"/>
      <c r="CM149" s="541"/>
      <c r="CN149" s="541"/>
      <c r="CO149" s="541"/>
      <c r="CP149" s="541"/>
      <c r="CQ149" s="541"/>
      <c r="CR149" s="541"/>
      <c r="CS149" s="541"/>
      <c r="CT149" s="541"/>
      <c r="CU149" s="541"/>
      <c r="CV149" s="541"/>
      <c r="CW149" s="541"/>
      <c r="CX149" s="541"/>
      <c r="CY149" s="541"/>
      <c r="CZ149" s="541"/>
      <c r="DA149" s="541"/>
      <c r="DB149" s="541"/>
      <c r="DC149" s="541"/>
      <c r="DD149" s="541"/>
      <c r="DE149" s="541"/>
      <c r="DF149" s="541"/>
      <c r="DG149" s="541"/>
      <c r="DH149" s="541"/>
      <c r="DI149" s="541"/>
      <c r="DJ149" s="541"/>
      <c r="DK149" s="541"/>
      <c r="DL149" s="541"/>
      <c r="DM149" s="541"/>
      <c r="DN149" s="541"/>
      <c r="DO149" s="541"/>
      <c r="DP149" s="541"/>
      <c r="DQ149" s="541"/>
      <c r="DR149" s="541"/>
      <c r="DS149" s="541"/>
      <c r="DT149" s="541"/>
      <c r="DU149" s="541"/>
      <c r="DV149" s="541"/>
      <c r="DW149" s="541"/>
      <c r="DX149" s="541"/>
      <c r="DY149" s="541"/>
      <c r="DZ149" s="541"/>
      <c r="EA149" s="541"/>
      <c r="EB149" s="541"/>
      <c r="EC149" s="541"/>
      <c r="ED149" s="541"/>
      <c r="EE149" s="541"/>
      <c r="EF149" s="541"/>
      <c r="EG149" s="541"/>
      <c r="EH149" s="541"/>
      <c r="EI149" s="541"/>
      <c r="EJ149" s="541"/>
      <c r="EK149" s="541"/>
      <c r="EL149" s="541"/>
      <c r="EM149" s="541"/>
      <c r="EN149" s="541"/>
      <c r="EO149" s="541"/>
      <c r="EP149" s="541"/>
      <c r="EQ149" s="541"/>
      <c r="ER149" s="541"/>
      <c r="ES149" s="541"/>
      <c r="ET149" s="541"/>
      <c r="EU149" s="541"/>
      <c r="EV149" s="541"/>
      <c r="EW149" s="541"/>
      <c r="EX149" s="541"/>
      <c r="EY149" s="541"/>
      <c r="EZ149" s="541"/>
      <c r="FA149" s="541"/>
      <c r="FB149" s="541"/>
      <c r="FC149" s="541"/>
      <c r="FD149" s="541"/>
      <c r="FE149" s="541"/>
      <c r="FF149" s="541"/>
      <c r="FG149" s="541"/>
      <c r="FH149" s="541"/>
      <c r="FI149" s="541"/>
      <c r="FJ149" s="541"/>
      <c r="FK149" s="541"/>
      <c r="FL149" s="541"/>
      <c r="FM149" s="541"/>
      <c r="FN149" s="541"/>
      <c r="FO149" s="541"/>
      <c r="FP149" s="541"/>
      <c r="FQ149" s="541"/>
      <c r="FR149" s="541"/>
      <c r="FS149" s="541"/>
      <c r="FT149" s="541"/>
      <c r="FU149" s="541"/>
      <c r="FV149" s="541"/>
      <c r="FW149" s="541"/>
      <c r="FX149" s="541"/>
      <c r="FY149" s="541"/>
      <c r="FZ149" s="541"/>
      <c r="GA149" s="541"/>
      <c r="GB149" s="541"/>
      <c r="GC149" s="541"/>
      <c r="GD149" s="541"/>
      <c r="GE149" s="541"/>
      <c r="GF149" s="541"/>
      <c r="GG149" s="541"/>
      <c r="GH149" s="541"/>
      <c r="GI149" s="541"/>
      <c r="GJ149" s="541"/>
      <c r="GK149" s="541"/>
      <c r="GL149" s="541"/>
      <c r="GM149" s="541"/>
      <c r="GN149" s="541"/>
      <c r="GO149" s="541"/>
      <c r="GP149" s="541"/>
      <c r="GQ149" s="541"/>
      <c r="GR149" s="541"/>
      <c r="GS149" s="541"/>
      <c r="GT149" s="541"/>
      <c r="GU149" s="541"/>
      <c r="GV149" s="541"/>
      <c r="GW149" s="541"/>
      <c r="GX149" s="541"/>
      <c r="GY149" s="541"/>
      <c r="GZ149" s="541"/>
      <c r="HA149" s="541"/>
      <c r="HB149" s="541"/>
      <c r="HC149" s="541"/>
      <c r="HD149" s="541"/>
      <c r="HE149" s="541"/>
      <c r="HF149" s="541"/>
      <c r="HG149" s="541"/>
      <c r="HH149" s="541"/>
      <c r="HI149" s="541"/>
      <c r="HJ149" s="541"/>
      <c r="HK149" s="541"/>
      <c r="HL149" s="541"/>
      <c r="HM149" s="541"/>
      <c r="HN149" s="541"/>
      <c r="HO149" s="541"/>
    </row>
    <row r="150" spans="24:223" s="542" customFormat="1" ht="12.75"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41"/>
      <c r="BD150" s="541"/>
      <c r="BE150" s="541"/>
      <c r="BF150" s="541"/>
      <c r="BG150" s="541"/>
      <c r="BH150" s="541"/>
      <c r="BI150" s="541"/>
      <c r="BJ150" s="541"/>
      <c r="BK150" s="541"/>
      <c r="BL150" s="541"/>
      <c r="BM150" s="541"/>
      <c r="BN150" s="541"/>
      <c r="BO150" s="541"/>
      <c r="BP150" s="541"/>
      <c r="BQ150" s="541"/>
      <c r="BR150" s="541"/>
      <c r="BS150" s="541"/>
      <c r="BT150" s="541"/>
      <c r="BU150" s="541"/>
      <c r="BV150" s="541"/>
      <c r="BW150" s="541"/>
      <c r="BX150" s="541"/>
      <c r="BY150" s="541"/>
      <c r="BZ150" s="541"/>
      <c r="CA150" s="541"/>
      <c r="CB150" s="541"/>
      <c r="CC150" s="541"/>
      <c r="CD150" s="541"/>
      <c r="CE150" s="541"/>
      <c r="CF150" s="541"/>
      <c r="CG150" s="541"/>
      <c r="CH150" s="541"/>
      <c r="CI150" s="541"/>
      <c r="CJ150" s="541"/>
      <c r="CK150" s="541"/>
      <c r="CL150" s="541"/>
      <c r="CM150" s="541"/>
      <c r="CN150" s="541"/>
      <c r="CO150" s="541"/>
      <c r="CP150" s="541"/>
      <c r="CQ150" s="541"/>
      <c r="CR150" s="541"/>
      <c r="CS150" s="541"/>
      <c r="CT150" s="541"/>
      <c r="CU150" s="541"/>
      <c r="CV150" s="541"/>
      <c r="CW150" s="541"/>
      <c r="CX150" s="541"/>
      <c r="CY150" s="541"/>
      <c r="CZ150" s="541"/>
      <c r="DA150" s="541"/>
      <c r="DB150" s="541"/>
      <c r="DC150" s="541"/>
      <c r="DD150" s="541"/>
      <c r="DE150" s="541"/>
      <c r="DF150" s="541"/>
      <c r="DG150" s="541"/>
      <c r="DH150" s="541"/>
      <c r="DI150" s="541"/>
      <c r="DJ150" s="541"/>
      <c r="DK150" s="541"/>
      <c r="DL150" s="541"/>
      <c r="DM150" s="541"/>
      <c r="DN150" s="541"/>
      <c r="DO150" s="541"/>
      <c r="DP150" s="541"/>
      <c r="DQ150" s="541"/>
      <c r="DR150" s="541"/>
      <c r="DS150" s="541"/>
      <c r="DT150" s="541"/>
      <c r="DU150" s="541"/>
      <c r="DV150" s="541"/>
      <c r="DW150" s="541"/>
      <c r="DX150" s="541"/>
      <c r="DY150" s="541"/>
      <c r="DZ150" s="541"/>
      <c r="EA150" s="541"/>
      <c r="EB150" s="541"/>
      <c r="EC150" s="541"/>
      <c r="ED150" s="541"/>
      <c r="EE150" s="541"/>
      <c r="EF150" s="541"/>
      <c r="EG150" s="541"/>
      <c r="EH150" s="541"/>
      <c r="EI150" s="541"/>
      <c r="EJ150" s="541"/>
      <c r="EK150" s="541"/>
      <c r="EL150" s="541"/>
      <c r="EM150" s="541"/>
      <c r="EN150" s="541"/>
      <c r="EO150" s="541"/>
      <c r="EP150" s="541"/>
      <c r="EQ150" s="541"/>
      <c r="ER150" s="541"/>
      <c r="ES150" s="541"/>
      <c r="ET150" s="541"/>
      <c r="EU150" s="541"/>
      <c r="EV150" s="541"/>
      <c r="EW150" s="541"/>
      <c r="EX150" s="541"/>
      <c r="EY150" s="541"/>
      <c r="EZ150" s="541"/>
      <c r="FA150" s="541"/>
      <c r="FB150" s="541"/>
      <c r="FC150" s="541"/>
      <c r="FD150" s="541"/>
      <c r="FE150" s="541"/>
      <c r="FF150" s="541"/>
      <c r="FG150" s="541"/>
      <c r="FH150" s="541"/>
      <c r="FI150" s="541"/>
      <c r="FJ150" s="541"/>
      <c r="FK150" s="541"/>
      <c r="FL150" s="541"/>
      <c r="FM150" s="541"/>
      <c r="FN150" s="541"/>
      <c r="FO150" s="541"/>
      <c r="FP150" s="541"/>
      <c r="FQ150" s="541"/>
      <c r="FR150" s="541"/>
      <c r="FS150" s="541"/>
      <c r="FT150" s="541"/>
      <c r="FU150" s="541"/>
      <c r="FV150" s="541"/>
      <c r="FW150" s="541"/>
      <c r="FX150" s="541"/>
      <c r="FY150" s="541"/>
      <c r="FZ150" s="541"/>
      <c r="GA150" s="541"/>
      <c r="GB150" s="541"/>
      <c r="GC150" s="541"/>
      <c r="GD150" s="541"/>
      <c r="GE150" s="541"/>
      <c r="GF150" s="541"/>
      <c r="GG150" s="541"/>
      <c r="GH150" s="541"/>
      <c r="GI150" s="541"/>
      <c r="GJ150" s="541"/>
      <c r="GK150" s="541"/>
      <c r="GL150" s="541"/>
      <c r="GM150" s="541"/>
      <c r="GN150" s="541"/>
      <c r="GO150" s="541"/>
      <c r="GP150" s="541"/>
      <c r="GQ150" s="541"/>
      <c r="GR150" s="541"/>
      <c r="GS150" s="541"/>
      <c r="GT150" s="541"/>
      <c r="GU150" s="541"/>
      <c r="GV150" s="541"/>
      <c r="GW150" s="541"/>
      <c r="GX150" s="541"/>
      <c r="GY150" s="541"/>
      <c r="GZ150" s="541"/>
      <c r="HA150" s="541"/>
      <c r="HB150" s="541"/>
      <c r="HC150" s="541"/>
      <c r="HD150" s="541"/>
      <c r="HE150" s="541"/>
      <c r="HF150" s="541"/>
      <c r="HG150" s="541"/>
      <c r="HH150" s="541"/>
      <c r="HI150" s="541"/>
      <c r="HJ150" s="541"/>
      <c r="HK150" s="541"/>
      <c r="HL150" s="541"/>
      <c r="HM150" s="541"/>
      <c r="HN150" s="541"/>
      <c r="HO150" s="541"/>
    </row>
  </sheetData>
  <sheetProtection/>
  <mergeCells count="173">
    <mergeCell ref="P14:P15"/>
    <mergeCell ref="K29:K32"/>
    <mergeCell ref="R33:U33"/>
    <mergeCell ref="R16:U16"/>
    <mergeCell ref="L22:O22"/>
    <mergeCell ref="L23:O23"/>
    <mergeCell ref="R18:U18"/>
    <mergeCell ref="Q29:Q32"/>
    <mergeCell ref="L29:O29"/>
    <mergeCell ref="R19:U19"/>
    <mergeCell ref="W24:W26"/>
    <mergeCell ref="R24:U24"/>
    <mergeCell ref="G26:I26"/>
    <mergeCell ref="L32:O32"/>
    <mergeCell ref="W29:W32"/>
    <mergeCell ref="R32:U32"/>
    <mergeCell ref="R29:U29"/>
    <mergeCell ref="Q24:Q26"/>
    <mergeCell ref="L26:O26"/>
    <mergeCell ref="R28:U28"/>
    <mergeCell ref="G12:I12"/>
    <mergeCell ref="G14:I14"/>
    <mergeCell ref="G13:I13"/>
    <mergeCell ref="G15:I15"/>
    <mergeCell ref="G16:I16"/>
    <mergeCell ref="L28:O28"/>
    <mergeCell ref="K24:K26"/>
    <mergeCell ref="L14:O15"/>
    <mergeCell ref="L17:O18"/>
    <mergeCell ref="L8:O8"/>
    <mergeCell ref="L21:O21"/>
    <mergeCell ref="L16:O16"/>
    <mergeCell ref="Q7:Q23"/>
    <mergeCell ref="R12:U12"/>
    <mergeCell ref="R15:U15"/>
    <mergeCell ref="L13:O13"/>
    <mergeCell ref="L9:O9"/>
    <mergeCell ref="L11:O11"/>
    <mergeCell ref="L12:O12"/>
    <mergeCell ref="G9:I9"/>
    <mergeCell ref="G7:I7"/>
    <mergeCell ref="G11:I11"/>
    <mergeCell ref="R7:U7"/>
    <mergeCell ref="L10:O10"/>
    <mergeCell ref="L7:O7"/>
    <mergeCell ref="R10:U10"/>
    <mergeCell ref="R11:U11"/>
    <mergeCell ref="G8:I8"/>
    <mergeCell ref="R8:U8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AA35:AC35"/>
    <mergeCell ref="R35:W36"/>
    <mergeCell ref="X35:Z35"/>
    <mergeCell ref="W7:W23"/>
    <mergeCell ref="R17:U17"/>
    <mergeCell ref="R9:U9"/>
    <mergeCell ref="S34:V34"/>
    <mergeCell ref="R13:U13"/>
    <mergeCell ref="R20:U20"/>
    <mergeCell ref="R14:U14"/>
    <mergeCell ref="A34:C34"/>
    <mergeCell ref="H34:J34"/>
    <mergeCell ref="L33:O33"/>
    <mergeCell ref="G17:I17"/>
    <mergeCell ref="G24:I24"/>
    <mergeCell ref="A32:C32"/>
    <mergeCell ref="L27:O27"/>
    <mergeCell ref="K7:K23"/>
    <mergeCell ref="L24:O24"/>
    <mergeCell ref="G10:I10"/>
    <mergeCell ref="B28:C28"/>
    <mergeCell ref="L20:O20"/>
    <mergeCell ref="W37:W43"/>
    <mergeCell ref="R40:U40"/>
    <mergeCell ref="R43:U43"/>
    <mergeCell ref="M34:P34"/>
    <mergeCell ref="R37:U37"/>
    <mergeCell ref="B39:C39"/>
    <mergeCell ref="G42:I42"/>
    <mergeCell ref="A33:C33"/>
    <mergeCell ref="A35:C36"/>
    <mergeCell ref="D35:F35"/>
    <mergeCell ref="G35:K36"/>
    <mergeCell ref="L37:O38"/>
    <mergeCell ref="L35:Q36"/>
    <mergeCell ref="K37:K43"/>
    <mergeCell ref="Q37:Q43"/>
    <mergeCell ref="L39:O40"/>
    <mergeCell ref="L42:O43"/>
    <mergeCell ref="A47:C48"/>
    <mergeCell ref="D47:F47"/>
    <mergeCell ref="G47:K48"/>
    <mergeCell ref="P37:P38"/>
    <mergeCell ref="P39:P40"/>
    <mergeCell ref="G37:I37"/>
    <mergeCell ref="A45:C45"/>
    <mergeCell ref="H45:J45"/>
    <mergeCell ref="M45:P45"/>
    <mergeCell ref="B44:C44"/>
    <mergeCell ref="AA47:AC47"/>
    <mergeCell ref="G53:I53"/>
    <mergeCell ref="L53:O53"/>
    <mergeCell ref="R53:U53"/>
    <mergeCell ref="G52:I52"/>
    <mergeCell ref="X47:Z47"/>
    <mergeCell ref="L47:Q48"/>
    <mergeCell ref="R52:U52"/>
    <mergeCell ref="G49:I49"/>
    <mergeCell ref="G50:I50"/>
    <mergeCell ref="A61:C61"/>
    <mergeCell ref="H61:J61"/>
    <mergeCell ref="M61:P61"/>
    <mergeCell ref="S61:V61"/>
    <mergeCell ref="A54:C54"/>
    <mergeCell ref="Q57:Q60"/>
    <mergeCell ref="R55:U55"/>
    <mergeCell ref="G55:I55"/>
    <mergeCell ref="A58:C58"/>
    <mergeCell ref="R54:U54"/>
    <mergeCell ref="AA64:AC64"/>
    <mergeCell ref="S65:V65"/>
    <mergeCell ref="G56:I56"/>
    <mergeCell ref="G57:I57"/>
    <mergeCell ref="K57:K60"/>
    <mergeCell ref="L57:O57"/>
    <mergeCell ref="R58:U58"/>
    <mergeCell ref="L58:O58"/>
    <mergeCell ref="R56:U56"/>
    <mergeCell ref="W49:W56"/>
    <mergeCell ref="A62:C62"/>
    <mergeCell ref="H62:J62"/>
    <mergeCell ref="M62:P62"/>
    <mergeCell ref="S62:V62"/>
    <mergeCell ref="D64:F64"/>
    <mergeCell ref="W64:Y64"/>
    <mergeCell ref="G54:I54"/>
    <mergeCell ref="G39:I39"/>
    <mergeCell ref="G40:I40"/>
    <mergeCell ref="R22:U22"/>
    <mergeCell ref="K49:K56"/>
    <mergeCell ref="G51:I51"/>
    <mergeCell ref="R50:U51"/>
    <mergeCell ref="R27:U27"/>
    <mergeCell ref="L30:O30"/>
    <mergeCell ref="L31:O31"/>
    <mergeCell ref="Q49:Q56"/>
    <mergeCell ref="W27:W28"/>
    <mergeCell ref="V66:W66"/>
    <mergeCell ref="S45:V45"/>
    <mergeCell ref="R47:W48"/>
    <mergeCell ref="R26:U26"/>
    <mergeCell ref="Q27:Q28"/>
    <mergeCell ref="R49:U49"/>
    <mergeCell ref="R38:U38"/>
    <mergeCell ref="R39:U39"/>
    <mergeCell ref="P17:P18"/>
    <mergeCell ref="L25:O25"/>
    <mergeCell ref="R41:U41"/>
    <mergeCell ref="R42:U42"/>
    <mergeCell ref="G44:I44"/>
    <mergeCell ref="R21:U21"/>
    <mergeCell ref="R23:U23"/>
    <mergeCell ref="P42:P43"/>
    <mergeCell ref="G28:I28"/>
    <mergeCell ref="G21:I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29.00390625" style="168" customWidth="1"/>
    <col min="2" max="9" width="9.125" style="168" customWidth="1"/>
    <col min="10" max="10" width="9.75390625" style="168" customWidth="1"/>
    <col min="11" max="13" width="9.125" style="168" customWidth="1"/>
    <col min="14" max="14" width="9.125" style="542" customWidth="1"/>
    <col min="15" max="16384" width="9.125" style="168" customWidth="1"/>
  </cols>
  <sheetData>
    <row r="1" spans="8:13" ht="15">
      <c r="H1" s="635"/>
      <c r="I1" s="635"/>
      <c r="J1" s="635"/>
      <c r="K1" s="635"/>
      <c r="L1" s="635"/>
      <c r="M1" s="636" t="s">
        <v>1186</v>
      </c>
    </row>
    <row r="2" spans="8:13" ht="12.75">
      <c r="H2" s="635"/>
      <c r="I2" s="635"/>
      <c r="J2" s="635"/>
      <c r="K2" s="635"/>
      <c r="L2" s="635"/>
      <c r="M2" s="727"/>
    </row>
    <row r="3" spans="1:14" s="730" customFormat="1" ht="14.25" customHeight="1">
      <c r="A3" s="1063" t="s">
        <v>1045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729"/>
    </row>
    <row r="4" spans="1:14" s="730" customFormat="1" ht="14.25" customHeight="1">
      <c r="A4" s="1064" t="s">
        <v>634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729"/>
    </row>
    <row r="5" spans="1:14" s="730" customFormat="1" ht="18" customHeight="1">
      <c r="A5" s="1064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729"/>
    </row>
    <row r="6" spans="1:14" s="728" customFormat="1" ht="12.75">
      <c r="A6" s="731" t="s">
        <v>537</v>
      </c>
      <c r="B6" s="732" t="s">
        <v>1093</v>
      </c>
      <c r="C6" s="732" t="s">
        <v>1094</v>
      </c>
      <c r="D6" s="732" t="s">
        <v>1095</v>
      </c>
      <c r="E6" s="732" t="s">
        <v>1096</v>
      </c>
      <c r="F6" s="732" t="s">
        <v>1097</v>
      </c>
      <c r="G6" s="732" t="s">
        <v>1098</v>
      </c>
      <c r="H6" s="732" t="s">
        <v>1099</v>
      </c>
      <c r="I6" s="732" t="s">
        <v>1100</v>
      </c>
      <c r="J6" s="732" t="s">
        <v>1101</v>
      </c>
      <c r="K6" s="732" t="s">
        <v>1102</v>
      </c>
      <c r="L6" s="732" t="s">
        <v>1103</v>
      </c>
      <c r="M6" s="732" t="s">
        <v>1104</v>
      </c>
      <c r="N6" s="733"/>
    </row>
    <row r="7" spans="1:14" s="737" customFormat="1" ht="22.5" customHeight="1">
      <c r="A7" s="734" t="s">
        <v>855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6"/>
    </row>
    <row r="8" spans="1:13" ht="27" customHeight="1">
      <c r="A8" s="738" t="s">
        <v>1046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</row>
    <row r="9" spans="1:14" s="406" customFormat="1" ht="12.75">
      <c r="A9" s="740" t="s">
        <v>1047</v>
      </c>
      <c r="B9" s="741">
        <v>1</v>
      </c>
      <c r="C9" s="741">
        <v>1</v>
      </c>
      <c r="D9" s="741">
        <v>1</v>
      </c>
      <c r="E9" s="741">
        <v>1</v>
      </c>
      <c r="F9" s="741">
        <v>1</v>
      </c>
      <c r="G9" s="741">
        <v>1</v>
      </c>
      <c r="H9" s="741">
        <v>1</v>
      </c>
      <c r="I9" s="741">
        <v>1</v>
      </c>
      <c r="J9" s="741">
        <v>1</v>
      </c>
      <c r="K9" s="741">
        <v>1</v>
      </c>
      <c r="L9" s="741">
        <v>1</v>
      </c>
      <c r="M9" s="741">
        <v>1</v>
      </c>
      <c r="N9" s="742"/>
    </row>
    <row r="10" spans="1:14" s="406" customFormat="1" ht="12.75">
      <c r="A10" s="740" t="s">
        <v>1048</v>
      </c>
      <c r="B10" s="741">
        <v>18</v>
      </c>
      <c r="C10" s="741">
        <v>18</v>
      </c>
      <c r="D10" s="741">
        <v>18</v>
      </c>
      <c r="E10" s="741">
        <v>18</v>
      </c>
      <c r="F10" s="741">
        <v>18</v>
      </c>
      <c r="G10" s="741">
        <v>18</v>
      </c>
      <c r="H10" s="741">
        <v>18</v>
      </c>
      <c r="I10" s="741">
        <v>18</v>
      </c>
      <c r="J10" s="741">
        <v>18</v>
      </c>
      <c r="K10" s="741">
        <v>18</v>
      </c>
      <c r="L10" s="741">
        <v>18</v>
      </c>
      <c r="M10" s="741">
        <v>16</v>
      </c>
      <c r="N10" s="742"/>
    </row>
    <row r="11" spans="1:14" s="406" customFormat="1" ht="12.75" customHeight="1">
      <c r="A11" s="740" t="s">
        <v>1049</v>
      </c>
      <c r="B11" s="741">
        <v>3</v>
      </c>
      <c r="C11" s="741">
        <v>3</v>
      </c>
      <c r="D11" s="741">
        <v>3</v>
      </c>
      <c r="E11" s="741">
        <v>3</v>
      </c>
      <c r="F11" s="741">
        <v>3</v>
      </c>
      <c r="G11" s="741">
        <v>3</v>
      </c>
      <c r="H11" s="741">
        <v>2</v>
      </c>
      <c r="I11" s="741">
        <v>2</v>
      </c>
      <c r="J11" s="741">
        <v>3</v>
      </c>
      <c r="K11" s="741">
        <v>3</v>
      </c>
      <c r="L11" s="741">
        <v>3</v>
      </c>
      <c r="M11" s="741">
        <v>3</v>
      </c>
      <c r="N11" s="742"/>
    </row>
    <row r="12" spans="1:14" s="406" customFormat="1" ht="12.75">
      <c r="A12" s="743" t="s">
        <v>1050</v>
      </c>
      <c r="B12" s="741">
        <v>9</v>
      </c>
      <c r="C12" s="741">
        <v>9</v>
      </c>
      <c r="D12" s="741">
        <v>9</v>
      </c>
      <c r="E12" s="741">
        <v>9</v>
      </c>
      <c r="F12" s="741">
        <v>9</v>
      </c>
      <c r="G12" s="741">
        <v>9</v>
      </c>
      <c r="H12" s="741">
        <v>10</v>
      </c>
      <c r="I12" s="741">
        <v>10</v>
      </c>
      <c r="J12" s="741">
        <v>9</v>
      </c>
      <c r="K12" s="741">
        <v>9</v>
      </c>
      <c r="L12" s="741">
        <v>8</v>
      </c>
      <c r="M12" s="741">
        <v>8</v>
      </c>
      <c r="N12" s="742"/>
    </row>
    <row r="13" spans="1:14" s="406" customFormat="1" ht="12.75">
      <c r="A13" s="740" t="s">
        <v>1051</v>
      </c>
      <c r="B13" s="741">
        <v>1</v>
      </c>
      <c r="C13" s="741">
        <v>1</v>
      </c>
      <c r="D13" s="741">
        <v>1</v>
      </c>
      <c r="E13" s="741">
        <v>1</v>
      </c>
      <c r="F13" s="741">
        <v>1</v>
      </c>
      <c r="G13" s="741">
        <v>1</v>
      </c>
      <c r="H13" s="741">
        <v>1</v>
      </c>
      <c r="I13" s="741">
        <v>1</v>
      </c>
      <c r="J13" s="741">
        <v>1</v>
      </c>
      <c r="K13" s="741">
        <v>1</v>
      </c>
      <c r="L13" s="741">
        <v>1</v>
      </c>
      <c r="M13" s="741">
        <v>1</v>
      </c>
      <c r="N13" s="742"/>
    </row>
    <row r="14" spans="1:14" s="406" customFormat="1" ht="12.75">
      <c r="A14" s="740" t="s">
        <v>1052</v>
      </c>
      <c r="B14" s="741">
        <v>1</v>
      </c>
      <c r="C14" s="741">
        <v>1</v>
      </c>
      <c r="D14" s="741">
        <v>1</v>
      </c>
      <c r="E14" s="741">
        <v>1</v>
      </c>
      <c r="F14" s="741">
        <v>1</v>
      </c>
      <c r="G14" s="741">
        <v>1</v>
      </c>
      <c r="H14" s="741">
        <v>1</v>
      </c>
      <c r="I14" s="741">
        <v>1</v>
      </c>
      <c r="J14" s="741">
        <v>1</v>
      </c>
      <c r="K14" s="741">
        <v>1</v>
      </c>
      <c r="L14" s="741">
        <v>1</v>
      </c>
      <c r="M14" s="741">
        <v>1</v>
      </c>
      <c r="N14" s="742"/>
    </row>
    <row r="15" spans="1:13" ht="25.5">
      <c r="A15" s="744" t="s">
        <v>1053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</row>
    <row r="16" spans="1:14" s="406" customFormat="1" ht="12.75">
      <c r="A16" s="740" t="s">
        <v>1054</v>
      </c>
      <c r="B16" s="741">
        <v>2</v>
      </c>
      <c r="C16" s="741">
        <v>2</v>
      </c>
      <c r="D16" s="741">
        <v>2</v>
      </c>
      <c r="E16" s="741">
        <v>2</v>
      </c>
      <c r="F16" s="741">
        <v>2</v>
      </c>
      <c r="G16" s="741">
        <v>2</v>
      </c>
      <c r="H16" s="741">
        <v>2</v>
      </c>
      <c r="I16" s="741">
        <v>2</v>
      </c>
      <c r="J16" s="741">
        <v>2</v>
      </c>
      <c r="K16" s="741">
        <v>2</v>
      </c>
      <c r="L16" s="741">
        <v>2</v>
      </c>
      <c r="M16" s="741">
        <v>2</v>
      </c>
      <c r="N16" s="742"/>
    </row>
    <row r="17" spans="1:14" s="406" customFormat="1" ht="12.75">
      <c r="A17" s="740" t="s">
        <v>1055</v>
      </c>
      <c r="B17" s="741">
        <v>1</v>
      </c>
      <c r="C17" s="741">
        <v>1</v>
      </c>
      <c r="D17" s="741">
        <v>1</v>
      </c>
      <c r="E17" s="741">
        <v>1</v>
      </c>
      <c r="F17" s="741">
        <v>1</v>
      </c>
      <c r="G17" s="741">
        <v>1</v>
      </c>
      <c r="H17" s="741">
        <v>2</v>
      </c>
      <c r="I17" s="741">
        <v>2</v>
      </c>
      <c r="J17" s="741">
        <v>2</v>
      </c>
      <c r="K17" s="741">
        <v>2</v>
      </c>
      <c r="L17" s="741">
        <v>2</v>
      </c>
      <c r="M17" s="741">
        <v>2</v>
      </c>
      <c r="N17" s="742"/>
    </row>
    <row r="18" spans="1:14" s="406" customFormat="1" ht="12.75">
      <c r="A18" s="740" t="s">
        <v>1049</v>
      </c>
      <c r="B18" s="741">
        <v>1</v>
      </c>
      <c r="C18" s="741">
        <v>1</v>
      </c>
      <c r="D18" s="741">
        <v>1</v>
      </c>
      <c r="E18" s="741">
        <v>1</v>
      </c>
      <c r="F18" s="741">
        <v>1</v>
      </c>
      <c r="G18" s="741">
        <v>1</v>
      </c>
      <c r="H18" s="741">
        <v>0</v>
      </c>
      <c r="I18" s="741">
        <v>0</v>
      </c>
      <c r="J18" s="741">
        <v>0</v>
      </c>
      <c r="K18" s="741">
        <v>0</v>
      </c>
      <c r="L18" s="741">
        <v>0</v>
      </c>
      <c r="M18" s="741">
        <v>0</v>
      </c>
      <c r="N18" s="742"/>
    </row>
    <row r="19" spans="1:14" s="406" customFormat="1" ht="12.75">
      <c r="A19" s="740" t="s">
        <v>1150</v>
      </c>
      <c r="B19" s="741">
        <v>1</v>
      </c>
      <c r="C19" s="741">
        <v>1</v>
      </c>
      <c r="D19" s="741">
        <v>1</v>
      </c>
      <c r="E19" s="741">
        <v>1</v>
      </c>
      <c r="F19" s="741">
        <v>1</v>
      </c>
      <c r="G19" s="741">
        <v>1</v>
      </c>
      <c r="H19" s="741">
        <v>1</v>
      </c>
      <c r="I19" s="741">
        <v>1</v>
      </c>
      <c r="J19" s="741">
        <v>1</v>
      </c>
      <c r="K19" s="741">
        <v>1</v>
      </c>
      <c r="L19" s="741">
        <v>1</v>
      </c>
      <c r="M19" s="741">
        <v>1</v>
      </c>
      <c r="N19" s="742"/>
    </row>
    <row r="20" spans="1:13" ht="22.5" customHeight="1">
      <c r="A20" s="738" t="s">
        <v>1056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</row>
    <row r="21" spans="1:14" s="406" customFormat="1" ht="12.75">
      <c r="A21" s="740" t="s">
        <v>1054</v>
      </c>
      <c r="B21" s="741">
        <v>2</v>
      </c>
      <c r="C21" s="741">
        <v>2</v>
      </c>
      <c r="D21" s="741">
        <v>2</v>
      </c>
      <c r="E21" s="741">
        <v>2</v>
      </c>
      <c r="F21" s="741">
        <v>2</v>
      </c>
      <c r="G21" s="741">
        <v>2</v>
      </c>
      <c r="H21" s="741">
        <v>2</v>
      </c>
      <c r="I21" s="741">
        <v>2</v>
      </c>
      <c r="J21" s="741">
        <v>2</v>
      </c>
      <c r="K21" s="741">
        <v>2</v>
      </c>
      <c r="L21" s="741">
        <v>2</v>
      </c>
      <c r="M21" s="741">
        <v>2</v>
      </c>
      <c r="N21" s="742"/>
    </row>
    <row r="22" spans="1:14" s="406" customFormat="1" ht="12.75">
      <c r="A22" s="740" t="s">
        <v>1057</v>
      </c>
      <c r="B22" s="741">
        <v>1</v>
      </c>
      <c r="C22" s="741">
        <v>1</v>
      </c>
      <c r="D22" s="741">
        <v>1</v>
      </c>
      <c r="E22" s="741">
        <v>1</v>
      </c>
      <c r="F22" s="741">
        <v>1</v>
      </c>
      <c r="G22" s="741">
        <v>1</v>
      </c>
      <c r="H22" s="741">
        <v>1</v>
      </c>
      <c r="I22" s="741">
        <v>1</v>
      </c>
      <c r="J22" s="741">
        <v>1</v>
      </c>
      <c r="K22" s="741">
        <v>1</v>
      </c>
      <c r="L22" s="741">
        <v>1</v>
      </c>
      <c r="M22" s="741">
        <v>1</v>
      </c>
      <c r="N22" s="742"/>
    </row>
    <row r="23" spans="1:13" ht="22.5" customHeight="1">
      <c r="A23" s="738" t="s">
        <v>860</v>
      </c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</row>
    <row r="24" spans="1:14" s="406" customFormat="1" ht="12.75">
      <c r="A24" s="740" t="s">
        <v>1058</v>
      </c>
      <c r="B24" s="741">
        <v>1</v>
      </c>
      <c r="C24" s="741">
        <v>1</v>
      </c>
      <c r="D24" s="741">
        <v>1</v>
      </c>
      <c r="E24" s="741">
        <v>1</v>
      </c>
      <c r="F24" s="741">
        <v>1</v>
      </c>
      <c r="G24" s="741">
        <v>1</v>
      </c>
      <c r="H24" s="741">
        <v>1</v>
      </c>
      <c r="I24" s="741">
        <v>1</v>
      </c>
      <c r="J24" s="741">
        <v>1</v>
      </c>
      <c r="K24" s="741">
        <v>1</v>
      </c>
      <c r="L24" s="741">
        <v>1</v>
      </c>
      <c r="M24" s="741">
        <v>1</v>
      </c>
      <c r="N24" s="742"/>
    </row>
    <row r="25" spans="1:14" s="406" customFormat="1" ht="12.75">
      <c r="A25" s="740" t="s">
        <v>1059</v>
      </c>
      <c r="B25" s="741">
        <v>4</v>
      </c>
      <c r="C25" s="741">
        <v>4</v>
      </c>
      <c r="D25" s="741">
        <v>4</v>
      </c>
      <c r="E25" s="741">
        <v>4</v>
      </c>
      <c r="F25" s="741">
        <v>4</v>
      </c>
      <c r="G25" s="741">
        <v>4</v>
      </c>
      <c r="H25" s="741">
        <v>4</v>
      </c>
      <c r="I25" s="741">
        <v>4</v>
      </c>
      <c r="J25" s="741">
        <v>4</v>
      </c>
      <c r="K25" s="741">
        <v>4</v>
      </c>
      <c r="L25" s="741">
        <v>4</v>
      </c>
      <c r="M25" s="741">
        <v>4</v>
      </c>
      <c r="N25" s="742"/>
    </row>
    <row r="26" spans="1:14" s="406" customFormat="1" ht="12.75">
      <c r="A26" s="740" t="s">
        <v>1060</v>
      </c>
      <c r="B26" s="741">
        <v>4</v>
      </c>
      <c r="C26" s="741">
        <v>4</v>
      </c>
      <c r="D26" s="741">
        <v>4</v>
      </c>
      <c r="E26" s="741">
        <v>4</v>
      </c>
      <c r="F26" s="741">
        <v>4</v>
      </c>
      <c r="G26" s="741">
        <v>4</v>
      </c>
      <c r="H26" s="741">
        <v>4</v>
      </c>
      <c r="I26" s="741">
        <v>4</v>
      </c>
      <c r="J26" s="741">
        <v>4</v>
      </c>
      <c r="K26" s="741">
        <v>4</v>
      </c>
      <c r="L26" s="741">
        <v>4</v>
      </c>
      <c r="M26" s="741">
        <v>4</v>
      </c>
      <c r="N26" s="742"/>
    </row>
    <row r="27" spans="1:13" ht="22.5" customHeight="1">
      <c r="A27" s="738" t="s">
        <v>1061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</row>
    <row r="28" spans="1:14" s="406" customFormat="1" ht="12.75">
      <c r="A28" s="740" t="s">
        <v>1062</v>
      </c>
      <c r="B28" s="741">
        <v>1</v>
      </c>
      <c r="C28" s="741">
        <v>1</v>
      </c>
      <c r="D28" s="741">
        <v>1</v>
      </c>
      <c r="E28" s="741">
        <v>1</v>
      </c>
      <c r="F28" s="741">
        <v>1</v>
      </c>
      <c r="G28" s="741">
        <v>1</v>
      </c>
      <c r="H28" s="741">
        <v>1</v>
      </c>
      <c r="I28" s="741">
        <v>1</v>
      </c>
      <c r="J28" s="741">
        <v>1</v>
      </c>
      <c r="K28" s="741">
        <v>1</v>
      </c>
      <c r="L28" s="741">
        <v>1</v>
      </c>
      <c r="M28" s="741">
        <v>1</v>
      </c>
      <c r="N28" s="742"/>
    </row>
    <row r="29" spans="1:14" s="406" customFormat="1" ht="12.75">
      <c r="A29" s="740" t="s">
        <v>1063</v>
      </c>
      <c r="B29" s="741">
        <v>1</v>
      </c>
      <c r="C29" s="741">
        <v>1</v>
      </c>
      <c r="D29" s="741">
        <v>1</v>
      </c>
      <c r="E29" s="741">
        <v>1</v>
      </c>
      <c r="F29" s="741">
        <v>1</v>
      </c>
      <c r="G29" s="741">
        <v>1</v>
      </c>
      <c r="H29" s="741">
        <v>1</v>
      </c>
      <c r="I29" s="741">
        <v>1</v>
      </c>
      <c r="J29" s="741">
        <v>1</v>
      </c>
      <c r="K29" s="741">
        <v>1</v>
      </c>
      <c r="L29" s="741">
        <v>1</v>
      </c>
      <c r="M29" s="741">
        <v>1</v>
      </c>
      <c r="N29" s="742"/>
    </row>
    <row r="30" spans="1:14" s="406" customFormat="1" ht="12.75">
      <c r="A30" s="740" t="s">
        <v>1063</v>
      </c>
      <c r="B30" s="741">
        <v>0.5</v>
      </c>
      <c r="C30" s="741">
        <v>0.5</v>
      </c>
      <c r="D30" s="741">
        <v>0.5</v>
      </c>
      <c r="E30" s="741">
        <v>0.5</v>
      </c>
      <c r="F30" s="741">
        <v>0.5</v>
      </c>
      <c r="G30" s="741">
        <v>0.5</v>
      </c>
      <c r="H30" s="741">
        <v>0.5</v>
      </c>
      <c r="I30" s="741">
        <v>0.5</v>
      </c>
      <c r="J30" s="741">
        <v>0.5</v>
      </c>
      <c r="K30" s="741">
        <v>0.5</v>
      </c>
      <c r="L30" s="741">
        <v>0.5</v>
      </c>
      <c r="M30" s="741">
        <v>0.5</v>
      </c>
      <c r="N30" s="742"/>
    </row>
    <row r="31" spans="1:14" s="747" customFormat="1" ht="38.25">
      <c r="A31" s="745" t="s">
        <v>861</v>
      </c>
      <c r="B31" s="746">
        <f aca="true" t="shared" si="0" ref="B31:M31">SUM(B9:B30)</f>
        <v>52.5</v>
      </c>
      <c r="C31" s="746">
        <f t="shared" si="0"/>
        <v>52.5</v>
      </c>
      <c r="D31" s="746">
        <f t="shared" si="0"/>
        <v>52.5</v>
      </c>
      <c r="E31" s="746">
        <f t="shared" si="0"/>
        <v>52.5</v>
      </c>
      <c r="F31" s="746">
        <f t="shared" si="0"/>
        <v>52.5</v>
      </c>
      <c r="G31" s="746">
        <f t="shared" si="0"/>
        <v>52.5</v>
      </c>
      <c r="H31" s="746">
        <f t="shared" si="0"/>
        <v>52.5</v>
      </c>
      <c r="I31" s="746">
        <f t="shared" si="0"/>
        <v>52.5</v>
      </c>
      <c r="J31" s="746">
        <f t="shared" si="0"/>
        <v>52.5</v>
      </c>
      <c r="K31" s="746">
        <f t="shared" si="0"/>
        <v>52.5</v>
      </c>
      <c r="L31" s="746">
        <f t="shared" si="0"/>
        <v>51.5</v>
      </c>
      <c r="M31" s="746">
        <f t="shared" si="0"/>
        <v>49.5</v>
      </c>
      <c r="N31" s="676"/>
    </row>
    <row r="32" spans="1:14" s="406" customFormat="1" ht="14.25" customHeight="1">
      <c r="A32" s="748"/>
      <c r="B32" s="741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2"/>
    </row>
    <row r="33" spans="1:14" s="737" customFormat="1" ht="22.5" customHeight="1">
      <c r="A33" s="734" t="s">
        <v>548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6"/>
    </row>
    <row r="34" spans="1:14" s="406" customFormat="1" ht="12.75">
      <c r="A34" s="740" t="s">
        <v>1064</v>
      </c>
      <c r="B34" s="741">
        <v>25</v>
      </c>
      <c r="C34" s="741">
        <v>25</v>
      </c>
      <c r="D34" s="741">
        <v>25</v>
      </c>
      <c r="E34" s="741">
        <v>25</v>
      </c>
      <c r="F34" s="741">
        <v>25</v>
      </c>
      <c r="G34" s="741">
        <v>25</v>
      </c>
      <c r="H34" s="741">
        <v>25</v>
      </c>
      <c r="I34" s="741">
        <v>25</v>
      </c>
      <c r="J34" s="741">
        <v>25</v>
      </c>
      <c r="K34" s="741">
        <v>25</v>
      </c>
      <c r="L34" s="741">
        <v>25</v>
      </c>
      <c r="M34" s="741">
        <v>25</v>
      </c>
      <c r="N34" s="742"/>
    </row>
    <row r="35" spans="1:14" s="406" customFormat="1" ht="25.5">
      <c r="A35" s="740" t="s">
        <v>1065</v>
      </c>
      <c r="B35" s="741">
        <v>2</v>
      </c>
      <c r="C35" s="741">
        <v>2</v>
      </c>
      <c r="D35" s="741">
        <v>2</v>
      </c>
      <c r="E35" s="741">
        <v>2</v>
      </c>
      <c r="F35" s="741">
        <v>2</v>
      </c>
      <c r="G35" s="741">
        <v>2</v>
      </c>
      <c r="H35" s="741">
        <v>2</v>
      </c>
      <c r="I35" s="741">
        <v>2</v>
      </c>
      <c r="J35" s="741">
        <v>2</v>
      </c>
      <c r="K35" s="741">
        <v>1</v>
      </c>
      <c r="L35" s="741">
        <v>1</v>
      </c>
      <c r="M35" s="741">
        <v>1</v>
      </c>
      <c r="N35" s="742"/>
    </row>
    <row r="36" spans="1:14" s="737" customFormat="1" ht="22.5" customHeight="1">
      <c r="A36" s="734" t="s">
        <v>1066</v>
      </c>
      <c r="B36" s="735">
        <f aca="true" t="shared" si="1" ref="B36:M36">SUM(B34:B35)</f>
        <v>27</v>
      </c>
      <c r="C36" s="735">
        <f t="shared" si="1"/>
        <v>27</v>
      </c>
      <c r="D36" s="735">
        <f t="shared" si="1"/>
        <v>27</v>
      </c>
      <c r="E36" s="735">
        <f t="shared" si="1"/>
        <v>27</v>
      </c>
      <c r="F36" s="735">
        <f t="shared" si="1"/>
        <v>27</v>
      </c>
      <c r="G36" s="735">
        <f t="shared" si="1"/>
        <v>27</v>
      </c>
      <c r="H36" s="735">
        <f t="shared" si="1"/>
        <v>27</v>
      </c>
      <c r="I36" s="735">
        <f t="shared" si="1"/>
        <v>27</v>
      </c>
      <c r="J36" s="735">
        <f t="shared" si="1"/>
        <v>27</v>
      </c>
      <c r="K36" s="735">
        <f t="shared" si="1"/>
        <v>26</v>
      </c>
      <c r="L36" s="735">
        <f t="shared" si="1"/>
        <v>26</v>
      </c>
      <c r="M36" s="735">
        <f t="shared" si="1"/>
        <v>26</v>
      </c>
      <c r="N36" s="736"/>
    </row>
    <row r="37" spans="1:13" s="736" customFormat="1" ht="14.25" customHeight="1">
      <c r="A37" s="749"/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</row>
    <row r="38" spans="1:14" s="737" customFormat="1" ht="22.5" customHeight="1">
      <c r="A38" s="734" t="s">
        <v>633</v>
      </c>
      <c r="B38" s="735"/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6"/>
    </row>
    <row r="39" spans="1:14" s="406" customFormat="1" ht="12.75">
      <c r="A39" s="740" t="s">
        <v>1067</v>
      </c>
      <c r="B39" s="741">
        <v>1</v>
      </c>
      <c r="C39" s="741">
        <v>1</v>
      </c>
      <c r="D39" s="741">
        <v>1</v>
      </c>
      <c r="E39" s="741">
        <v>1</v>
      </c>
      <c r="F39" s="741">
        <v>1</v>
      </c>
      <c r="G39" s="741">
        <v>1</v>
      </c>
      <c r="H39" s="741">
        <v>1</v>
      </c>
      <c r="I39" s="741">
        <v>1</v>
      </c>
      <c r="J39" s="741">
        <v>1</v>
      </c>
      <c r="K39" s="741">
        <v>1</v>
      </c>
      <c r="L39" s="741">
        <v>1</v>
      </c>
      <c r="M39" s="741">
        <v>1</v>
      </c>
      <c r="N39" s="742"/>
    </row>
    <row r="40" spans="1:14" s="406" customFormat="1" ht="12.75">
      <c r="A40" s="751" t="s">
        <v>1068</v>
      </c>
      <c r="B40" s="741">
        <v>1</v>
      </c>
      <c r="C40" s="741">
        <v>1</v>
      </c>
      <c r="D40" s="741">
        <v>1</v>
      </c>
      <c r="E40" s="741">
        <v>1</v>
      </c>
      <c r="F40" s="741">
        <v>1</v>
      </c>
      <c r="G40" s="741">
        <v>1</v>
      </c>
      <c r="H40" s="741">
        <v>1</v>
      </c>
      <c r="I40" s="741">
        <v>1</v>
      </c>
      <c r="J40" s="741">
        <v>1</v>
      </c>
      <c r="K40" s="741">
        <v>1</v>
      </c>
      <c r="L40" s="741">
        <v>1</v>
      </c>
      <c r="M40" s="741">
        <v>1</v>
      </c>
      <c r="N40" s="742"/>
    </row>
    <row r="41" spans="1:14" s="406" customFormat="1" ht="12.75">
      <c r="A41" s="751" t="s">
        <v>1135</v>
      </c>
      <c r="B41" s="741"/>
      <c r="C41" s="741"/>
      <c r="D41" s="741"/>
      <c r="E41" s="741"/>
      <c r="F41" s="741"/>
      <c r="G41" s="741"/>
      <c r="H41" s="741">
        <v>6</v>
      </c>
      <c r="I41" s="741">
        <v>5</v>
      </c>
      <c r="J41" s="741"/>
      <c r="K41" s="741"/>
      <c r="L41" s="741"/>
      <c r="M41" s="741"/>
      <c r="N41" s="742"/>
    </row>
    <row r="42" spans="1:13" ht="22.5" customHeight="1">
      <c r="A42" s="738" t="s">
        <v>1069</v>
      </c>
      <c r="B42" s="739"/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</row>
    <row r="43" spans="1:14" s="406" customFormat="1" ht="12.75">
      <c r="A43" s="751" t="s">
        <v>1070</v>
      </c>
      <c r="B43" s="741">
        <v>13</v>
      </c>
      <c r="C43" s="741">
        <v>13</v>
      </c>
      <c r="D43" s="741">
        <v>13</v>
      </c>
      <c r="E43" s="741">
        <v>13</v>
      </c>
      <c r="F43" s="741">
        <v>13</v>
      </c>
      <c r="G43" s="741">
        <v>13</v>
      </c>
      <c r="H43" s="741">
        <v>13</v>
      </c>
      <c r="I43" s="741">
        <v>13</v>
      </c>
      <c r="J43" s="741">
        <v>13</v>
      </c>
      <c r="K43" s="741">
        <v>13</v>
      </c>
      <c r="L43" s="741">
        <v>13</v>
      </c>
      <c r="M43" s="741">
        <v>13</v>
      </c>
      <c r="N43" s="742"/>
    </row>
    <row r="44" spans="1:13" ht="22.5" customHeight="1">
      <c r="A44" s="738" t="s">
        <v>1071</v>
      </c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</row>
    <row r="45" spans="1:14" s="406" customFormat="1" ht="12.75">
      <c r="A45" s="740" t="s">
        <v>1072</v>
      </c>
      <c r="B45" s="741">
        <v>2</v>
      </c>
      <c r="C45" s="741">
        <v>2</v>
      </c>
      <c r="D45" s="741">
        <v>2</v>
      </c>
      <c r="E45" s="741">
        <v>2</v>
      </c>
      <c r="F45" s="741">
        <v>2</v>
      </c>
      <c r="G45" s="741">
        <v>2</v>
      </c>
      <c r="H45" s="741">
        <v>2</v>
      </c>
      <c r="I45" s="741">
        <v>2</v>
      </c>
      <c r="J45" s="741">
        <v>2</v>
      </c>
      <c r="K45" s="741">
        <v>2</v>
      </c>
      <c r="L45" s="741">
        <v>2</v>
      </c>
      <c r="M45" s="741">
        <v>2</v>
      </c>
      <c r="N45" s="742"/>
    </row>
    <row r="46" spans="1:14" s="406" customFormat="1" ht="12.75">
      <c r="A46" s="752" t="s">
        <v>1073</v>
      </c>
      <c r="B46" s="741">
        <v>5.75</v>
      </c>
      <c r="C46" s="741">
        <v>5.75</v>
      </c>
      <c r="D46" s="741">
        <v>5.75</v>
      </c>
      <c r="E46" s="741">
        <v>5.75</v>
      </c>
      <c r="F46" s="741">
        <v>5.75</v>
      </c>
      <c r="G46" s="741">
        <v>5.75</v>
      </c>
      <c r="H46" s="741">
        <v>5.75</v>
      </c>
      <c r="I46" s="741">
        <v>5.75</v>
      </c>
      <c r="J46" s="741">
        <v>5.75</v>
      </c>
      <c r="K46" s="741">
        <v>5.75</v>
      </c>
      <c r="L46" s="741">
        <v>5.75</v>
      </c>
      <c r="M46" s="741">
        <v>5.75</v>
      </c>
      <c r="N46" s="742"/>
    </row>
    <row r="47" spans="1:14" s="406" customFormat="1" ht="12.75">
      <c r="A47" s="752" t="s">
        <v>1074</v>
      </c>
      <c r="B47" s="741">
        <v>2</v>
      </c>
      <c r="C47" s="741">
        <v>2</v>
      </c>
      <c r="D47" s="741">
        <v>2</v>
      </c>
      <c r="E47" s="741">
        <v>2</v>
      </c>
      <c r="F47" s="741">
        <v>2</v>
      </c>
      <c r="G47" s="741">
        <v>2</v>
      </c>
      <c r="H47" s="741">
        <v>2</v>
      </c>
      <c r="I47" s="741">
        <v>2</v>
      </c>
      <c r="J47" s="741">
        <v>2</v>
      </c>
      <c r="K47" s="741">
        <v>2</v>
      </c>
      <c r="L47" s="741">
        <v>2</v>
      </c>
      <c r="M47" s="741">
        <v>2</v>
      </c>
      <c r="N47" s="742"/>
    </row>
    <row r="48" spans="1:14" s="406" customFormat="1" ht="12.75">
      <c r="A48" s="752" t="s">
        <v>1075</v>
      </c>
      <c r="B48" s="741">
        <v>1</v>
      </c>
      <c r="C48" s="741">
        <v>1</v>
      </c>
      <c r="D48" s="741">
        <v>1</v>
      </c>
      <c r="E48" s="741">
        <v>1</v>
      </c>
      <c r="F48" s="741">
        <v>1</v>
      </c>
      <c r="G48" s="741">
        <v>1</v>
      </c>
      <c r="H48" s="741">
        <v>1</v>
      </c>
      <c r="I48" s="741">
        <v>1</v>
      </c>
      <c r="J48" s="741">
        <v>1</v>
      </c>
      <c r="K48" s="741">
        <v>1</v>
      </c>
      <c r="L48" s="741">
        <v>1</v>
      </c>
      <c r="M48" s="741">
        <v>1</v>
      </c>
      <c r="N48" s="742"/>
    </row>
    <row r="49" spans="1:13" ht="22.5" customHeight="1">
      <c r="A49" s="738" t="s">
        <v>1076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</row>
    <row r="50" spans="1:14" s="406" customFormat="1" ht="12.75">
      <c r="A50" s="752" t="s">
        <v>1077</v>
      </c>
      <c r="B50" s="741">
        <v>3</v>
      </c>
      <c r="C50" s="741">
        <v>3</v>
      </c>
      <c r="D50" s="741">
        <v>3</v>
      </c>
      <c r="E50" s="741">
        <v>3</v>
      </c>
      <c r="F50" s="741">
        <v>3</v>
      </c>
      <c r="G50" s="741">
        <v>3</v>
      </c>
      <c r="H50" s="741">
        <v>3</v>
      </c>
      <c r="I50" s="741">
        <v>3</v>
      </c>
      <c r="J50" s="741">
        <v>3</v>
      </c>
      <c r="K50" s="741">
        <v>3</v>
      </c>
      <c r="L50" s="741">
        <v>3</v>
      </c>
      <c r="M50" s="741">
        <v>3</v>
      </c>
      <c r="N50" s="742"/>
    </row>
    <row r="51" spans="1:14" s="406" customFormat="1" ht="12.75">
      <c r="A51" s="752" t="s">
        <v>1078</v>
      </c>
      <c r="B51" s="741">
        <v>3</v>
      </c>
      <c r="C51" s="741">
        <v>3</v>
      </c>
      <c r="D51" s="741">
        <v>3</v>
      </c>
      <c r="E51" s="741">
        <v>3</v>
      </c>
      <c r="F51" s="741">
        <v>3</v>
      </c>
      <c r="G51" s="741">
        <v>3</v>
      </c>
      <c r="H51" s="741">
        <v>3</v>
      </c>
      <c r="I51" s="741">
        <v>3</v>
      </c>
      <c r="J51" s="741">
        <v>3</v>
      </c>
      <c r="K51" s="741">
        <v>3</v>
      </c>
      <c r="L51" s="741">
        <v>3</v>
      </c>
      <c r="M51" s="741">
        <v>3</v>
      </c>
      <c r="N51" s="742"/>
    </row>
    <row r="52" spans="1:13" ht="22.5" customHeight="1">
      <c r="A52" s="738" t="s">
        <v>1079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</row>
    <row r="53" spans="1:14" s="406" customFormat="1" ht="12.75">
      <c r="A53" s="752" t="s">
        <v>1080</v>
      </c>
      <c r="B53" s="753">
        <v>5</v>
      </c>
      <c r="C53" s="753">
        <v>5</v>
      </c>
      <c r="D53" s="753">
        <v>5</v>
      </c>
      <c r="E53" s="753">
        <v>5</v>
      </c>
      <c r="F53" s="753">
        <v>5</v>
      </c>
      <c r="G53" s="753">
        <v>5</v>
      </c>
      <c r="H53" s="741">
        <v>5</v>
      </c>
      <c r="I53" s="741">
        <v>5</v>
      </c>
      <c r="J53" s="741">
        <v>5</v>
      </c>
      <c r="K53" s="741">
        <v>5</v>
      </c>
      <c r="L53" s="741">
        <v>5</v>
      </c>
      <c r="M53" s="741">
        <v>5</v>
      </c>
      <c r="N53" s="742"/>
    </row>
    <row r="54" spans="1:13" ht="22.5" customHeight="1">
      <c r="A54" s="738" t="s">
        <v>536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</row>
    <row r="55" spans="1:14" s="406" customFormat="1" ht="12.75">
      <c r="A55" s="752" t="s">
        <v>1081</v>
      </c>
      <c r="B55" s="741">
        <v>1</v>
      </c>
      <c r="C55" s="741">
        <v>1</v>
      </c>
      <c r="D55" s="741">
        <v>1</v>
      </c>
      <c r="E55" s="741">
        <v>1</v>
      </c>
      <c r="F55" s="741">
        <v>1</v>
      </c>
      <c r="G55" s="741">
        <v>1</v>
      </c>
      <c r="H55" s="741">
        <v>1</v>
      </c>
      <c r="I55" s="741">
        <v>1</v>
      </c>
      <c r="J55" s="741">
        <v>1</v>
      </c>
      <c r="K55" s="741">
        <v>1</v>
      </c>
      <c r="L55" s="741">
        <v>1</v>
      </c>
      <c r="M55" s="741">
        <v>1</v>
      </c>
      <c r="N55" s="742"/>
    </row>
    <row r="56" spans="1:14" s="406" customFormat="1" ht="12.75">
      <c r="A56" s="752" t="s">
        <v>1082</v>
      </c>
      <c r="B56" s="741">
        <v>7</v>
      </c>
      <c r="C56" s="741">
        <v>7</v>
      </c>
      <c r="D56" s="741">
        <v>7</v>
      </c>
      <c r="E56" s="741">
        <v>7</v>
      </c>
      <c r="F56" s="741">
        <v>7</v>
      </c>
      <c r="G56" s="741">
        <v>7</v>
      </c>
      <c r="H56" s="741">
        <v>7</v>
      </c>
      <c r="I56" s="741">
        <v>7</v>
      </c>
      <c r="J56" s="741">
        <v>7</v>
      </c>
      <c r="K56" s="741">
        <v>7</v>
      </c>
      <c r="L56" s="741">
        <v>7</v>
      </c>
      <c r="M56" s="741">
        <v>7</v>
      </c>
      <c r="N56" s="742"/>
    </row>
    <row r="57" spans="1:14" s="406" customFormat="1" ht="12.75">
      <c r="A57" s="752" t="s">
        <v>1083</v>
      </c>
      <c r="B57" s="741">
        <v>1</v>
      </c>
      <c r="C57" s="741">
        <v>1</v>
      </c>
      <c r="D57" s="741">
        <v>1</v>
      </c>
      <c r="E57" s="741">
        <v>1</v>
      </c>
      <c r="F57" s="741">
        <v>1</v>
      </c>
      <c r="G57" s="741">
        <v>1</v>
      </c>
      <c r="H57" s="741">
        <v>1</v>
      </c>
      <c r="I57" s="741">
        <v>1</v>
      </c>
      <c r="J57" s="741">
        <v>1</v>
      </c>
      <c r="K57" s="741">
        <v>1</v>
      </c>
      <c r="L57" s="741">
        <v>1</v>
      </c>
      <c r="M57" s="741">
        <v>1</v>
      </c>
      <c r="N57" s="742"/>
    </row>
    <row r="58" spans="1:14" s="406" customFormat="1" ht="12.75">
      <c r="A58" s="752" t="s">
        <v>1084</v>
      </c>
      <c r="B58" s="741">
        <v>3</v>
      </c>
      <c r="C58" s="741">
        <v>3</v>
      </c>
      <c r="D58" s="741">
        <v>3</v>
      </c>
      <c r="E58" s="741">
        <v>3</v>
      </c>
      <c r="F58" s="741">
        <v>3</v>
      </c>
      <c r="G58" s="741">
        <v>3</v>
      </c>
      <c r="H58" s="741">
        <v>3</v>
      </c>
      <c r="I58" s="741">
        <v>3</v>
      </c>
      <c r="J58" s="741">
        <v>3</v>
      </c>
      <c r="K58" s="741">
        <v>3</v>
      </c>
      <c r="L58" s="741">
        <v>3</v>
      </c>
      <c r="M58" s="741">
        <v>3</v>
      </c>
      <c r="N58" s="742"/>
    </row>
    <row r="59" spans="1:14" s="406" customFormat="1" ht="12.75">
      <c r="A59" s="752" t="s">
        <v>1085</v>
      </c>
      <c r="B59" s="741">
        <v>2</v>
      </c>
      <c r="C59" s="741">
        <v>2</v>
      </c>
      <c r="D59" s="741">
        <v>2</v>
      </c>
      <c r="E59" s="741">
        <v>2</v>
      </c>
      <c r="F59" s="741">
        <v>2</v>
      </c>
      <c r="G59" s="741">
        <v>2</v>
      </c>
      <c r="H59" s="741">
        <v>2</v>
      </c>
      <c r="I59" s="741">
        <v>2</v>
      </c>
      <c r="J59" s="741">
        <v>2</v>
      </c>
      <c r="K59" s="741">
        <v>2</v>
      </c>
      <c r="L59" s="741">
        <v>2</v>
      </c>
      <c r="M59" s="741">
        <v>2</v>
      </c>
      <c r="N59" s="742"/>
    </row>
    <row r="60" spans="1:14" s="406" customFormat="1" ht="12.75">
      <c r="A60" s="740" t="s">
        <v>1072</v>
      </c>
      <c r="B60" s="741">
        <v>1</v>
      </c>
      <c r="C60" s="741">
        <v>1</v>
      </c>
      <c r="D60" s="741">
        <v>1</v>
      </c>
      <c r="E60" s="741">
        <v>1</v>
      </c>
      <c r="F60" s="741">
        <v>1</v>
      </c>
      <c r="G60" s="741">
        <v>1</v>
      </c>
      <c r="H60" s="741">
        <v>1</v>
      </c>
      <c r="I60" s="741">
        <v>1</v>
      </c>
      <c r="J60" s="741">
        <v>1</v>
      </c>
      <c r="K60" s="741">
        <v>1</v>
      </c>
      <c r="L60" s="741">
        <v>1</v>
      </c>
      <c r="M60" s="741">
        <v>1</v>
      </c>
      <c r="N60" s="742"/>
    </row>
    <row r="61" spans="1:13" ht="41.25" customHeight="1">
      <c r="A61" s="738" t="s">
        <v>1092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</row>
    <row r="62" spans="1:14" s="406" customFormat="1" ht="12.75">
      <c r="A62" s="752" t="s">
        <v>1091</v>
      </c>
      <c r="B62" s="741"/>
      <c r="C62" s="741"/>
      <c r="D62" s="741"/>
      <c r="E62" s="741"/>
      <c r="F62" s="741">
        <v>2</v>
      </c>
      <c r="G62" s="741">
        <v>2</v>
      </c>
      <c r="H62" s="741">
        <v>2</v>
      </c>
      <c r="I62" s="741">
        <v>2</v>
      </c>
      <c r="J62" s="741">
        <v>2</v>
      </c>
      <c r="K62" s="741"/>
      <c r="L62" s="741"/>
      <c r="M62" s="741"/>
      <c r="N62" s="742"/>
    </row>
    <row r="63" spans="1:14" s="737" customFormat="1" ht="22.5" customHeight="1">
      <c r="A63" s="734" t="s">
        <v>1086</v>
      </c>
      <c r="B63" s="735">
        <f>SUM(B39:B62)</f>
        <v>51.75</v>
      </c>
      <c r="C63" s="735">
        <f aca="true" t="shared" si="2" ref="C63:M63">SUM(C39:C62)</f>
        <v>51.75</v>
      </c>
      <c r="D63" s="735">
        <f t="shared" si="2"/>
        <v>51.75</v>
      </c>
      <c r="E63" s="735">
        <f t="shared" si="2"/>
        <v>51.75</v>
      </c>
      <c r="F63" s="735">
        <f t="shared" si="2"/>
        <v>53.75</v>
      </c>
      <c r="G63" s="735">
        <f t="shared" si="2"/>
        <v>53.75</v>
      </c>
      <c r="H63" s="735">
        <f t="shared" si="2"/>
        <v>59.75</v>
      </c>
      <c r="I63" s="735">
        <f t="shared" si="2"/>
        <v>58.75</v>
      </c>
      <c r="J63" s="735">
        <f t="shared" si="2"/>
        <v>53.75</v>
      </c>
      <c r="K63" s="735">
        <f t="shared" si="2"/>
        <v>51.75</v>
      </c>
      <c r="L63" s="735">
        <f t="shared" si="2"/>
        <v>51.75</v>
      </c>
      <c r="M63" s="735">
        <f t="shared" si="2"/>
        <v>51.75</v>
      </c>
      <c r="N63" s="736"/>
    </row>
    <row r="64" spans="1:14" s="737" customFormat="1" ht="26.25" customHeight="1">
      <c r="A64" s="754" t="s">
        <v>1087</v>
      </c>
      <c r="B64" s="755">
        <f aca="true" t="shared" si="3" ref="B64:M64">SUM(B63,B36,B31)</f>
        <v>131.25</v>
      </c>
      <c r="C64" s="755">
        <f t="shared" si="3"/>
        <v>131.25</v>
      </c>
      <c r="D64" s="755">
        <f t="shared" si="3"/>
        <v>131.25</v>
      </c>
      <c r="E64" s="755">
        <f t="shared" si="3"/>
        <v>131.25</v>
      </c>
      <c r="F64" s="755">
        <f t="shared" si="3"/>
        <v>133.25</v>
      </c>
      <c r="G64" s="755">
        <f t="shared" si="3"/>
        <v>133.25</v>
      </c>
      <c r="H64" s="755">
        <f t="shared" si="3"/>
        <v>139.25</v>
      </c>
      <c r="I64" s="755">
        <f t="shared" si="3"/>
        <v>138.25</v>
      </c>
      <c r="J64" s="755">
        <f t="shared" si="3"/>
        <v>133.25</v>
      </c>
      <c r="K64" s="755">
        <f t="shared" si="3"/>
        <v>130.25</v>
      </c>
      <c r="L64" s="755">
        <f t="shared" si="3"/>
        <v>129.25</v>
      </c>
      <c r="M64" s="755">
        <f t="shared" si="3"/>
        <v>127.25</v>
      </c>
      <c r="N64" s="736"/>
    </row>
    <row r="65" spans="1:14" s="406" customFormat="1" ht="6" customHeight="1">
      <c r="A65" s="748"/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2"/>
    </row>
    <row r="66" spans="1:14" s="737" customFormat="1" ht="25.5" customHeight="1">
      <c r="A66" s="734" t="s">
        <v>1088</v>
      </c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6"/>
    </row>
    <row r="67" spans="1:14" s="406" customFormat="1" ht="20.25" customHeight="1">
      <c r="A67" s="740" t="s">
        <v>1089</v>
      </c>
      <c r="B67" s="741">
        <v>0</v>
      </c>
      <c r="C67" s="741">
        <v>0</v>
      </c>
      <c r="D67" s="741">
        <v>0</v>
      </c>
      <c r="E67" s="741">
        <v>0</v>
      </c>
      <c r="F67" s="741">
        <v>0</v>
      </c>
      <c r="G67" s="741">
        <v>0</v>
      </c>
      <c r="H67" s="741">
        <v>0</v>
      </c>
      <c r="I67" s="741">
        <v>0</v>
      </c>
      <c r="J67" s="741">
        <v>0</v>
      </c>
      <c r="K67" s="741">
        <v>0</v>
      </c>
      <c r="L67" s="741">
        <v>0</v>
      </c>
      <c r="M67" s="741">
        <v>0</v>
      </c>
      <c r="N67" s="742"/>
    </row>
    <row r="68" spans="1:14" s="406" customFormat="1" ht="20.25" customHeight="1">
      <c r="A68" s="740" t="s">
        <v>548</v>
      </c>
      <c r="B68" s="741">
        <v>0</v>
      </c>
      <c r="C68" s="741">
        <v>0</v>
      </c>
      <c r="D68" s="741">
        <v>0</v>
      </c>
      <c r="E68" s="741">
        <v>0</v>
      </c>
      <c r="F68" s="741">
        <v>0</v>
      </c>
      <c r="G68" s="741">
        <v>0</v>
      </c>
      <c r="H68" s="741">
        <v>0</v>
      </c>
      <c r="I68" s="741">
        <v>0</v>
      </c>
      <c r="J68" s="741">
        <v>0</v>
      </c>
      <c r="K68" s="741">
        <v>0</v>
      </c>
      <c r="L68" s="741">
        <v>0</v>
      </c>
      <c r="M68" s="741">
        <v>0</v>
      </c>
      <c r="N68" s="742"/>
    </row>
    <row r="69" spans="1:14" s="406" customFormat="1" ht="37.5" customHeight="1">
      <c r="A69" s="740" t="s">
        <v>855</v>
      </c>
      <c r="B69" s="741">
        <v>0</v>
      </c>
      <c r="C69" s="741">
        <v>0</v>
      </c>
      <c r="D69" s="741">
        <v>0</v>
      </c>
      <c r="E69" s="741">
        <v>0</v>
      </c>
      <c r="F69" s="741">
        <v>0</v>
      </c>
      <c r="G69" s="741">
        <v>0</v>
      </c>
      <c r="H69" s="741">
        <v>0</v>
      </c>
      <c r="I69" s="741">
        <v>0</v>
      </c>
      <c r="J69" s="741">
        <v>0</v>
      </c>
      <c r="K69" s="741">
        <v>0</v>
      </c>
      <c r="L69" s="741">
        <v>0</v>
      </c>
      <c r="M69" s="741">
        <v>0</v>
      </c>
      <c r="N69" s="742"/>
    </row>
    <row r="70" spans="1:14" s="737" customFormat="1" ht="27" customHeight="1">
      <c r="A70" s="754" t="s">
        <v>1090</v>
      </c>
      <c r="B70" s="755">
        <f>SUM(B67:B69)</f>
        <v>0</v>
      </c>
      <c r="C70" s="755">
        <f aca="true" t="shared" si="4" ref="C70:M70">SUM(C67:C69)</f>
        <v>0</v>
      </c>
      <c r="D70" s="755">
        <f t="shared" si="4"/>
        <v>0</v>
      </c>
      <c r="E70" s="755">
        <f t="shared" si="4"/>
        <v>0</v>
      </c>
      <c r="F70" s="755">
        <f t="shared" si="4"/>
        <v>0</v>
      </c>
      <c r="G70" s="755">
        <f t="shared" si="4"/>
        <v>0</v>
      </c>
      <c r="H70" s="755">
        <f t="shared" si="4"/>
        <v>0</v>
      </c>
      <c r="I70" s="755">
        <f t="shared" si="4"/>
        <v>0</v>
      </c>
      <c r="J70" s="755">
        <f t="shared" si="4"/>
        <v>0</v>
      </c>
      <c r="K70" s="755">
        <f t="shared" si="4"/>
        <v>0</v>
      </c>
      <c r="L70" s="755">
        <f t="shared" si="4"/>
        <v>0</v>
      </c>
      <c r="M70" s="755">
        <f t="shared" si="4"/>
        <v>0</v>
      </c>
      <c r="N70" s="736"/>
    </row>
  </sheetData>
  <sheetProtection/>
  <mergeCells count="3">
    <mergeCell ref="A3:M3"/>
    <mergeCell ref="A4:M4"/>
    <mergeCell ref="A5:M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77" bestFit="1" customWidth="1"/>
    <col min="2" max="2" width="2.375" style="3" customWidth="1"/>
    <col min="3" max="3" width="98.125" style="3" customWidth="1"/>
    <col min="4" max="4" width="15.75390625" style="3" customWidth="1"/>
    <col min="5" max="16384" width="8.875" style="3" customWidth="1"/>
  </cols>
  <sheetData>
    <row r="1" spans="3:5" ht="15">
      <c r="C1" s="848" t="s">
        <v>1187</v>
      </c>
      <c r="D1" s="1073"/>
      <c r="E1" s="76"/>
    </row>
    <row r="2" spans="3:5" ht="15">
      <c r="C2" s="6"/>
      <c r="D2" s="129"/>
      <c r="E2" s="76"/>
    </row>
    <row r="3" spans="2:4" ht="15">
      <c r="B3" s="1074" t="s">
        <v>865</v>
      </c>
      <c r="C3" s="1074"/>
      <c r="D3" s="1074"/>
    </row>
    <row r="4" spans="2:4" ht="6" customHeight="1">
      <c r="B4" s="1074"/>
      <c r="C4" s="1074"/>
      <c r="D4" s="1074"/>
    </row>
    <row r="5" ht="15.75" thickBot="1">
      <c r="D5" s="6" t="s">
        <v>967</v>
      </c>
    </row>
    <row r="6" spans="1:4" s="4" customFormat="1" ht="14.25">
      <c r="A6" s="1065" t="s">
        <v>623</v>
      </c>
      <c r="B6" s="1075" t="s">
        <v>537</v>
      </c>
      <c r="C6" s="1076"/>
      <c r="D6" s="7" t="s">
        <v>550</v>
      </c>
    </row>
    <row r="7" spans="1:4" s="100" customFormat="1" ht="12">
      <c r="A7" s="1066"/>
      <c r="B7" s="1077" t="s">
        <v>617</v>
      </c>
      <c r="C7" s="1077"/>
      <c r="D7" s="99" t="s">
        <v>618</v>
      </c>
    </row>
    <row r="8" spans="1:4" s="4" customFormat="1" ht="14.25">
      <c r="A8" s="106">
        <v>1</v>
      </c>
      <c r="B8" s="101" t="s">
        <v>543</v>
      </c>
      <c r="C8" s="17"/>
      <c r="D8" s="8"/>
    </row>
    <row r="9" spans="1:4" s="19" customFormat="1" ht="15">
      <c r="A9" s="106">
        <v>2</v>
      </c>
      <c r="B9" s="102" t="s">
        <v>633</v>
      </c>
      <c r="C9" s="18"/>
      <c r="D9" s="16"/>
    </row>
    <row r="10" spans="1:4" ht="15">
      <c r="A10" s="106">
        <v>3</v>
      </c>
      <c r="B10" s="79" t="s">
        <v>551</v>
      </c>
      <c r="C10" s="125" t="s">
        <v>910</v>
      </c>
      <c r="D10" s="96">
        <v>150000</v>
      </c>
    </row>
    <row r="11" spans="1:4" ht="15">
      <c r="A11" s="106">
        <v>4</v>
      </c>
      <c r="B11" s="79" t="s">
        <v>551</v>
      </c>
      <c r="C11" s="125" t="s">
        <v>1140</v>
      </c>
      <c r="D11" s="9">
        <f>4763000+68000</f>
        <v>4831000</v>
      </c>
    </row>
    <row r="12" spans="1:4" ht="15">
      <c r="A12" s="106">
        <v>5</v>
      </c>
      <c r="B12" s="79" t="s">
        <v>551</v>
      </c>
      <c r="C12" s="126" t="s">
        <v>912</v>
      </c>
      <c r="D12" s="9">
        <v>30000</v>
      </c>
    </row>
    <row r="13" spans="1:4" ht="15">
      <c r="A13" s="106">
        <v>6</v>
      </c>
      <c r="B13" s="79" t="s">
        <v>551</v>
      </c>
      <c r="C13" s="125" t="s">
        <v>913</v>
      </c>
      <c r="D13" s="9">
        <f>1000000-1000000</f>
        <v>0</v>
      </c>
    </row>
    <row r="14" spans="1:4" ht="15">
      <c r="A14" s="106">
        <v>7</v>
      </c>
      <c r="B14" s="79" t="s">
        <v>551</v>
      </c>
      <c r="C14" s="125" t="s">
        <v>1141</v>
      </c>
      <c r="D14" s="9">
        <f>25000+37000+79000</f>
        <v>141000</v>
      </c>
    </row>
    <row r="15" spans="1:4" ht="45">
      <c r="A15" s="106">
        <v>8</v>
      </c>
      <c r="B15" s="79" t="s">
        <v>551</v>
      </c>
      <c r="C15" s="125" t="s">
        <v>1014</v>
      </c>
      <c r="D15" s="9">
        <f>1490000+4299000</f>
        <v>5789000</v>
      </c>
    </row>
    <row r="16" spans="1:4" ht="15">
      <c r="A16" s="106">
        <v>9</v>
      </c>
      <c r="B16" s="79" t="s">
        <v>551</v>
      </c>
      <c r="C16" s="125" t="s">
        <v>960</v>
      </c>
      <c r="D16" s="9">
        <f>11201000-8201000</f>
        <v>3000000</v>
      </c>
    </row>
    <row r="17" spans="1:4" ht="30">
      <c r="A17" s="106">
        <v>10</v>
      </c>
      <c r="B17" s="79" t="s">
        <v>551</v>
      </c>
      <c r="C17" s="125" t="s">
        <v>914</v>
      </c>
      <c r="D17" s="9">
        <v>394000</v>
      </c>
    </row>
    <row r="18" spans="1:4" ht="27.75" customHeight="1">
      <c r="A18" s="106">
        <v>11</v>
      </c>
      <c r="B18" s="79" t="s">
        <v>551</v>
      </c>
      <c r="C18" s="123" t="s">
        <v>961</v>
      </c>
      <c r="D18" s="9">
        <v>920000</v>
      </c>
    </row>
    <row r="19" spans="1:4" ht="27.75" customHeight="1">
      <c r="A19" s="106">
        <v>12</v>
      </c>
      <c r="B19" s="79" t="s">
        <v>551</v>
      </c>
      <c r="C19" s="123" t="s">
        <v>915</v>
      </c>
      <c r="D19" s="9">
        <f>172000-15000</f>
        <v>157000</v>
      </c>
    </row>
    <row r="20" spans="1:4" ht="27.75" customHeight="1">
      <c r="A20" s="106">
        <v>13</v>
      </c>
      <c r="B20" s="79" t="s">
        <v>551</v>
      </c>
      <c r="C20" s="123" t="s">
        <v>1013</v>
      </c>
      <c r="D20" s="9">
        <f>216000+112000</f>
        <v>328000</v>
      </c>
    </row>
    <row r="21" spans="1:4" ht="15.75" customHeight="1">
      <c r="A21" s="106">
        <v>14</v>
      </c>
      <c r="B21" s="79" t="s">
        <v>551</v>
      </c>
      <c r="C21" s="123" t="s">
        <v>1016</v>
      </c>
      <c r="D21" s="9">
        <f>5644000-4350000-200000-1094000</f>
        <v>0</v>
      </c>
    </row>
    <row r="22" spans="1:4" ht="15.75" customHeight="1">
      <c r="A22" s="106">
        <v>15</v>
      </c>
      <c r="B22" s="79" t="s">
        <v>551</v>
      </c>
      <c r="C22" s="123" t="s">
        <v>1173</v>
      </c>
      <c r="D22" s="9">
        <f>114000+42000+14000</f>
        <v>170000</v>
      </c>
    </row>
    <row r="23" spans="1:4" ht="30" customHeight="1">
      <c r="A23" s="106">
        <v>16</v>
      </c>
      <c r="B23" s="79" t="s">
        <v>551</v>
      </c>
      <c r="C23" s="123" t="s">
        <v>1138</v>
      </c>
      <c r="D23" s="9">
        <f>61862+1175381</f>
        <v>1237243</v>
      </c>
    </row>
    <row r="24" spans="1:4" ht="15.75" customHeight="1">
      <c r="A24" s="106">
        <v>17</v>
      </c>
      <c r="B24" s="145" t="s">
        <v>551</v>
      </c>
      <c r="C24" s="797" t="s">
        <v>1137</v>
      </c>
      <c r="D24" s="9">
        <v>15000000</v>
      </c>
    </row>
    <row r="25" spans="1:4" ht="15.75" customHeight="1">
      <c r="A25" s="106">
        <v>18</v>
      </c>
      <c r="B25" s="145" t="s">
        <v>551</v>
      </c>
      <c r="C25" s="797" t="s">
        <v>1142</v>
      </c>
      <c r="D25" s="9">
        <v>153000</v>
      </c>
    </row>
    <row r="26" spans="1:4" ht="15.75" customHeight="1">
      <c r="A26" s="106">
        <v>19</v>
      </c>
      <c r="B26" s="145" t="s">
        <v>551</v>
      </c>
      <c r="C26" s="797" t="s">
        <v>1144</v>
      </c>
      <c r="D26" s="9">
        <v>6460000</v>
      </c>
    </row>
    <row r="27" spans="1:4" ht="15.75" customHeight="1">
      <c r="A27" s="106">
        <v>20</v>
      </c>
      <c r="B27" s="145" t="s">
        <v>551</v>
      </c>
      <c r="C27" s="797" t="s">
        <v>1172</v>
      </c>
      <c r="D27" s="9">
        <v>2603500</v>
      </c>
    </row>
    <row r="28" spans="1:4" s="28" customFormat="1" ht="15">
      <c r="A28" s="106">
        <v>21</v>
      </c>
      <c r="B28" s="79"/>
      <c r="C28" s="21" t="s">
        <v>568</v>
      </c>
      <c r="D28" s="98">
        <f>SUM(D10:D27)</f>
        <v>41363743</v>
      </c>
    </row>
    <row r="29" spans="1:4" s="28" customFormat="1" ht="15">
      <c r="A29" s="132">
        <v>22</v>
      </c>
      <c r="B29" s="1070" t="s">
        <v>548</v>
      </c>
      <c r="C29" s="1071"/>
      <c r="D29" s="1072"/>
    </row>
    <row r="30" spans="1:4" s="28" customFormat="1" ht="30">
      <c r="A30" s="106">
        <v>23</v>
      </c>
      <c r="B30" s="79" t="s">
        <v>551</v>
      </c>
      <c r="C30" s="130" t="s">
        <v>916</v>
      </c>
      <c r="D30" s="122">
        <v>1279000</v>
      </c>
    </row>
    <row r="31" spans="1:4" s="28" customFormat="1" ht="15">
      <c r="A31" s="106">
        <v>24</v>
      </c>
      <c r="B31" s="121"/>
      <c r="C31" s="21" t="s">
        <v>712</v>
      </c>
      <c r="D31" s="98">
        <f>SUM(D30)</f>
        <v>1279000</v>
      </c>
    </row>
    <row r="32" spans="1:4" s="28" customFormat="1" ht="15">
      <c r="A32" s="106">
        <v>25</v>
      </c>
      <c r="B32" s="1070" t="s">
        <v>917</v>
      </c>
      <c r="C32" s="1071"/>
      <c r="D32" s="1072"/>
    </row>
    <row r="33" spans="1:4" s="28" customFormat="1" ht="15">
      <c r="A33" s="106">
        <v>26</v>
      </c>
      <c r="B33" s="79" t="s">
        <v>551</v>
      </c>
      <c r="C33" s="123" t="s">
        <v>962</v>
      </c>
      <c r="D33" s="9">
        <v>60000</v>
      </c>
    </row>
    <row r="34" spans="1:4" s="28" customFormat="1" ht="15">
      <c r="A34" s="106">
        <v>27</v>
      </c>
      <c r="B34" s="145" t="s">
        <v>551</v>
      </c>
      <c r="C34" s="144" t="s">
        <v>955</v>
      </c>
      <c r="D34" s="9">
        <v>110000</v>
      </c>
    </row>
    <row r="35" spans="1:4" s="28" customFormat="1" ht="15">
      <c r="A35" s="106">
        <v>28</v>
      </c>
      <c r="B35" s="145" t="s">
        <v>551</v>
      </c>
      <c r="C35" s="144" t="s">
        <v>956</v>
      </c>
      <c r="D35" s="9">
        <v>22000</v>
      </c>
    </row>
    <row r="36" spans="1:4" s="28" customFormat="1" ht="15">
      <c r="A36" s="106">
        <v>29</v>
      </c>
      <c r="B36" s="145" t="s">
        <v>551</v>
      </c>
      <c r="C36" s="144" t="s">
        <v>957</v>
      </c>
      <c r="D36" s="9">
        <v>88000</v>
      </c>
    </row>
    <row r="37" spans="1:4" s="28" customFormat="1" ht="15">
      <c r="A37" s="106">
        <v>30</v>
      </c>
      <c r="B37" s="145" t="s">
        <v>551</v>
      </c>
      <c r="C37" s="144" t="s">
        <v>958</v>
      </c>
      <c r="D37" s="9">
        <v>150000</v>
      </c>
    </row>
    <row r="38" spans="1:4" s="28" customFormat="1" ht="15">
      <c r="A38" s="106">
        <v>31</v>
      </c>
      <c r="B38" s="145" t="s">
        <v>551</v>
      </c>
      <c r="C38" s="144" t="s">
        <v>963</v>
      </c>
      <c r="D38" s="9">
        <f>2000000-1200000</f>
        <v>800000</v>
      </c>
    </row>
    <row r="39" spans="1:4" s="28" customFormat="1" ht="15">
      <c r="A39" s="106">
        <v>32</v>
      </c>
      <c r="B39" s="145" t="s">
        <v>551</v>
      </c>
      <c r="C39" s="144" t="s">
        <v>1107</v>
      </c>
      <c r="D39" s="9">
        <f>2300000+1200000</f>
        <v>3500000</v>
      </c>
    </row>
    <row r="40" spans="1:4" s="28" customFormat="1" ht="15">
      <c r="A40" s="106">
        <v>33</v>
      </c>
      <c r="B40" s="145" t="s">
        <v>551</v>
      </c>
      <c r="C40" s="144" t="s">
        <v>1143</v>
      </c>
      <c r="D40" s="9">
        <v>381000</v>
      </c>
    </row>
    <row r="41" spans="1:4" s="28" customFormat="1" ht="15">
      <c r="A41" s="106">
        <v>34</v>
      </c>
      <c r="B41" s="121"/>
      <c r="C41" s="21" t="s">
        <v>918</v>
      </c>
      <c r="D41" s="98">
        <f>SUM(D33:D40)</f>
        <v>5111000</v>
      </c>
    </row>
    <row r="42" spans="1:4" s="4" customFormat="1" ht="15" thickBot="1">
      <c r="A42" s="106">
        <v>35</v>
      </c>
      <c r="B42" s="22" t="s">
        <v>540</v>
      </c>
      <c r="C42" s="22"/>
      <c r="D42" s="12">
        <f>SUM(D41+D31+D28)</f>
        <v>47753743</v>
      </c>
    </row>
    <row r="43" spans="1:4" ht="15">
      <c r="A43" s="132">
        <v>36</v>
      </c>
      <c r="B43" s="1067" t="s">
        <v>549</v>
      </c>
      <c r="C43" s="1067"/>
      <c r="D43" s="1068"/>
    </row>
    <row r="44" spans="1:4" s="19" customFormat="1" ht="15">
      <c r="A44" s="106">
        <v>37</v>
      </c>
      <c r="B44" s="119" t="s">
        <v>633</v>
      </c>
      <c r="C44" s="20"/>
      <c r="D44" s="10"/>
    </row>
    <row r="45" spans="1:4" s="19" customFormat="1" ht="15">
      <c r="A45" s="106">
        <v>38</v>
      </c>
      <c r="B45" s="79" t="s">
        <v>551</v>
      </c>
      <c r="C45" s="125" t="s">
        <v>911</v>
      </c>
      <c r="D45" s="9">
        <v>300000</v>
      </c>
    </row>
    <row r="46" spans="1:4" s="19" customFormat="1" ht="15">
      <c r="A46" s="106">
        <v>39</v>
      </c>
      <c r="B46" s="79" t="s">
        <v>551</v>
      </c>
      <c r="C46" s="125" t="s">
        <v>1017</v>
      </c>
      <c r="D46" s="9">
        <v>1006000</v>
      </c>
    </row>
    <row r="47" spans="1:4" s="19" customFormat="1" ht="15">
      <c r="A47" s="106">
        <v>40</v>
      </c>
      <c r="B47" s="79" t="s">
        <v>551</v>
      </c>
      <c r="C47" s="125" t="s">
        <v>1012</v>
      </c>
      <c r="D47" s="9">
        <v>2200000</v>
      </c>
    </row>
    <row r="48" spans="1:4" s="19" customFormat="1" ht="15">
      <c r="A48" s="106">
        <v>41</v>
      </c>
      <c r="B48" s="79" t="s">
        <v>551</v>
      </c>
      <c r="C48" s="125" t="s">
        <v>1018</v>
      </c>
      <c r="D48" s="9">
        <v>1588000</v>
      </c>
    </row>
    <row r="49" spans="1:4" s="19" customFormat="1" ht="15">
      <c r="A49" s="106">
        <v>42</v>
      </c>
      <c r="B49" s="79" t="s">
        <v>551</v>
      </c>
      <c r="C49" s="123" t="s">
        <v>1108</v>
      </c>
      <c r="D49" s="9">
        <f>2645063-2645063</f>
        <v>0</v>
      </c>
    </row>
    <row r="50" spans="1:4" s="19" customFormat="1" ht="15">
      <c r="A50" s="106">
        <v>43</v>
      </c>
      <c r="B50" s="79" t="s">
        <v>551</v>
      </c>
      <c r="C50" s="123" t="s">
        <v>1139</v>
      </c>
      <c r="D50" s="9">
        <f>439150+118571+10596689</f>
        <v>11154410</v>
      </c>
    </row>
    <row r="51" spans="1:4" s="19" customFormat="1" ht="15">
      <c r="A51" s="106">
        <v>44</v>
      </c>
      <c r="B51" s="104"/>
      <c r="C51" s="5" t="s">
        <v>568</v>
      </c>
      <c r="D51" s="25">
        <f>SUM(D43:D50)</f>
        <v>16248410</v>
      </c>
    </row>
    <row r="52" spans="1:4" s="28" customFormat="1" ht="15">
      <c r="A52" s="106">
        <v>45</v>
      </c>
      <c r="B52" s="1070" t="s">
        <v>917</v>
      </c>
      <c r="C52" s="1071"/>
      <c r="D52" s="1072"/>
    </row>
    <row r="53" spans="1:7" s="142" customFormat="1" ht="15">
      <c r="A53" s="106">
        <v>46</v>
      </c>
      <c r="B53" s="139" t="s">
        <v>551</v>
      </c>
      <c r="C53" s="140" t="s">
        <v>964</v>
      </c>
      <c r="D53" s="141">
        <v>952000</v>
      </c>
      <c r="G53" s="143"/>
    </row>
    <row r="54" spans="1:4" s="28" customFormat="1" ht="15">
      <c r="A54" s="106">
        <v>47</v>
      </c>
      <c r="B54" s="803"/>
      <c r="C54" s="21" t="s">
        <v>918</v>
      </c>
      <c r="D54" s="98">
        <f>SUM(D53)</f>
        <v>952000</v>
      </c>
    </row>
    <row r="55" spans="1:4" ht="15.75" thickBot="1">
      <c r="A55" s="106">
        <v>48</v>
      </c>
      <c r="B55" s="103" t="s">
        <v>540</v>
      </c>
      <c r="C55" s="22"/>
      <c r="D55" s="14">
        <f>SUM(D51+D54)</f>
        <v>17200410</v>
      </c>
    </row>
    <row r="56" spans="1:4" ht="15">
      <c r="A56" s="106">
        <v>49</v>
      </c>
      <c r="B56" s="1067" t="s">
        <v>227</v>
      </c>
      <c r="C56" s="1067"/>
      <c r="D56" s="1068"/>
    </row>
    <row r="57" spans="1:4" s="19" customFormat="1" ht="15">
      <c r="A57" s="106">
        <v>50</v>
      </c>
      <c r="B57" s="23" t="s">
        <v>633</v>
      </c>
      <c r="C57" s="20"/>
      <c r="D57" s="13"/>
    </row>
    <row r="58" spans="1:4" s="19" customFormat="1" ht="15">
      <c r="A58" s="106">
        <v>51</v>
      </c>
      <c r="B58" s="79" t="s">
        <v>551</v>
      </c>
      <c r="C58" s="124" t="s">
        <v>613</v>
      </c>
      <c r="D58" s="11">
        <f>398000+39000</f>
        <v>437000</v>
      </c>
    </row>
    <row r="59" spans="1:4" s="19" customFormat="1" ht="15">
      <c r="A59" s="106">
        <v>52</v>
      </c>
      <c r="B59" s="79" t="s">
        <v>551</v>
      </c>
      <c r="C59" s="124" t="s">
        <v>1019</v>
      </c>
      <c r="D59" s="26">
        <v>1500000</v>
      </c>
    </row>
    <row r="60" spans="1:4" s="19" customFormat="1" ht="15">
      <c r="A60" s="106">
        <v>53</v>
      </c>
      <c r="B60" s="79" t="s">
        <v>551</v>
      </c>
      <c r="C60" s="796" t="s">
        <v>1136</v>
      </c>
      <c r="D60" s="26">
        <v>64000000</v>
      </c>
    </row>
    <row r="61" spans="1:4" s="19" customFormat="1" ht="15">
      <c r="A61" s="106">
        <v>54</v>
      </c>
      <c r="B61" s="79" t="s">
        <v>551</v>
      </c>
      <c r="C61" s="796" t="s">
        <v>1168</v>
      </c>
      <c r="D61" s="26">
        <v>46000000</v>
      </c>
    </row>
    <row r="62" spans="1:4" s="19" customFormat="1" ht="15">
      <c r="A62" s="106">
        <v>55</v>
      </c>
      <c r="B62" s="79" t="s">
        <v>551</v>
      </c>
      <c r="C62" s="796" t="s">
        <v>1169</v>
      </c>
      <c r="D62" s="26">
        <v>214000</v>
      </c>
    </row>
    <row r="63" spans="1:4" s="19" customFormat="1" ht="15">
      <c r="A63" s="106">
        <v>56</v>
      </c>
      <c r="B63" s="79" t="s">
        <v>551</v>
      </c>
      <c r="C63" s="796" t="s">
        <v>1177</v>
      </c>
      <c r="D63" s="26">
        <v>830416</v>
      </c>
    </row>
    <row r="64" spans="1:4" s="19" customFormat="1" ht="15">
      <c r="A64" s="106">
        <v>57</v>
      </c>
      <c r="B64" s="79" t="s">
        <v>551</v>
      </c>
      <c r="C64" s="796" t="s">
        <v>1170</v>
      </c>
      <c r="D64" s="26">
        <v>200000</v>
      </c>
    </row>
    <row r="65" spans="1:4" s="19" customFormat="1" ht="15">
      <c r="A65" s="106">
        <v>58</v>
      </c>
      <c r="B65" s="79" t="s">
        <v>551</v>
      </c>
      <c r="C65" s="796" t="s">
        <v>1171</v>
      </c>
      <c r="D65" s="26">
        <v>5768314</v>
      </c>
    </row>
    <row r="66" spans="1:4" s="4" customFormat="1" ht="15" thickBot="1">
      <c r="A66" s="106">
        <v>59</v>
      </c>
      <c r="B66" s="24" t="s">
        <v>540</v>
      </c>
      <c r="C66" s="22"/>
      <c r="D66" s="15">
        <f>SUM(D58:D65)</f>
        <v>118949730</v>
      </c>
    </row>
    <row r="67" spans="1:4" ht="15" hidden="1">
      <c r="A67" s="106">
        <v>40</v>
      </c>
      <c r="B67" s="1067" t="s">
        <v>614</v>
      </c>
      <c r="C67" s="1067"/>
      <c r="D67" s="1068"/>
    </row>
    <row r="68" spans="1:4" s="19" customFormat="1" ht="15" hidden="1">
      <c r="A68" s="106">
        <v>41</v>
      </c>
      <c r="B68" s="79"/>
      <c r="C68" s="27"/>
      <c r="D68" s="26"/>
    </row>
    <row r="69" spans="1:4" s="4" customFormat="1" ht="15" hidden="1" thickBot="1">
      <c r="A69" s="106">
        <v>42</v>
      </c>
      <c r="B69" s="24" t="s">
        <v>540</v>
      </c>
      <c r="C69" s="22"/>
      <c r="D69" s="15">
        <f>SUM(D68:D68)</f>
        <v>0</v>
      </c>
    </row>
    <row r="70" spans="1:4" ht="15.75" thickBot="1">
      <c r="A70" s="107">
        <v>60</v>
      </c>
      <c r="B70" s="1067" t="s">
        <v>615</v>
      </c>
      <c r="C70" s="1067"/>
      <c r="D70" s="1068"/>
    </row>
    <row r="71" spans="1:4" ht="15">
      <c r="A71" s="106">
        <v>61</v>
      </c>
      <c r="B71" s="23" t="s">
        <v>633</v>
      </c>
      <c r="C71" s="97"/>
      <c r="D71" s="95"/>
    </row>
    <row r="72" spans="1:4" ht="15">
      <c r="A72" s="106">
        <v>62</v>
      </c>
      <c r="B72" s="79" t="s">
        <v>551</v>
      </c>
      <c r="C72" s="80" t="s">
        <v>804</v>
      </c>
      <c r="D72" s="131">
        <f>40540000-40540000</f>
        <v>0</v>
      </c>
    </row>
    <row r="73" spans="1:4" ht="30">
      <c r="A73" s="106">
        <v>63</v>
      </c>
      <c r="B73" s="79" t="s">
        <v>551</v>
      </c>
      <c r="C73" s="80" t="s">
        <v>1015</v>
      </c>
      <c r="D73" s="127">
        <f>329000+4260000</f>
        <v>4589000</v>
      </c>
    </row>
    <row r="74" spans="1:4" s="4" customFormat="1" ht="15" thickBot="1">
      <c r="A74" s="106">
        <v>64</v>
      </c>
      <c r="B74" s="24" t="s">
        <v>540</v>
      </c>
      <c r="C74" s="22"/>
      <c r="D74" s="15">
        <f>SUM(D72:D73)</f>
        <v>4589000</v>
      </c>
    </row>
    <row r="75" spans="1:4" ht="21" customHeight="1" thickBot="1">
      <c r="A75" s="107">
        <v>65</v>
      </c>
      <c r="B75" s="105" t="s">
        <v>541</v>
      </c>
      <c r="C75" s="24"/>
      <c r="D75" s="15">
        <f>SUM(D74+D66+D55+D42)</f>
        <v>188492883</v>
      </c>
    </row>
    <row r="77" ht="21" customHeight="1"/>
    <row r="79" spans="2:4" ht="15">
      <c r="B79" s="1069"/>
      <c r="C79" s="1069"/>
      <c r="D79" s="1069"/>
    </row>
    <row r="81" ht="15">
      <c r="H81" s="78"/>
    </row>
  </sheetData>
  <sheetProtection/>
  <mergeCells count="14">
    <mergeCell ref="B52:D52"/>
    <mergeCell ref="B43:D43"/>
    <mergeCell ref="B7:C7"/>
    <mergeCell ref="B29:D29"/>
    <mergeCell ref="A6:A7"/>
    <mergeCell ref="B67:D67"/>
    <mergeCell ref="B70:D70"/>
    <mergeCell ref="B79:D79"/>
    <mergeCell ref="B32:D32"/>
    <mergeCell ref="C1:D1"/>
    <mergeCell ref="B4:D4"/>
    <mergeCell ref="B56:D56"/>
    <mergeCell ref="B3:D3"/>
    <mergeCell ref="B6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76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82" bestFit="1" customWidth="1"/>
    <col min="2" max="2" width="2.375" style="42" customWidth="1"/>
    <col min="3" max="3" width="106.125" style="42" customWidth="1"/>
    <col min="4" max="4" width="17.00390625" style="42" customWidth="1"/>
    <col min="5" max="16384" width="8.875" style="42" customWidth="1"/>
  </cols>
  <sheetData>
    <row r="1" spans="3:5" ht="15">
      <c r="C1" s="848" t="s">
        <v>1188</v>
      </c>
      <c r="D1" s="1073"/>
      <c r="E1" s="76"/>
    </row>
    <row r="2" spans="3:5" ht="15">
      <c r="C2" s="2"/>
      <c r="D2" s="76"/>
      <c r="E2" s="76"/>
    </row>
    <row r="3" spans="2:4" ht="15">
      <c r="B3" s="1083" t="s">
        <v>552</v>
      </c>
      <c r="C3" s="1083"/>
      <c r="D3" s="1083"/>
    </row>
    <row r="4" spans="2:4" ht="15">
      <c r="B4" s="1083" t="s">
        <v>634</v>
      </c>
      <c r="C4" s="1083"/>
      <c r="D4" s="1083"/>
    </row>
    <row r="5" spans="2:4" ht="15">
      <c r="B5" s="44"/>
      <c r="C5" s="44"/>
      <c r="D5" s="44"/>
    </row>
    <row r="6" ht="15">
      <c r="D6" s="43" t="s">
        <v>968</v>
      </c>
    </row>
    <row r="7" spans="1:4" s="45" customFormat="1" ht="21" customHeight="1">
      <c r="A7" s="1080" t="s">
        <v>623</v>
      </c>
      <c r="B7" s="1084" t="s">
        <v>537</v>
      </c>
      <c r="C7" s="1084"/>
      <c r="D7" s="84" t="s">
        <v>550</v>
      </c>
    </row>
    <row r="8" spans="1:4" s="81" customFormat="1" ht="12">
      <c r="A8" s="1081"/>
      <c r="B8" s="1085" t="s">
        <v>617</v>
      </c>
      <c r="C8" s="1086"/>
      <c r="D8" s="83" t="s">
        <v>618</v>
      </c>
    </row>
    <row r="9" spans="1:4" s="45" customFormat="1" ht="25.5" customHeight="1">
      <c r="A9" s="83">
        <v>1</v>
      </c>
      <c r="B9" s="47" t="s">
        <v>564</v>
      </c>
      <c r="C9" s="46"/>
      <c r="D9" s="90"/>
    </row>
    <row r="10" spans="1:4" ht="15">
      <c r="A10" s="83">
        <v>2</v>
      </c>
      <c r="B10" s="85" t="s">
        <v>632</v>
      </c>
      <c r="C10" s="80" t="s">
        <v>624</v>
      </c>
      <c r="D10" s="86">
        <v>1000000</v>
      </c>
    </row>
    <row r="11" spans="1:4" ht="16.5" customHeight="1">
      <c r="A11" s="83">
        <v>3</v>
      </c>
      <c r="B11" s="85" t="s">
        <v>632</v>
      </c>
      <c r="C11" s="80" t="s">
        <v>1020</v>
      </c>
      <c r="D11" s="154">
        <v>-1000000</v>
      </c>
    </row>
    <row r="12" spans="1:4" s="45" customFormat="1" ht="15.75" customHeight="1">
      <c r="A12" s="83">
        <v>4</v>
      </c>
      <c r="B12" s="47" t="s">
        <v>540</v>
      </c>
      <c r="C12" s="47"/>
      <c r="D12" s="87">
        <f>SUM(D10:D11)</f>
        <v>0</v>
      </c>
    </row>
    <row r="13" spans="1:4" s="45" customFormat="1" ht="6" customHeight="1">
      <c r="A13" s="89"/>
      <c r="B13" s="88"/>
      <c r="C13" s="88"/>
      <c r="D13" s="90"/>
    </row>
    <row r="14" spans="1:4" s="45" customFormat="1" ht="25.5" customHeight="1">
      <c r="A14" s="83">
        <v>5</v>
      </c>
      <c r="B14" s="1082" t="s">
        <v>563</v>
      </c>
      <c r="C14" s="1082"/>
      <c r="D14" s="1082"/>
    </row>
    <row r="15" spans="1:4" s="45" customFormat="1" ht="15">
      <c r="A15" s="83">
        <v>6</v>
      </c>
      <c r="B15" s="85" t="s">
        <v>632</v>
      </c>
      <c r="C15" s="80" t="s">
        <v>867</v>
      </c>
      <c r="D15" s="86">
        <v>0</v>
      </c>
    </row>
    <row r="16" spans="1:4" s="45" customFormat="1" ht="16.5" customHeight="1">
      <c r="A16" s="83">
        <v>7</v>
      </c>
      <c r="B16" s="85" t="s">
        <v>632</v>
      </c>
      <c r="C16" s="80" t="s">
        <v>1029</v>
      </c>
      <c r="D16" s="86">
        <v>4299000</v>
      </c>
    </row>
    <row r="17" spans="1:4" s="45" customFormat="1" ht="18" customHeight="1">
      <c r="A17" s="83">
        <v>8</v>
      </c>
      <c r="B17" s="85" t="s">
        <v>632</v>
      </c>
      <c r="C17" s="80" t="s">
        <v>1040</v>
      </c>
      <c r="D17" s="154">
        <v>-4299000</v>
      </c>
    </row>
    <row r="18" spans="1:4" s="157" customFormat="1" ht="15">
      <c r="A18" s="156">
        <v>9</v>
      </c>
      <c r="B18" s="1078" t="s">
        <v>540</v>
      </c>
      <c r="C18" s="1079"/>
      <c r="D18" s="158">
        <f>SUM(D15:D17)</f>
        <v>0</v>
      </c>
    </row>
    <row r="19" spans="1:4" s="45" customFormat="1" ht="15">
      <c r="A19" s="83">
        <v>10</v>
      </c>
      <c r="B19" s="85" t="s">
        <v>632</v>
      </c>
      <c r="C19" s="80" t="s">
        <v>868</v>
      </c>
      <c r="D19" s="86">
        <v>200000</v>
      </c>
    </row>
    <row r="20" spans="1:4" s="45" customFormat="1" ht="15">
      <c r="A20" s="83">
        <v>11</v>
      </c>
      <c r="B20" s="85" t="s">
        <v>632</v>
      </c>
      <c r="C20" s="80" t="s">
        <v>1028</v>
      </c>
      <c r="D20" s="86">
        <v>3472000</v>
      </c>
    </row>
    <row r="21" spans="1:4" s="45" customFormat="1" ht="15" customHeight="1">
      <c r="A21" s="83">
        <v>12</v>
      </c>
      <c r="B21" s="85" t="s">
        <v>632</v>
      </c>
      <c r="C21" s="80" t="s">
        <v>1174</v>
      </c>
      <c r="D21" s="154">
        <v>-3672000</v>
      </c>
    </row>
    <row r="22" spans="1:4" s="157" customFormat="1" ht="15">
      <c r="A22" s="156">
        <v>13</v>
      </c>
      <c r="B22" s="1078" t="s">
        <v>540</v>
      </c>
      <c r="C22" s="1079"/>
      <c r="D22" s="158">
        <f>SUM(D19:D21)</f>
        <v>0</v>
      </c>
    </row>
    <row r="23" spans="1:4" s="45" customFormat="1" ht="15">
      <c r="A23" s="83">
        <v>14</v>
      </c>
      <c r="B23" s="85" t="s">
        <v>632</v>
      </c>
      <c r="C23" s="80" t="s">
        <v>919</v>
      </c>
      <c r="D23" s="86">
        <v>3700000</v>
      </c>
    </row>
    <row r="24" spans="1:4" s="45" customFormat="1" ht="15">
      <c r="A24" s="83">
        <v>15</v>
      </c>
      <c r="B24" s="85" t="s">
        <v>632</v>
      </c>
      <c r="C24" s="124" t="s">
        <v>1019</v>
      </c>
      <c r="D24" s="154">
        <v>-1500000</v>
      </c>
    </row>
    <row r="25" spans="1:4" s="45" customFormat="1" ht="15" customHeight="1">
      <c r="A25" s="83">
        <v>16</v>
      </c>
      <c r="B25" s="85" t="s">
        <v>632</v>
      </c>
      <c r="C25" s="80" t="s">
        <v>1020</v>
      </c>
      <c r="D25" s="154">
        <v>-588000</v>
      </c>
    </row>
    <row r="26" spans="1:4" s="45" customFormat="1" ht="15" customHeight="1">
      <c r="A26" s="83">
        <v>17</v>
      </c>
      <c r="B26" s="85" t="s">
        <v>632</v>
      </c>
      <c r="C26" s="80" t="s">
        <v>1038</v>
      </c>
      <c r="D26" s="154">
        <v>-1336000</v>
      </c>
    </row>
    <row r="27" spans="1:4" s="45" customFormat="1" ht="15" customHeight="1">
      <c r="A27" s="83">
        <v>18</v>
      </c>
      <c r="B27" s="85" t="s">
        <v>632</v>
      </c>
      <c r="C27" s="80" t="s">
        <v>1175</v>
      </c>
      <c r="D27" s="154">
        <v>-276000</v>
      </c>
    </row>
    <row r="28" spans="1:4" s="157" customFormat="1" ht="15">
      <c r="A28" s="156">
        <v>19</v>
      </c>
      <c r="B28" s="1078" t="s">
        <v>540</v>
      </c>
      <c r="C28" s="1079"/>
      <c r="D28" s="158">
        <f>SUM(D23:D27)</f>
        <v>0</v>
      </c>
    </row>
    <row r="29" spans="1:4" ht="15.75" customHeight="1">
      <c r="A29" s="83">
        <v>20</v>
      </c>
      <c r="B29" s="47" t="s">
        <v>540</v>
      </c>
      <c r="C29" s="47"/>
      <c r="D29" s="87">
        <f>SUM(D18+D22+D28)</f>
        <v>0</v>
      </c>
    </row>
    <row r="30" spans="1:4" s="45" customFormat="1" ht="7.5" customHeight="1">
      <c r="A30" s="89"/>
      <c r="B30" s="88"/>
      <c r="C30" s="88"/>
      <c r="D30" s="90"/>
    </row>
    <row r="31" spans="1:4" s="45" customFormat="1" ht="25.5" customHeight="1">
      <c r="A31" s="83">
        <v>21</v>
      </c>
      <c r="B31" s="47" t="s">
        <v>658</v>
      </c>
      <c r="C31" s="46"/>
      <c r="D31" s="90"/>
    </row>
    <row r="32" spans="1:4" ht="15">
      <c r="A32" s="83">
        <v>22</v>
      </c>
      <c r="B32" s="85" t="s">
        <v>632</v>
      </c>
      <c r="C32" s="80" t="s">
        <v>659</v>
      </c>
      <c r="D32" s="86">
        <v>1000000</v>
      </c>
    </row>
    <row r="33" spans="1:4" ht="15">
      <c r="A33" s="83">
        <v>23</v>
      </c>
      <c r="B33" s="85" t="s">
        <v>632</v>
      </c>
      <c r="C33" s="130" t="s">
        <v>1023</v>
      </c>
      <c r="D33" s="154">
        <v>-73000</v>
      </c>
    </row>
    <row r="34" spans="1:4" ht="15">
      <c r="A34" s="83">
        <v>24</v>
      </c>
      <c r="B34" s="85" t="s">
        <v>632</v>
      </c>
      <c r="C34" s="130" t="s">
        <v>1024</v>
      </c>
      <c r="D34" s="154">
        <v>-64000</v>
      </c>
    </row>
    <row r="35" spans="1:4" ht="15">
      <c r="A35" s="83">
        <v>25</v>
      </c>
      <c r="B35" s="85" t="s">
        <v>632</v>
      </c>
      <c r="C35" s="130" t="s">
        <v>1031</v>
      </c>
      <c r="D35" s="86">
        <v>728928</v>
      </c>
    </row>
    <row r="36" spans="1:4" ht="15">
      <c r="A36" s="83">
        <v>26</v>
      </c>
      <c r="B36" s="85" t="s">
        <v>632</v>
      </c>
      <c r="C36" s="130" t="s">
        <v>1036</v>
      </c>
      <c r="D36" s="86">
        <v>1275000</v>
      </c>
    </row>
    <row r="37" spans="1:4" ht="15">
      <c r="A37" s="83">
        <v>27</v>
      </c>
      <c r="B37" s="85" t="s">
        <v>632</v>
      </c>
      <c r="C37" s="130" t="s">
        <v>1037</v>
      </c>
      <c r="D37" s="86">
        <v>4214000</v>
      </c>
    </row>
    <row r="38" spans="1:4" ht="15">
      <c r="A38" s="83">
        <v>28</v>
      </c>
      <c r="B38" s="85" t="s">
        <v>632</v>
      </c>
      <c r="C38" s="130" t="s">
        <v>1039</v>
      </c>
      <c r="D38" s="154">
        <v>-112000</v>
      </c>
    </row>
    <row r="39" spans="1:4" ht="15">
      <c r="A39" s="83">
        <v>29</v>
      </c>
      <c r="B39" s="85" t="s">
        <v>632</v>
      </c>
      <c r="C39" s="130" t="s">
        <v>1109</v>
      </c>
      <c r="D39" s="154">
        <v>-2300000</v>
      </c>
    </row>
    <row r="40" spans="1:4" ht="15">
      <c r="A40" s="83">
        <v>30</v>
      </c>
      <c r="B40" s="85" t="s">
        <v>632</v>
      </c>
      <c r="C40" s="130" t="s">
        <v>1110</v>
      </c>
      <c r="D40" s="154">
        <v>-619583</v>
      </c>
    </row>
    <row r="41" spans="1:4" ht="15">
      <c r="A41" s="83">
        <v>31</v>
      </c>
      <c r="B41" s="85" t="s">
        <v>632</v>
      </c>
      <c r="C41" s="130" t="s">
        <v>1108</v>
      </c>
      <c r="D41" s="154">
        <v>-2645063</v>
      </c>
    </row>
    <row r="42" spans="1:4" ht="15">
      <c r="A42" s="83">
        <v>32</v>
      </c>
      <c r="B42" s="85" t="s">
        <v>632</v>
      </c>
      <c r="C42" s="130" t="s">
        <v>1145</v>
      </c>
      <c r="D42" s="154">
        <v>-21000</v>
      </c>
    </row>
    <row r="43" spans="1:4" ht="15">
      <c r="A43" s="83">
        <v>33</v>
      </c>
      <c r="B43" s="85" t="s">
        <v>632</v>
      </c>
      <c r="C43" s="130" t="s">
        <v>1147</v>
      </c>
      <c r="D43" s="154">
        <v>-13000</v>
      </c>
    </row>
    <row r="44" spans="1:4" ht="15">
      <c r="A44" s="83">
        <v>34</v>
      </c>
      <c r="B44" s="85" t="s">
        <v>632</v>
      </c>
      <c r="C44" s="130" t="s">
        <v>1149</v>
      </c>
      <c r="D44" s="154">
        <v>-39000</v>
      </c>
    </row>
    <row r="45" spans="1:4" ht="15">
      <c r="A45" s="83">
        <v>35</v>
      </c>
      <c r="B45" s="85" t="s">
        <v>632</v>
      </c>
      <c r="C45" s="80" t="s">
        <v>1175</v>
      </c>
      <c r="D45" s="154">
        <v>-1331282</v>
      </c>
    </row>
    <row r="46" spans="1:4" s="45" customFormat="1" ht="15.75" customHeight="1">
      <c r="A46" s="83">
        <v>36</v>
      </c>
      <c r="B46" s="47" t="s">
        <v>540</v>
      </c>
      <c r="C46" s="47"/>
      <c r="D46" s="87">
        <f>SUM(D32:D45)</f>
        <v>0</v>
      </c>
    </row>
    <row r="47" spans="1:4" s="45" customFormat="1" ht="7.5" customHeight="1">
      <c r="A47" s="89"/>
      <c r="B47" s="88"/>
      <c r="C47" s="88"/>
      <c r="D47" s="155"/>
    </row>
    <row r="48" spans="1:4" s="45" customFormat="1" ht="25.5" customHeight="1">
      <c r="A48" s="83">
        <v>37</v>
      </c>
      <c r="B48" s="47" t="s">
        <v>1025</v>
      </c>
      <c r="C48" s="46"/>
      <c r="D48" s="90"/>
    </row>
    <row r="49" spans="1:4" ht="15">
      <c r="A49" s="83">
        <v>38</v>
      </c>
      <c r="B49" s="85" t="s">
        <v>632</v>
      </c>
      <c r="C49" s="80" t="s">
        <v>1026</v>
      </c>
      <c r="D49" s="86">
        <v>97040048</v>
      </c>
    </row>
    <row r="50" spans="1:4" ht="15">
      <c r="A50" s="83">
        <v>39</v>
      </c>
      <c r="B50" s="85" t="s">
        <v>632</v>
      </c>
      <c r="C50" s="130" t="s">
        <v>1027</v>
      </c>
      <c r="D50" s="154">
        <v>-65868454</v>
      </c>
    </row>
    <row r="51" spans="1:4" ht="15">
      <c r="A51" s="83">
        <v>40</v>
      </c>
      <c r="B51" s="85" t="s">
        <v>632</v>
      </c>
      <c r="C51" s="130" t="s">
        <v>1034</v>
      </c>
      <c r="D51" s="154">
        <v>-513963</v>
      </c>
    </row>
    <row r="52" spans="1:4" ht="16.5" customHeight="1">
      <c r="A52" s="83">
        <v>41</v>
      </c>
      <c r="B52" s="85" t="s">
        <v>632</v>
      </c>
      <c r="C52" s="130" t="s">
        <v>1035</v>
      </c>
      <c r="D52" s="159">
        <v>-200000</v>
      </c>
    </row>
    <row r="53" spans="1:4" ht="15">
      <c r="A53" s="83">
        <v>42</v>
      </c>
      <c r="B53" s="85" t="s">
        <v>632</v>
      </c>
      <c r="C53" s="797" t="s">
        <v>1144</v>
      </c>
      <c r="D53" s="159">
        <v>-6460000</v>
      </c>
    </row>
    <row r="54" spans="1:4" ht="15">
      <c r="A54" s="83">
        <v>43</v>
      </c>
      <c r="B54" s="85" t="s">
        <v>632</v>
      </c>
      <c r="C54" s="130" t="s">
        <v>1146</v>
      </c>
      <c r="D54" s="159">
        <v>-15000000</v>
      </c>
    </row>
    <row r="55" spans="1:4" ht="15">
      <c r="A55" s="83">
        <v>44</v>
      </c>
      <c r="B55" s="85" t="s">
        <v>632</v>
      </c>
      <c r="C55" s="80" t="s">
        <v>1174</v>
      </c>
      <c r="D55" s="154">
        <v>-8997631</v>
      </c>
    </row>
    <row r="56" spans="1:4" s="45" customFormat="1" ht="15.75" customHeight="1">
      <c r="A56" s="83">
        <v>45</v>
      </c>
      <c r="B56" s="47" t="s">
        <v>540</v>
      </c>
      <c r="C56" s="47"/>
      <c r="D56" s="155">
        <f>SUM(D49:D55)</f>
        <v>0</v>
      </c>
    </row>
    <row r="57" spans="1:4" s="45" customFormat="1" ht="9" customHeight="1">
      <c r="A57" s="89"/>
      <c r="B57" s="88"/>
      <c r="C57" s="88"/>
      <c r="D57" s="155"/>
    </row>
    <row r="58" spans="1:4" s="45" customFormat="1" ht="25.5" customHeight="1">
      <c r="A58" s="83">
        <v>46</v>
      </c>
      <c r="B58" s="47" t="s">
        <v>1032</v>
      </c>
      <c r="C58" s="46"/>
      <c r="D58" s="90"/>
    </row>
    <row r="59" spans="1:4" ht="15">
      <c r="A59" s="83">
        <v>47</v>
      </c>
      <c r="B59" s="85" t="s">
        <v>632</v>
      </c>
      <c r="C59" s="80" t="s">
        <v>1033</v>
      </c>
      <c r="D59" s="86">
        <v>3902804</v>
      </c>
    </row>
    <row r="60" spans="1:4" ht="15">
      <c r="A60" s="83">
        <v>48</v>
      </c>
      <c r="B60" s="85" t="s">
        <v>632</v>
      </c>
      <c r="C60" s="80" t="s">
        <v>1148</v>
      </c>
      <c r="D60" s="159">
        <v>-3902804</v>
      </c>
    </row>
    <row r="61" spans="1:4" s="45" customFormat="1" ht="15.75" customHeight="1">
      <c r="A61" s="83">
        <v>49</v>
      </c>
      <c r="B61" s="47" t="s">
        <v>540</v>
      </c>
      <c r="C61" s="47"/>
      <c r="D61" s="155">
        <f>SUM(D59:D60)</f>
        <v>0</v>
      </c>
    </row>
    <row r="62" spans="1:4" s="45" customFormat="1" ht="7.5" customHeight="1">
      <c r="A62" s="89"/>
      <c r="B62" s="88"/>
      <c r="C62" s="88"/>
      <c r="D62" s="90"/>
    </row>
    <row r="63" spans="1:4" s="167" customFormat="1" ht="15.75" customHeight="1">
      <c r="A63" s="164">
        <v>50</v>
      </c>
      <c r="B63" s="165" t="s">
        <v>566</v>
      </c>
      <c r="C63" s="165"/>
      <c r="D63" s="166">
        <f>SUM(D12+D29+D46+D56+D61)</f>
        <v>0</v>
      </c>
    </row>
    <row r="64" spans="1:4" s="45" customFormat="1" ht="8.25" customHeight="1">
      <c r="A64" s="89"/>
      <c r="B64" s="88"/>
      <c r="C64" s="88"/>
      <c r="D64" s="90"/>
    </row>
    <row r="65" spans="1:4" s="45" customFormat="1" ht="25.5" customHeight="1">
      <c r="A65" s="83">
        <v>51</v>
      </c>
      <c r="B65" s="1082" t="s">
        <v>547</v>
      </c>
      <c r="C65" s="1082"/>
      <c r="D65" s="1082"/>
    </row>
    <row r="66" spans="1:4" s="45" customFormat="1" ht="36.75" customHeight="1">
      <c r="A66" s="83">
        <v>52</v>
      </c>
      <c r="B66" s="85" t="s">
        <v>632</v>
      </c>
      <c r="C66" s="80" t="s">
        <v>866</v>
      </c>
      <c r="D66" s="86">
        <v>329000</v>
      </c>
    </row>
    <row r="67" spans="1:4" s="45" customFormat="1" ht="18" customHeight="1">
      <c r="A67" s="83">
        <v>53</v>
      </c>
      <c r="B67" s="85" t="s">
        <v>632</v>
      </c>
      <c r="C67" s="80" t="s">
        <v>1030</v>
      </c>
      <c r="D67" s="86">
        <v>4260000</v>
      </c>
    </row>
    <row r="68" spans="1:4" s="157" customFormat="1" ht="15">
      <c r="A68" s="156">
        <v>54</v>
      </c>
      <c r="B68" s="1078" t="s">
        <v>540</v>
      </c>
      <c r="C68" s="1079"/>
      <c r="D68" s="158">
        <f>SUM(D66:D67)</f>
        <v>4589000</v>
      </c>
    </row>
    <row r="69" spans="1:4" s="45" customFormat="1" ht="19.5" customHeight="1">
      <c r="A69" s="83">
        <v>55</v>
      </c>
      <c r="B69" s="85" t="s">
        <v>632</v>
      </c>
      <c r="C69" s="80" t="s">
        <v>1022</v>
      </c>
      <c r="D69" s="86">
        <v>40540000</v>
      </c>
    </row>
    <row r="70" spans="1:4" s="45" customFormat="1" ht="24.75" customHeight="1">
      <c r="A70" s="83">
        <v>56</v>
      </c>
      <c r="B70" s="85" t="s">
        <v>632</v>
      </c>
      <c r="C70" s="80" t="s">
        <v>1021</v>
      </c>
      <c r="D70" s="154">
        <v>-40540000</v>
      </c>
    </row>
    <row r="71" spans="1:4" s="157" customFormat="1" ht="15">
      <c r="A71" s="156">
        <v>57</v>
      </c>
      <c r="B71" s="1078" t="s">
        <v>540</v>
      </c>
      <c r="C71" s="1079"/>
      <c r="D71" s="158">
        <f>SUM(D69:D70)</f>
        <v>0</v>
      </c>
    </row>
    <row r="72" spans="1:4" ht="15.75" customHeight="1">
      <c r="A72" s="83">
        <v>58</v>
      </c>
      <c r="B72" s="47" t="s">
        <v>540</v>
      </c>
      <c r="C72" s="47"/>
      <c r="D72" s="87">
        <f>SUM(D68+D71)</f>
        <v>4589000</v>
      </c>
    </row>
    <row r="73" spans="1:4" s="45" customFormat="1" ht="6.75" customHeight="1">
      <c r="A73" s="83"/>
      <c r="B73" s="85"/>
      <c r="C73" s="80"/>
      <c r="D73" s="86"/>
    </row>
    <row r="74" spans="1:4" s="167" customFormat="1" ht="15.75" customHeight="1">
      <c r="A74" s="164">
        <v>59</v>
      </c>
      <c r="B74" s="165" t="s">
        <v>567</v>
      </c>
      <c r="C74" s="165"/>
      <c r="D74" s="166">
        <f>SUM(D72)</f>
        <v>4589000</v>
      </c>
    </row>
    <row r="75" spans="1:4" s="45" customFormat="1" ht="6.75" customHeight="1">
      <c r="A75" s="89"/>
      <c r="B75" s="88"/>
      <c r="C75" s="88"/>
      <c r="D75" s="90"/>
    </row>
    <row r="76" spans="1:4" s="163" customFormat="1" ht="15.75" customHeight="1">
      <c r="A76" s="160">
        <v>60</v>
      </c>
      <c r="B76" s="161" t="s">
        <v>565</v>
      </c>
      <c r="C76" s="161"/>
      <c r="D76" s="162">
        <f>SUM(D74,D63)</f>
        <v>4589000</v>
      </c>
    </row>
  </sheetData>
  <sheetProtection/>
  <mergeCells count="13">
    <mergeCell ref="C1:D1"/>
    <mergeCell ref="B3:D3"/>
    <mergeCell ref="B7:C7"/>
    <mergeCell ref="B4:D4"/>
    <mergeCell ref="B8:C8"/>
    <mergeCell ref="B28:C28"/>
    <mergeCell ref="B71:C71"/>
    <mergeCell ref="B22:C22"/>
    <mergeCell ref="B18:C18"/>
    <mergeCell ref="B68:C68"/>
    <mergeCell ref="A7:A8"/>
    <mergeCell ref="B65:D65"/>
    <mergeCell ref="B14:D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2016-11-25T07:46:44Z</cp:lastPrinted>
  <dcterms:created xsi:type="dcterms:W3CDTF">2001-11-30T10:27:10Z</dcterms:created>
  <dcterms:modified xsi:type="dcterms:W3CDTF">2016-11-25T07:46:48Z</dcterms:modified>
  <cp:category/>
  <cp:version/>
  <cp:contentType/>
  <cp:contentStatus/>
</cp:coreProperties>
</file>