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0" yWindow="0" windowWidth="17020" windowHeight="9140" firstSheet="13" activeTab="18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" sheetId="34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-2 mell.össz" sheetId="36" r:id="rId12"/>
    <sheet name="10.sz.mell" sheetId="17" r:id="rId13"/>
    <sheet name="10.1.sz.mell" sheetId="21" r:id="rId14"/>
    <sheet name="10.2.sz.mell" sheetId="19" r:id="rId15"/>
    <sheet name="11.sz.mell" sheetId="18" r:id="rId16"/>
    <sheet name="11.1.sz.mell" sheetId="22" r:id="rId17"/>
    <sheet name="11.2.sz.mell" sheetId="20" r:id="rId18"/>
    <sheet name="12.sz.mell" sheetId="23" r:id="rId19"/>
    <sheet name="13.sz.mell" sheetId="26" r:id="rId20"/>
    <sheet name="14.sz.mell" sheetId="29" r:id="rId21"/>
    <sheet name="15.sz.mell" sheetId="25" r:id="rId22"/>
    <sheet name="16.sz.mell" sheetId="28" r:id="rId23"/>
    <sheet name="17.sz.mell" sheetId="24" r:id="rId24"/>
    <sheet name="18.sz.mell" sheetId="30" r:id="rId25"/>
    <sheet name="19. sz.mell" sheetId="31" r:id="rId26"/>
    <sheet name="Munka1" sheetId="35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1Excel_BuiltIn_Print_Area_1_1" localSheetId="13">#REF!</definedName>
    <definedName name="_1Excel_BuiltIn_Print_Area_1_1" localSheetId="14">#REF!</definedName>
    <definedName name="_1Excel_BuiltIn_Print_Area_1_1" localSheetId="16">#REF!</definedName>
    <definedName name="_1Excel_BuiltIn_Print_Area_1_1" localSheetId="17">#REF!</definedName>
    <definedName name="_1Excel_BuiltIn_Print_Area_1_1" localSheetId="15">#REF!</definedName>
    <definedName name="_1Excel_BuiltIn_Print_Area_1_1" localSheetId="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3">#REF!,#REF!</definedName>
    <definedName name="Állami" localSheetId="14">#REF!,#REF!</definedName>
    <definedName name="Állami" localSheetId="16">#REF!,#REF!</definedName>
    <definedName name="Állami" localSheetId="17">#REF!,#REF!</definedName>
    <definedName name="Állami" localSheetId="15">#REF!,#REF!</definedName>
    <definedName name="Állami" localSheetId="5">#REF!,#REF!</definedName>
    <definedName name="Állami" localSheetId="10">#REF!,#REF!</definedName>
    <definedName name="Állami">#REF!,#REF!</definedName>
    <definedName name="anyád" localSheetId="13">#REF!</definedName>
    <definedName name="anyád" localSheetId="14">#REF!</definedName>
    <definedName name="anyád" localSheetId="16">#REF!</definedName>
    <definedName name="anyád" localSheetId="17">#REF!</definedName>
    <definedName name="anyád" localSheetId="15">#REF!</definedName>
    <definedName name="anyád" localSheetId="5">#REF!</definedName>
    <definedName name="anyád" localSheetId="10">#REF!</definedName>
    <definedName name="anyád">#REF!</definedName>
    <definedName name="apád" localSheetId="13">#REF!</definedName>
    <definedName name="apád" localSheetId="14">#REF!</definedName>
    <definedName name="apád" localSheetId="16">#REF!</definedName>
    <definedName name="apád" localSheetId="17">#REF!</definedName>
    <definedName name="apád" localSheetId="15">#REF!</definedName>
    <definedName name="apád" localSheetId="5">#REF!</definedName>
    <definedName name="apád" localSheetId="10">#REF!</definedName>
    <definedName name="apád">#REF!</definedName>
    <definedName name="b" localSheetId="13">#REF!</definedName>
    <definedName name="b" localSheetId="14">#REF!</definedName>
    <definedName name="b" localSheetId="16">#REF!</definedName>
    <definedName name="b" localSheetId="17">#REF!</definedName>
    <definedName name="b" localSheetId="15">#REF!</definedName>
    <definedName name="b" localSheetId="5">#REF!</definedName>
    <definedName name="b" localSheetId="10">#REF!</definedName>
    <definedName name="b">#REF!</definedName>
    <definedName name="bbbbbb" localSheetId="13">#REF!</definedName>
    <definedName name="bbbbbb" localSheetId="14">#REF!</definedName>
    <definedName name="bbbbbb" localSheetId="16">#REF!</definedName>
    <definedName name="bbbbbb" localSheetId="17">#REF!</definedName>
    <definedName name="bbbbbb" localSheetId="15">#REF!</definedName>
    <definedName name="bbbbbb" localSheetId="5">#REF!</definedName>
    <definedName name="bbbbbb" localSheetId="10">#REF!</definedName>
    <definedName name="bbbbbb">#REF!</definedName>
    <definedName name="bbbbbbbbbbbbbbbbbb" localSheetId="13">#REF!</definedName>
    <definedName name="bbbbbbbbbbbbbbbbbb" localSheetId="14">#REF!</definedName>
    <definedName name="bbbbbbbbbbbbbbbbbb" localSheetId="16">#REF!</definedName>
    <definedName name="bbbbbbbbbbbbbbbbbb" localSheetId="17">#REF!</definedName>
    <definedName name="bbbbbbbbbbbbbbbbbb" localSheetId="15">#REF!</definedName>
    <definedName name="bbbbbbbbbbbbbbbbbb" localSheetId="5">#REF!</definedName>
    <definedName name="bbbbbbbbbbbbbbbbbb" localSheetId="10">#REF!</definedName>
    <definedName name="bbbbbbbbbbbbbbbbbb">#REF!</definedName>
    <definedName name="bhgtz" localSheetId="13">#REF!</definedName>
    <definedName name="bhgtz" localSheetId="14">#REF!</definedName>
    <definedName name="bhgtz" localSheetId="16">#REF!</definedName>
    <definedName name="bhgtz" localSheetId="17">#REF!</definedName>
    <definedName name="bhgtz" localSheetId="15">#REF!</definedName>
    <definedName name="bhgtz" localSheetId="5">#REF!</definedName>
    <definedName name="bhgtz" localSheetId="10">#REF!</definedName>
    <definedName name="bhgtz">#REF!</definedName>
    <definedName name="cccc" localSheetId="13">#REF!</definedName>
    <definedName name="cccc" localSheetId="14">#REF!</definedName>
    <definedName name="cccc" localSheetId="16">#REF!</definedName>
    <definedName name="cccc" localSheetId="17">#REF!</definedName>
    <definedName name="cccc" localSheetId="15">#REF!</definedName>
    <definedName name="cccc" localSheetId="5">#REF!</definedName>
    <definedName name="cccc" localSheetId="10">#REF!</definedName>
    <definedName name="cccc">#REF!</definedName>
    <definedName name="css" localSheetId="13">#REF!</definedName>
    <definedName name="css" localSheetId="14">#REF!</definedName>
    <definedName name="css" localSheetId="16">#REF!</definedName>
    <definedName name="css" localSheetId="17">#REF!</definedName>
    <definedName name="css" localSheetId="15">#REF!</definedName>
    <definedName name="css" localSheetId="5">#REF!</definedName>
    <definedName name="css" localSheetId="10">#REF!</definedName>
    <definedName name="css">#REF!</definedName>
    <definedName name="css_k">[2]Családsegítés!$C$27:$C$86</definedName>
    <definedName name="css_k_" localSheetId="13">#REF!</definedName>
    <definedName name="css_k_" localSheetId="14">#REF!</definedName>
    <definedName name="css_k_" localSheetId="16">#REF!</definedName>
    <definedName name="css_k_" localSheetId="17">#REF!</definedName>
    <definedName name="css_k_" localSheetId="15">#REF!</definedName>
    <definedName name="css_k_" localSheetId="5">#REF!</definedName>
    <definedName name="css_k_" localSheetId="10">#REF!</definedName>
    <definedName name="css_k_">#REF!</definedName>
    <definedName name="dddd" localSheetId="13">#REF!</definedName>
    <definedName name="dddd" localSheetId="14">#REF!</definedName>
    <definedName name="dddd" localSheetId="16">#REF!</definedName>
    <definedName name="dddd" localSheetId="17">#REF!</definedName>
    <definedName name="dddd" localSheetId="15">#REF!</definedName>
    <definedName name="dddd" localSheetId="5">#REF!</definedName>
    <definedName name="dddd" localSheetId="10">#REF!</definedName>
    <definedName name="dddd">#REF!</definedName>
    <definedName name="ddddd" localSheetId="13">#REF!,#REF!</definedName>
    <definedName name="ddddd" localSheetId="14">#REF!,#REF!</definedName>
    <definedName name="ddddd" localSheetId="16">#REF!,#REF!</definedName>
    <definedName name="ddddd" localSheetId="17">#REF!,#REF!</definedName>
    <definedName name="ddddd" localSheetId="15">#REF!,#REF!</definedName>
    <definedName name="ddddd" localSheetId="5">#REF!,#REF!</definedName>
    <definedName name="ddddd" localSheetId="10">#REF!,#REF!</definedName>
    <definedName name="ddddd">#REF!,#REF!</definedName>
    <definedName name="dddddd" localSheetId="13">#REF!</definedName>
    <definedName name="dddddd" localSheetId="14">#REF!</definedName>
    <definedName name="dddddd" localSheetId="16">#REF!</definedName>
    <definedName name="dddddd" localSheetId="17">#REF!</definedName>
    <definedName name="dddddd" localSheetId="15">#REF!</definedName>
    <definedName name="dddddd" localSheetId="5">#REF!</definedName>
    <definedName name="dddddd" localSheetId="10">#REF!</definedName>
    <definedName name="dddddd">#REF!</definedName>
    <definedName name="ddddddd" localSheetId="13">#REF!</definedName>
    <definedName name="ddddddd" localSheetId="14">#REF!</definedName>
    <definedName name="ddddddd" localSheetId="16">#REF!</definedName>
    <definedName name="ddddddd" localSheetId="17">#REF!</definedName>
    <definedName name="ddddddd" localSheetId="15">#REF!</definedName>
    <definedName name="ddddddd" localSheetId="5">#REF!</definedName>
    <definedName name="ddddddd" localSheetId="10">#REF!</definedName>
    <definedName name="ddddddd">#REF!</definedName>
    <definedName name="dfghhhhhjjdjertje" localSheetId="13">#REF!,#REF!</definedName>
    <definedName name="dfghhhhhjjdjertje" localSheetId="14">#REF!,#REF!</definedName>
    <definedName name="dfghhhhhjjdjertje" localSheetId="16">#REF!,#REF!</definedName>
    <definedName name="dfghhhhhjjdjertje" localSheetId="17">#REF!,#REF!</definedName>
    <definedName name="dfghhhhhjjdjertje" localSheetId="15">#REF!,#REF!</definedName>
    <definedName name="dfghhhhhjjdjertje" localSheetId="5">#REF!,#REF!</definedName>
    <definedName name="dfghhhhhjjdjertje" localSheetId="10">#REF!,#REF!</definedName>
    <definedName name="dfghhhhhjjdjertje">#REF!,#REF!</definedName>
    <definedName name="dsgjsg" localSheetId="13">#REF!</definedName>
    <definedName name="dsgjsg" localSheetId="14">#REF!</definedName>
    <definedName name="dsgjsg" localSheetId="16">#REF!</definedName>
    <definedName name="dsgjsg" localSheetId="17">#REF!</definedName>
    <definedName name="dsgjsg" localSheetId="15">#REF!</definedName>
    <definedName name="dsgjsg" localSheetId="5">#REF!</definedName>
    <definedName name="dsgjsg" localSheetId="10">#REF!</definedName>
    <definedName name="dsgjsg">#REF!</definedName>
    <definedName name="edba" localSheetId="13">#REF!</definedName>
    <definedName name="edba" localSheetId="14">#REF!</definedName>
    <definedName name="edba" localSheetId="16">#REF!</definedName>
    <definedName name="edba" localSheetId="17">#REF!</definedName>
    <definedName name="edba" localSheetId="15">#REF!</definedName>
    <definedName name="edba" localSheetId="5">#REF!</definedName>
    <definedName name="edba" localSheetId="10">#REF!</definedName>
    <definedName name="edba">#REF!</definedName>
    <definedName name="edcvfrtgb" localSheetId="13">#REF!</definedName>
    <definedName name="edcvfrtgb" localSheetId="14">#REF!</definedName>
    <definedName name="edcvfrtgb" localSheetId="16">#REF!</definedName>
    <definedName name="edcvfrtgb" localSheetId="17">#REF!</definedName>
    <definedName name="edcvfrtgb" localSheetId="15">#REF!</definedName>
    <definedName name="edcvfrtgb" localSheetId="5">#REF!</definedName>
    <definedName name="edcvfrtgb" localSheetId="10">#REF!</definedName>
    <definedName name="edcvfrtgb">#REF!</definedName>
    <definedName name="EDSE" localSheetId="13">#REF!</definedName>
    <definedName name="EDSE" localSheetId="14">#REF!</definedName>
    <definedName name="EDSE" localSheetId="16">#REF!</definedName>
    <definedName name="EDSE" localSheetId="17">#REF!</definedName>
    <definedName name="EDSE" localSheetId="15">#REF!</definedName>
    <definedName name="EDSE" localSheetId="5">#REF!</definedName>
    <definedName name="EDSE" localSheetId="10">#REF!</definedName>
    <definedName name="EDSE">#REF!</definedName>
    <definedName name="ee" localSheetId="13">#REF!</definedName>
    <definedName name="ee" localSheetId="14">#REF!</definedName>
    <definedName name="ee" localSheetId="16">#REF!</definedName>
    <definedName name="ee" localSheetId="17">#REF!</definedName>
    <definedName name="ee" localSheetId="15">#REF!</definedName>
    <definedName name="ee" localSheetId="5">#REF!</definedName>
    <definedName name="ee" localSheetId="10">#REF!</definedName>
    <definedName name="ee">#REF!</definedName>
    <definedName name="eee" localSheetId="13">#REF!</definedName>
    <definedName name="eee" localSheetId="14">#REF!</definedName>
    <definedName name="eee" localSheetId="16">#REF!</definedName>
    <definedName name="eee" localSheetId="17">#REF!</definedName>
    <definedName name="eee" localSheetId="15">#REF!</definedName>
    <definedName name="eee" localSheetId="5">#REF!</definedName>
    <definedName name="eee" localSheetId="10">#REF!</definedName>
    <definedName name="eee">#REF!</definedName>
    <definedName name="ééééééééé" localSheetId="13">#REF!</definedName>
    <definedName name="ééééééééé" localSheetId="14">#REF!</definedName>
    <definedName name="ééééééééé" localSheetId="16">#REF!</definedName>
    <definedName name="ééééééééé" localSheetId="17">#REF!</definedName>
    <definedName name="ééééééééé" localSheetId="15">#REF!</definedName>
    <definedName name="ééééééééé" localSheetId="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3">#REF!</definedName>
    <definedName name="eus" localSheetId="14">#REF!</definedName>
    <definedName name="eus" localSheetId="16">#REF!</definedName>
    <definedName name="eus" localSheetId="17">#REF!</definedName>
    <definedName name="eus" localSheetId="15">#REF!</definedName>
    <definedName name="eus" localSheetId="5">#REF!</definedName>
    <definedName name="eus" localSheetId="10">#REF!</definedName>
    <definedName name="eus">#REF!</definedName>
    <definedName name="excel" localSheetId="13">#REF!,#REF!</definedName>
    <definedName name="excel" localSheetId="14">#REF!,#REF!</definedName>
    <definedName name="excel" localSheetId="16">#REF!,#REF!</definedName>
    <definedName name="excel" localSheetId="17">#REF!,#REF!</definedName>
    <definedName name="excel" localSheetId="15">#REF!,#REF!</definedName>
    <definedName name="excel" localSheetId="5">#REF!,#REF!</definedName>
    <definedName name="excel" localSheetId="10">#REF!,#REF!</definedName>
    <definedName name="excel">#REF!,#REF!</definedName>
    <definedName name="Excel_BuiltIn_Print_Area_1" localSheetId="13">#REF!</definedName>
    <definedName name="Excel_BuiltIn_Print_Area_1" localSheetId="14">#REF!</definedName>
    <definedName name="Excel_BuiltIn_Print_Area_1" localSheetId="16">#REF!</definedName>
    <definedName name="Excel_BuiltIn_Print_Area_1" localSheetId="17">#REF!</definedName>
    <definedName name="Excel_BuiltIn_Print_Area_1" localSheetId="15">#REF!</definedName>
    <definedName name="Excel_BuiltIn_Print_Area_1" localSheetId="5">#REF!</definedName>
    <definedName name="Excel_BuiltIn_Print_Area_1" localSheetId="10">#REF!</definedName>
    <definedName name="Excel_BuiltIn_Print_Area_1">#REF!</definedName>
    <definedName name="Excel_BuiltIn_Print_Titles_26" localSheetId="13">#REF!,#REF!</definedName>
    <definedName name="Excel_BuiltIn_Print_Titles_26" localSheetId="14">#REF!,#REF!</definedName>
    <definedName name="Excel_BuiltIn_Print_Titles_26" localSheetId="16">#REF!,#REF!</definedName>
    <definedName name="Excel_BuiltIn_Print_Titles_26" localSheetId="17">#REF!,#REF!</definedName>
    <definedName name="Excel_BuiltIn_Print_Titles_26" localSheetId="15">#REF!,#REF!</definedName>
    <definedName name="Excel_BuiltIn_Print_Titles_26" localSheetId="5">#REF!,#REF!</definedName>
    <definedName name="Excel_BuiltIn_Print_Titles_26" localSheetId="10">#REF!,#REF!</definedName>
    <definedName name="Excel_BuiltIn_Print_Titles_26">#REF!,#REF!</definedName>
    <definedName name="ff" localSheetId="13">#REF!</definedName>
    <definedName name="ff" localSheetId="14">#REF!</definedName>
    <definedName name="ff" localSheetId="16">#REF!</definedName>
    <definedName name="ff" localSheetId="17">#REF!</definedName>
    <definedName name="ff" localSheetId="15">#REF!</definedName>
    <definedName name="ff" localSheetId="5">#REF!</definedName>
    <definedName name="ff" localSheetId="10">#REF!</definedName>
    <definedName name="ff">#REF!</definedName>
    <definedName name="ffd" localSheetId="13">#REF!,#REF!</definedName>
    <definedName name="ffd" localSheetId="14">#REF!,#REF!</definedName>
    <definedName name="ffd" localSheetId="16">#REF!,#REF!</definedName>
    <definedName name="ffd" localSheetId="17">#REF!,#REF!</definedName>
    <definedName name="ffd" localSheetId="15">#REF!,#REF!</definedName>
    <definedName name="ffd" localSheetId="5">#REF!,#REF!</definedName>
    <definedName name="ffd" localSheetId="10">#REF!,#REF!</definedName>
    <definedName name="ffd">#REF!,#REF!</definedName>
    <definedName name="ffféé">[1]Háttéradatok!$C$29:$AG$32</definedName>
    <definedName name="ffff" localSheetId="13">#REF!</definedName>
    <definedName name="ffff" localSheetId="14">#REF!</definedName>
    <definedName name="ffff" localSheetId="16">#REF!</definedName>
    <definedName name="ffff" localSheetId="17">#REF!</definedName>
    <definedName name="ffff" localSheetId="15">#REF!</definedName>
    <definedName name="ffff" localSheetId="5">#REF!</definedName>
    <definedName name="ffff" localSheetId="10">#REF!</definedName>
    <definedName name="ffff">#REF!</definedName>
    <definedName name="fffff">[1]Háttéradatok!$C$29:$AG$32</definedName>
    <definedName name="fghigh_jifj" localSheetId="13">#REF!,#REF!</definedName>
    <definedName name="fghigh_jifj" localSheetId="14">#REF!,#REF!</definedName>
    <definedName name="fghigh_jifj" localSheetId="16">#REF!,#REF!</definedName>
    <definedName name="fghigh_jifj" localSheetId="17">#REF!,#REF!</definedName>
    <definedName name="fghigh_jifj" localSheetId="15">#REF!,#REF!</definedName>
    <definedName name="fghigh_jifj" localSheetId="5">#REF!,#REF!</definedName>
    <definedName name="fghigh_jifj" localSheetId="10">#REF!,#REF!</definedName>
    <definedName name="fghigh_jifj">#REF!,#REF!</definedName>
    <definedName name="Fiumei" localSheetId="13">#REF!</definedName>
    <definedName name="Fiumei" localSheetId="14">#REF!</definedName>
    <definedName name="Fiumei" localSheetId="16">#REF!</definedName>
    <definedName name="Fiumei" localSheetId="17">#REF!</definedName>
    <definedName name="Fiumei" localSheetId="15">#REF!</definedName>
    <definedName name="Fiumei" localSheetId="5">#REF!</definedName>
    <definedName name="Fiumei" localSheetId="10">#REF!</definedName>
    <definedName name="Fiumei">#REF!</definedName>
    <definedName name="fjkfjkdhdhdghdghj" localSheetId="13">#REF!,#REF!</definedName>
    <definedName name="fjkfjkdhdhdghdghj" localSheetId="14">#REF!,#REF!</definedName>
    <definedName name="fjkfjkdhdhdghdghj" localSheetId="16">#REF!,#REF!</definedName>
    <definedName name="fjkfjkdhdhdghdghj" localSheetId="17">#REF!,#REF!</definedName>
    <definedName name="fjkfjkdhdhdghdghj" localSheetId="15">#REF!,#REF!</definedName>
    <definedName name="fjkfjkdhdhdghdghj" localSheetId="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3">#REF!</definedName>
    <definedName name="gaga" localSheetId="14">#REF!</definedName>
    <definedName name="gaga" localSheetId="16">#REF!</definedName>
    <definedName name="gaga" localSheetId="17">#REF!</definedName>
    <definedName name="gaga" localSheetId="15">#REF!</definedName>
    <definedName name="gaga" localSheetId="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3">#REF!,#REF!</definedName>
    <definedName name="ggg" localSheetId="14">#REF!,#REF!</definedName>
    <definedName name="ggg" localSheetId="16">#REF!,#REF!</definedName>
    <definedName name="ggg" localSheetId="17">#REF!,#REF!</definedName>
    <definedName name="ggg" localSheetId="15">#REF!,#REF!</definedName>
    <definedName name="ggg" localSheetId="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3">#REF!,#REF!</definedName>
    <definedName name="ggggggggggggggg" localSheetId="14">#REF!,#REF!</definedName>
    <definedName name="ggggggggggggggg" localSheetId="16">#REF!,#REF!</definedName>
    <definedName name="ggggggggggggggg" localSheetId="17">#REF!,#REF!</definedName>
    <definedName name="ggggggggggggggg" localSheetId="15">#REF!,#REF!</definedName>
    <definedName name="ggggggggggggggg" localSheetId="5">#REF!,#REF!</definedName>
    <definedName name="ggggggggggggggg" localSheetId="10">#REF!,#REF!</definedName>
    <definedName name="ggggggggggggggg">#REF!,#REF!</definedName>
    <definedName name="gh" localSheetId="13">#REF!</definedName>
    <definedName name="gh" localSheetId="14">#REF!</definedName>
    <definedName name="gh" localSheetId="16">#REF!</definedName>
    <definedName name="gh" localSheetId="17">#REF!</definedName>
    <definedName name="gh" localSheetId="15">#REF!</definedName>
    <definedName name="gh" localSheetId="5">#REF!</definedName>
    <definedName name="gh" localSheetId="10">#REF!</definedName>
    <definedName name="gh">#REF!</definedName>
    <definedName name="gyj" localSheetId="13">#REF!</definedName>
    <definedName name="gyj" localSheetId="14">#REF!</definedName>
    <definedName name="gyj" localSheetId="16">#REF!</definedName>
    <definedName name="gyj" localSheetId="17">#REF!</definedName>
    <definedName name="gyj" localSheetId="15">#REF!</definedName>
    <definedName name="gyj" localSheetId="5">#REF!</definedName>
    <definedName name="gyj" localSheetId="10">#REF!</definedName>
    <definedName name="gyj">#REF!</definedName>
    <definedName name="gyj_k">[2]Gyermekjóléti!$C$27:$C$86</definedName>
    <definedName name="gyj_k_" localSheetId="13">#REF!</definedName>
    <definedName name="gyj_k_" localSheetId="14">#REF!</definedName>
    <definedName name="gyj_k_" localSheetId="16">#REF!</definedName>
    <definedName name="gyj_k_" localSheetId="17">#REF!</definedName>
    <definedName name="gyj_k_" localSheetId="15">#REF!</definedName>
    <definedName name="gyj_k_" localSheetId="5">#REF!</definedName>
    <definedName name="gyj_k_" localSheetId="10">#REF!</definedName>
    <definedName name="gyj_k_">#REF!</definedName>
    <definedName name="gyjk" localSheetId="13">#REF!</definedName>
    <definedName name="gyjk" localSheetId="14">#REF!</definedName>
    <definedName name="gyjk" localSheetId="16">#REF!</definedName>
    <definedName name="gyjk" localSheetId="17">#REF!</definedName>
    <definedName name="gyjk" localSheetId="15">#REF!</definedName>
    <definedName name="gyjk" localSheetId="5">#REF!</definedName>
    <definedName name="gyjk" localSheetId="10">#REF!</definedName>
    <definedName name="gyjk">#REF!</definedName>
    <definedName name="hh" localSheetId="13">#REF!</definedName>
    <definedName name="hh" localSheetId="14">#REF!</definedName>
    <definedName name="hh" localSheetId="16">#REF!</definedName>
    <definedName name="hh" localSheetId="17">#REF!</definedName>
    <definedName name="hh" localSheetId="15">#REF!</definedName>
    <definedName name="hh" localSheetId="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3">#REF!</definedName>
    <definedName name="jj" localSheetId="14">#REF!</definedName>
    <definedName name="jj" localSheetId="16">#REF!</definedName>
    <definedName name="jj" localSheetId="17">#REF!</definedName>
    <definedName name="jj" localSheetId="15">#REF!</definedName>
    <definedName name="jj" localSheetId="5">#REF!</definedName>
    <definedName name="jj" localSheetId="10">#REF!</definedName>
    <definedName name="jj">#REF!</definedName>
    <definedName name="jjjjj" localSheetId="13">#REF!,#REF!</definedName>
    <definedName name="jjjjj" localSheetId="14">#REF!,#REF!</definedName>
    <definedName name="jjjjj" localSheetId="16">#REF!,#REF!</definedName>
    <definedName name="jjjjj" localSheetId="17">#REF!,#REF!</definedName>
    <definedName name="jjjjj" localSheetId="15">#REF!,#REF!</definedName>
    <definedName name="jjjjj" localSheetId="5">#REF!,#REF!</definedName>
    <definedName name="jjjjj" localSheetId="10">#REF!,#REF!</definedName>
    <definedName name="jjjjj">#REF!,#REF!</definedName>
    <definedName name="jjjjjjjjjjjjjjjjjjjjjj" localSheetId="13">#REF!</definedName>
    <definedName name="jjjjjjjjjjjjjjjjjjjjjj" localSheetId="14">#REF!</definedName>
    <definedName name="jjjjjjjjjjjjjjjjjjjjjj" localSheetId="16">#REF!</definedName>
    <definedName name="jjjjjjjjjjjjjjjjjjjjjj" localSheetId="17">#REF!</definedName>
    <definedName name="jjjjjjjjjjjjjjjjjjjjjj" localSheetId="15">#REF!</definedName>
    <definedName name="jjjjjjjjjjjjjjjjjjjjjj" localSheetId="5">#REF!</definedName>
    <definedName name="jjjjjjjjjjjjjjjjjjjjjj" localSheetId="10">#REF!</definedName>
    <definedName name="jjjjjjjjjjjjjjjjjjjjjj">#REF!</definedName>
    <definedName name="k" localSheetId="13">#REF!</definedName>
    <definedName name="k" localSheetId="14">#REF!</definedName>
    <definedName name="k" localSheetId="16">#REF!</definedName>
    <definedName name="k" localSheetId="17">#REF!</definedName>
    <definedName name="k" localSheetId="15">#REF!</definedName>
    <definedName name="k" localSheetId="5">#REF!</definedName>
    <definedName name="k" localSheetId="10">#REF!</definedName>
    <definedName name="k">#REF!</definedName>
    <definedName name="kill" localSheetId="13">#REF!</definedName>
    <definedName name="kill" localSheetId="14">#REF!</definedName>
    <definedName name="kill" localSheetId="16">#REF!</definedName>
    <definedName name="kill" localSheetId="17">#REF!</definedName>
    <definedName name="kill" localSheetId="15">#REF!</definedName>
    <definedName name="kill" localSheetId="5">#REF!</definedName>
    <definedName name="kill" localSheetId="10">#REF!</definedName>
    <definedName name="kill">#REF!</definedName>
    <definedName name="kiskuta" localSheetId="13">#REF!</definedName>
    <definedName name="kiskuta" localSheetId="14">#REF!</definedName>
    <definedName name="kiskuta" localSheetId="16">#REF!</definedName>
    <definedName name="kiskuta" localSheetId="17">#REF!</definedName>
    <definedName name="kiskuta" localSheetId="15">#REF!</definedName>
    <definedName name="kiskuta" localSheetId="5">#REF!</definedName>
    <definedName name="kiskuta" localSheetId="10">#REF!</definedName>
    <definedName name="kiskuta">#REF!</definedName>
    <definedName name="kistérség" localSheetId="13">#REF!</definedName>
    <definedName name="kistérség" localSheetId="14">#REF!</definedName>
    <definedName name="kistérség" localSheetId="16">#REF!</definedName>
    <definedName name="kistérség" localSheetId="17">#REF!</definedName>
    <definedName name="kistérség" localSheetId="15">#REF!</definedName>
    <definedName name="kistérség" localSheetId="5">#REF!</definedName>
    <definedName name="kistérség" localSheetId="10">#REF!</definedName>
    <definedName name="kistérség">#REF!</definedName>
    <definedName name="kjz" localSheetId="13">#REF!</definedName>
    <definedName name="kjz" localSheetId="14">#REF!</definedName>
    <definedName name="kjz" localSheetId="16">#REF!</definedName>
    <definedName name="kjz" localSheetId="17">#REF!</definedName>
    <definedName name="kjz" localSheetId="15">#REF!</definedName>
    <definedName name="kjz" localSheetId="5">#REF!</definedName>
    <definedName name="kjz" localSheetId="10">#REF!</definedName>
    <definedName name="kjz">#REF!</definedName>
    <definedName name="kjz_k">[2]körjegyzőség!$C$9:$C$28</definedName>
    <definedName name="kjz_k_" localSheetId="13">#REF!</definedName>
    <definedName name="kjz_k_" localSheetId="14">#REF!</definedName>
    <definedName name="kjz_k_" localSheetId="16">#REF!</definedName>
    <definedName name="kjz_k_" localSheetId="17">#REF!</definedName>
    <definedName name="kjz_k_" localSheetId="15">#REF!</definedName>
    <definedName name="kjz_k_" localSheetId="5">#REF!</definedName>
    <definedName name="kjz_k_" localSheetId="10">#REF!</definedName>
    <definedName name="kjz_k_">#REF!</definedName>
    <definedName name="kjz_sz">[9]kd!$Q$2:$Q$3152</definedName>
    <definedName name="klll" localSheetId="13">#REF!</definedName>
    <definedName name="klll" localSheetId="14">#REF!</definedName>
    <definedName name="klll" localSheetId="16">#REF!</definedName>
    <definedName name="klll" localSheetId="17">#REF!</definedName>
    <definedName name="klll" localSheetId="15">#REF!</definedName>
    <definedName name="klll" localSheetId="5">#REF!</definedName>
    <definedName name="klll" localSheetId="10">#REF!</definedName>
    <definedName name="klll">#REF!</definedName>
    <definedName name="Kodály" localSheetId="13">#REF!</definedName>
    <definedName name="Kodály" localSheetId="14">#REF!</definedName>
    <definedName name="Kodály" localSheetId="16">#REF!</definedName>
    <definedName name="Kodály" localSheetId="17">#REF!</definedName>
    <definedName name="Kodály" localSheetId="15">#REF!</definedName>
    <definedName name="Kodály" localSheetId="5">#REF!</definedName>
    <definedName name="Kodály" localSheetId="10">#REF!</definedName>
    <definedName name="Kodály">#REF!</definedName>
    <definedName name="l" localSheetId="13">#REF!</definedName>
    <definedName name="l" localSheetId="14">#REF!</definedName>
    <definedName name="l" localSheetId="16">#REF!</definedName>
    <definedName name="l" localSheetId="17">#REF!</definedName>
    <definedName name="l" localSheetId="15">#REF!</definedName>
    <definedName name="l" localSheetId="5">#REF!</definedName>
    <definedName name="l" localSheetId="10">#REF!</definedName>
    <definedName name="l">#REF!</definedName>
    <definedName name="lkjjghdk" localSheetId="13">#REF!</definedName>
    <definedName name="lkjjghdk" localSheetId="14">#REF!</definedName>
    <definedName name="lkjjghdk" localSheetId="16">#REF!</definedName>
    <definedName name="lkjjghdk" localSheetId="17">#REF!</definedName>
    <definedName name="lkjjghdk" localSheetId="15">#REF!</definedName>
    <definedName name="lkjjghdk" localSheetId="5">#REF!</definedName>
    <definedName name="lkjjghdk" localSheetId="10">#REF!</definedName>
    <definedName name="lkjjghdk">#REF!</definedName>
    <definedName name="llllll" localSheetId="13">#REF!</definedName>
    <definedName name="llllll" localSheetId="14">#REF!</definedName>
    <definedName name="llllll" localSheetId="16">#REF!</definedName>
    <definedName name="llllll" localSheetId="17">#REF!</definedName>
    <definedName name="llllll" localSheetId="15">#REF!</definedName>
    <definedName name="llllll" localSheetId="5">#REF!</definedName>
    <definedName name="llllll" localSheetId="10">#REF!</definedName>
    <definedName name="llllll">#REF!</definedName>
    <definedName name="llllllll" localSheetId="13">#REF!</definedName>
    <definedName name="llllllll" localSheetId="14">#REF!</definedName>
    <definedName name="llllllll" localSheetId="16">#REF!</definedName>
    <definedName name="llllllll" localSheetId="17">#REF!</definedName>
    <definedName name="llllllll" localSheetId="15">#REF!</definedName>
    <definedName name="llllllll" localSheetId="5">#REF!</definedName>
    <definedName name="llllllll" localSheetId="10">#REF!</definedName>
    <definedName name="llllllll">#REF!</definedName>
    <definedName name="lllllllllll" localSheetId="13">#REF!,#REF!</definedName>
    <definedName name="lllllllllll" localSheetId="14">#REF!,#REF!</definedName>
    <definedName name="lllllllllll" localSheetId="16">#REF!,#REF!</definedName>
    <definedName name="lllllllllll" localSheetId="17">#REF!,#REF!</definedName>
    <definedName name="lllllllllll" localSheetId="15">#REF!,#REF!</definedName>
    <definedName name="lllllllllll" localSheetId="5">#REF!,#REF!</definedName>
    <definedName name="lllllllllll" localSheetId="10">#REF!,#REF!</definedName>
    <definedName name="lllllllllll">#REF!,#REF!</definedName>
    <definedName name="llllllllllllllll" localSheetId="13">#REF!</definedName>
    <definedName name="llllllllllllllll" localSheetId="14">#REF!</definedName>
    <definedName name="llllllllllllllll" localSheetId="16">#REF!</definedName>
    <definedName name="llllllllllllllll" localSheetId="17">#REF!</definedName>
    <definedName name="llllllllllllllll" localSheetId="15">#REF!</definedName>
    <definedName name="llllllllllllllll" localSheetId="5">#REF!</definedName>
    <definedName name="llllllllllllllll" localSheetId="10">#REF!</definedName>
    <definedName name="llllllllllllllll">#REF!</definedName>
    <definedName name="m" localSheetId="13">#REF!</definedName>
    <definedName name="m" localSheetId="14">#REF!</definedName>
    <definedName name="m" localSheetId="16">#REF!</definedName>
    <definedName name="m" localSheetId="17">#REF!</definedName>
    <definedName name="m" localSheetId="15">#REF!</definedName>
    <definedName name="m" localSheetId="5">#REF!</definedName>
    <definedName name="m" localSheetId="10">#REF!</definedName>
    <definedName name="m">#REF!</definedName>
    <definedName name="más" localSheetId="13">#REF!,#REF!</definedName>
    <definedName name="más" localSheetId="14">#REF!,#REF!</definedName>
    <definedName name="más" localSheetId="16">#REF!,#REF!</definedName>
    <definedName name="más" localSheetId="17">#REF!,#REF!</definedName>
    <definedName name="más" localSheetId="15">#REF!,#REF!</definedName>
    <definedName name="más" localSheetId="5">#REF!,#REF!</definedName>
    <definedName name="más" localSheetId="10">#REF!,#REF!</definedName>
    <definedName name="más">#REF!,#REF!</definedName>
    <definedName name="másik" localSheetId="13">#REF!,#REF!</definedName>
    <definedName name="másik" localSheetId="14">#REF!,#REF!</definedName>
    <definedName name="másik" localSheetId="16">#REF!,#REF!</definedName>
    <definedName name="másik" localSheetId="17">#REF!,#REF!</definedName>
    <definedName name="másik" localSheetId="15">#REF!,#REF!</definedName>
    <definedName name="másik" localSheetId="5">#REF!,#REF!</definedName>
    <definedName name="másik" localSheetId="10">#REF!,#REF!</definedName>
    <definedName name="másik">#REF!,#REF!</definedName>
    <definedName name="mmm" localSheetId="13">#REF!</definedName>
    <definedName name="mmm" localSheetId="14">#REF!</definedName>
    <definedName name="mmm" localSheetId="16">#REF!</definedName>
    <definedName name="mmm" localSheetId="17">#REF!</definedName>
    <definedName name="mmm" localSheetId="15">#REF!</definedName>
    <definedName name="mmm" localSheetId="5">#REF!</definedName>
    <definedName name="mmm" localSheetId="10">#REF!</definedName>
    <definedName name="mmm">#REF!</definedName>
    <definedName name="mnb" localSheetId="13">#REF!</definedName>
    <definedName name="mnb" localSheetId="14">#REF!</definedName>
    <definedName name="mnb" localSheetId="16">#REF!</definedName>
    <definedName name="mnb" localSheetId="17">#REF!</definedName>
    <definedName name="mnb" localSheetId="15">#REF!</definedName>
    <definedName name="mnb" localSheetId="5">#REF!</definedName>
    <definedName name="mnb" localSheetId="10">#REF!</definedName>
    <definedName name="mnb">#REF!</definedName>
    <definedName name="mnbvc" localSheetId="13">#REF!</definedName>
    <definedName name="mnbvc" localSheetId="14">#REF!</definedName>
    <definedName name="mnbvc" localSheetId="16">#REF!</definedName>
    <definedName name="mnbvc" localSheetId="17">#REF!</definedName>
    <definedName name="mnbvc" localSheetId="15">#REF!</definedName>
    <definedName name="mnbvc" localSheetId="5">#REF!</definedName>
    <definedName name="mnbvc" localSheetId="10">#REF!</definedName>
    <definedName name="mnbvc">#REF!</definedName>
    <definedName name="mskfas" localSheetId="13">#REF!,#REF!</definedName>
    <definedName name="mskfas" localSheetId="14">#REF!,#REF!</definedName>
    <definedName name="mskfas" localSheetId="16">#REF!,#REF!</definedName>
    <definedName name="mskfas" localSheetId="17">#REF!,#REF!</definedName>
    <definedName name="mskfas" localSheetId="15">#REF!,#REF!</definedName>
    <definedName name="mskfas" localSheetId="5">#REF!,#REF!</definedName>
    <definedName name="mskfas" localSheetId="10">#REF!,#REF!</definedName>
    <definedName name="mskfas">#REF!,#REF!</definedName>
    <definedName name="n" localSheetId="13">#REF!</definedName>
    <definedName name="n" localSheetId="14">#REF!</definedName>
    <definedName name="n" localSheetId="16">#REF!</definedName>
    <definedName name="n" localSheetId="17">#REF!</definedName>
    <definedName name="n" localSheetId="15">#REF!</definedName>
    <definedName name="n" localSheetId="5">#REF!</definedName>
    <definedName name="n" localSheetId="10">#REF!</definedName>
    <definedName name="n">#REF!</definedName>
    <definedName name="nb" localSheetId="13">#REF!</definedName>
    <definedName name="nb" localSheetId="14">#REF!</definedName>
    <definedName name="nb" localSheetId="16">#REF!</definedName>
    <definedName name="nb" localSheetId="17">#REF!</definedName>
    <definedName name="nb" localSheetId="15">#REF!</definedName>
    <definedName name="nb" localSheetId="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3">#REF!</definedName>
    <definedName name="nev_c" localSheetId="14">#REF!</definedName>
    <definedName name="nev_c" localSheetId="16">#REF!</definedName>
    <definedName name="nev_c" localSheetId="17">#REF!</definedName>
    <definedName name="nev_c" localSheetId="15">#REF!</definedName>
    <definedName name="nev_c" localSheetId="5">#REF!</definedName>
    <definedName name="nev_c" localSheetId="10">#REF!</definedName>
    <definedName name="nev_c">#REF!</definedName>
    <definedName name="nev_g" localSheetId="13">#REF!</definedName>
    <definedName name="nev_g" localSheetId="14">#REF!</definedName>
    <definedName name="nev_g" localSheetId="16">#REF!</definedName>
    <definedName name="nev_g" localSheetId="17">#REF!</definedName>
    <definedName name="nev_g" localSheetId="15">#REF!</definedName>
    <definedName name="nev_g" localSheetId="5">#REF!</definedName>
    <definedName name="nev_g" localSheetId="10">#REF!</definedName>
    <definedName name="nev_g">#REF!</definedName>
    <definedName name="nev_k" localSheetId="13">#REF!</definedName>
    <definedName name="nev_k" localSheetId="14">#REF!</definedName>
    <definedName name="nev_k" localSheetId="16">#REF!</definedName>
    <definedName name="nev_k" localSheetId="17">#REF!</definedName>
    <definedName name="nev_k" localSheetId="15">#REF!</definedName>
    <definedName name="nev_k" localSheetId="5">#REF!</definedName>
    <definedName name="nev_k" localSheetId="10">#REF!</definedName>
    <definedName name="nev_k">#REF!</definedName>
    <definedName name="név_k" localSheetId="13">#REF!</definedName>
    <definedName name="név_k" localSheetId="14">#REF!</definedName>
    <definedName name="név_k" localSheetId="16">#REF!</definedName>
    <definedName name="név_k" localSheetId="17">#REF!</definedName>
    <definedName name="név_k" localSheetId="15">#REF!</definedName>
    <definedName name="név_k" localSheetId="5">#REF!</definedName>
    <definedName name="név_k" localSheetId="10">#REF!</definedName>
    <definedName name="név_k">#REF!</definedName>
    <definedName name="nnn" localSheetId="13">#REF!</definedName>
    <definedName name="nnn" localSheetId="14">#REF!</definedName>
    <definedName name="nnn" localSheetId="16">#REF!</definedName>
    <definedName name="nnn" localSheetId="17">#REF!</definedName>
    <definedName name="nnn" localSheetId="15">#REF!</definedName>
    <definedName name="nnn" localSheetId="5">#REF!</definedName>
    <definedName name="nnn" localSheetId="10">#REF!</definedName>
    <definedName name="nnn">#REF!</definedName>
    <definedName name="nnnnnnnnnnnnnnnnnnnnnnnnnnnnnnnnnnnnn" localSheetId="13">#REF!</definedName>
    <definedName name="nnnnnnnnnnnnnnnnnnnnnnnnnnnnnnnnnnnnn" localSheetId="14">#REF!</definedName>
    <definedName name="nnnnnnnnnnnnnnnnnnnnnnnnnnnnnnnnnnnnn" localSheetId="16">#REF!</definedName>
    <definedName name="nnnnnnnnnnnnnnnnnnnnnnnnnnnnnnnnnnnnn" localSheetId="17">#REF!</definedName>
    <definedName name="nnnnnnnnnnnnnnnnnnnnnnnnnnnnnnnnnnnnn" localSheetId="15">#REF!</definedName>
    <definedName name="nnnnnnnnnnnnnnnnnnnnnnnnnnnnnnnnnnnnn" localSheetId="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0">'9.sz.mell.'!$4:$5</definedName>
    <definedName name="_xlnm.Print_Area" localSheetId="12">'10.sz.mell'!$A$1:$M$60</definedName>
    <definedName name="_xlnm.Print_Area" localSheetId="21">'15.sz.mell'!$A$1:$C$16</definedName>
    <definedName name="_xlnm.Print_Area" localSheetId="2">'2.1.sz.mell  '!$A$1:$Q$23</definedName>
    <definedName name="_xlnm.Print_Area" localSheetId="3">'2.2.sz.mell  '!$A$1:$Q$22</definedName>
    <definedName name="_xlnm.Print_Area" localSheetId="5">'4. sz.mell'!$A$1:$N$30</definedName>
    <definedName name="_xlnm.Print_Area" localSheetId="7">'6.sz.mell'!$A$1:$I$21</definedName>
    <definedName name="_xlnm.Print_Area" localSheetId="11">'9.1-2 mell.össz'!$A$1:$F$59</definedName>
    <definedName name="okod">[9]kd!$F$2:$I$3368</definedName>
    <definedName name="oooooooooooooooooooooo" localSheetId="13">#REF!</definedName>
    <definedName name="oooooooooooooooooooooo" localSheetId="14">#REF!</definedName>
    <definedName name="oooooooooooooooooooooo" localSheetId="16">#REF!</definedName>
    <definedName name="oooooooooooooooooooooo" localSheetId="17">#REF!</definedName>
    <definedName name="oooooooooooooooooooooo" localSheetId="15">#REF!</definedName>
    <definedName name="oooooooooooooooooooooo" localSheetId="5">#REF!</definedName>
    <definedName name="oooooooooooooooooooooo" localSheetId="10">#REF!</definedName>
    <definedName name="oooooooooooooooooooooo">#REF!</definedName>
    <definedName name="ovi" localSheetId="13">#REF!</definedName>
    <definedName name="ovi" localSheetId="14">#REF!</definedName>
    <definedName name="ovi" localSheetId="16">#REF!</definedName>
    <definedName name="ovi" localSheetId="17">#REF!</definedName>
    <definedName name="ovi" localSheetId="15">#REF!</definedName>
    <definedName name="ovi" localSheetId="5">#REF!</definedName>
    <definedName name="ovi" localSheetId="10">#REF!</definedName>
    <definedName name="ovi">#REF!</definedName>
    <definedName name="óvoda" localSheetId="5">#REF!</definedName>
    <definedName name="óvoda">#REF!</definedName>
    <definedName name="ő" localSheetId="13">#REF!</definedName>
    <definedName name="ő" localSheetId="14">#REF!</definedName>
    <definedName name="ő" localSheetId="16">#REF!</definedName>
    <definedName name="ő" localSheetId="17">#REF!</definedName>
    <definedName name="ő" localSheetId="15">#REF!</definedName>
    <definedName name="ő" localSheetId="5">#REF!</definedName>
    <definedName name="ő" localSheetId="10">#REF!</definedName>
    <definedName name="ő">#REF!</definedName>
    <definedName name="önk">[9]kd!$F$2:$F$3176</definedName>
    <definedName name="önkbercsényi" localSheetId="5">#REF!</definedName>
    <definedName name="önkbercsényi">#REF!</definedName>
    <definedName name="önkbölcsőde" localSheetId="5">#REF!</definedName>
    <definedName name="önkbölcsőde">#REF!</definedName>
    <definedName name="önkegymi" localSheetId="5">#REF!</definedName>
    <definedName name="önkegymi">#REF!</definedName>
    <definedName name="önkgondkp" localSheetId="5">#REF!</definedName>
    <definedName name="önkgondkp">#REF!</definedName>
    <definedName name="önkhunyadi" localSheetId="5">#REF!</definedName>
    <definedName name="önkhunyadi">#REF!</definedName>
    <definedName name="önkkodály" localSheetId="5">#REF!</definedName>
    <definedName name="önkkodály">#REF!</definedName>
    <definedName name="önkkonyha" localSheetId="5">#REF!</definedName>
    <definedName name="önkkonyha">#REF!</definedName>
    <definedName name="önkkölcsey" localSheetId="5">#REF!</definedName>
    <definedName name="önkkölcsey">#REF!</definedName>
    <definedName name="önkkönyvtár" localSheetId="5">#REF!</definedName>
    <definedName name="önkkönyvtár">#REF!</definedName>
    <definedName name="önkktgvtám" localSheetId="5">#REF!</definedName>
    <definedName name="önkktgvtám">#REF!</definedName>
    <definedName name="önklábassy" localSheetId="5">#REF!</definedName>
    <definedName name="önklábassy">#REF!</definedName>
    <definedName name="önkműkbev" localSheetId="5">#REF!</definedName>
    <definedName name="önkműkbev">#REF!</definedName>
    <definedName name="önkóvoda" localSheetId="5">#REF!</definedName>
    <definedName name="önkóvoda">#REF!</definedName>
    <definedName name="önkpbo" localSheetId="5">#REF!</definedName>
    <definedName name="önkpbo">#REF!</definedName>
    <definedName name="önkpetőfi" localSheetId="5">#REF!</definedName>
    <definedName name="önkpetőfi">#REF!</definedName>
    <definedName name="önksajátos1" localSheetId="5">#REF!</definedName>
    <definedName name="önksajátos1">#REF!</definedName>
    <definedName name="önkszékács" localSheetId="5">#REF!</definedName>
    <definedName name="önkszékács">#REF!</definedName>
    <definedName name="önkvmk" localSheetId="5">#REF!</definedName>
    <definedName name="önkvmk">#REF!</definedName>
    <definedName name="őőőőőőőőőőőőő" localSheetId="13">#REF!</definedName>
    <definedName name="őőőőőőőőőőőőő" localSheetId="14">#REF!</definedName>
    <definedName name="őőőőőőőőőőőőő" localSheetId="16">#REF!</definedName>
    <definedName name="őőőőőőőőőőőőő" localSheetId="17">#REF!</definedName>
    <definedName name="őőőőőőőőőőőőő" localSheetId="15">#REF!</definedName>
    <definedName name="őőőőőőőőőőőőő" localSheetId="5">#REF!</definedName>
    <definedName name="őőőőőőőőőőőőő" localSheetId="10">#REF!</definedName>
    <definedName name="őőőőőőőőőőőőő">#REF!</definedName>
    <definedName name="őpoiuztr" localSheetId="13">#REF!</definedName>
    <definedName name="őpoiuztr" localSheetId="14">#REF!</definedName>
    <definedName name="őpoiuztr" localSheetId="16">#REF!</definedName>
    <definedName name="őpoiuztr" localSheetId="17">#REF!</definedName>
    <definedName name="őpoiuztr" localSheetId="15">#REF!</definedName>
    <definedName name="őpoiuztr" localSheetId="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5">#REF!</definedName>
    <definedName name="pálybev">#REF!</definedName>
    <definedName name="pálybev1" localSheetId="5">#REF!</definedName>
    <definedName name="pálybev1">#REF!</definedName>
    <definedName name="pbo" localSheetId="5">#REF!</definedName>
    <definedName name="pbo">#REF!</definedName>
    <definedName name="pénzeszkátad" localSheetId="5">#REF!</definedName>
    <definedName name="pénzeszkátad">#REF!</definedName>
    <definedName name="pénzfognélk1" localSheetId="5">#REF!</definedName>
    <definedName name="pénzfognélk1">#REF!</definedName>
    <definedName name="pénzforgnélk1" localSheetId="5">#REF!</definedName>
    <definedName name="pénzforgnélk1">#REF!</definedName>
    <definedName name="pénzforgnélkül" localSheetId="5">#REF!</definedName>
    <definedName name="pénzforgnélkül">#REF!</definedName>
    <definedName name="pénzm" localSheetId="5">#REF!</definedName>
    <definedName name="pénzm">#REF!</definedName>
    <definedName name="pénzügyibef" localSheetId="5">#REF!</definedName>
    <definedName name="pénzügyibef">#REF!</definedName>
    <definedName name="pénzügyibef1" localSheetId="5">#REF!</definedName>
    <definedName name="pénzügyibef1">#REF!</definedName>
    <definedName name="peszkátad4" localSheetId="5">#REF!</definedName>
    <definedName name="peszkátad4">#REF!</definedName>
    <definedName name="petőfi" localSheetId="5">#REF!</definedName>
    <definedName name="petőfi">#REF!</definedName>
    <definedName name="phdologi" localSheetId="5">#REF!</definedName>
    <definedName name="phdologi">#REF!</definedName>
    <definedName name="phműkbev" localSheetId="5">#REF!</definedName>
    <definedName name="phműkbev">#REF!</definedName>
    <definedName name="phműkbev1" localSheetId="5">#REF!</definedName>
    <definedName name="phműkbev1">#REF!</definedName>
    <definedName name="phműkc1" localSheetId="5">#REF!</definedName>
    <definedName name="phműkc1">#REF!</definedName>
    <definedName name="phsajbev">[11]Munka6!$C$21</definedName>
    <definedName name="phszoc" localSheetId="5">#REF!</definedName>
    <definedName name="phszoc">#REF!</definedName>
    <definedName name="pm" localSheetId="5">#REF!</definedName>
    <definedName name="pm">#REF!</definedName>
    <definedName name="pótl">[11]Munka6!$C$20</definedName>
    <definedName name="pótlék" localSheetId="5">#REF!</definedName>
    <definedName name="pótlék">#REF!</definedName>
    <definedName name="ppppppppppppppp" localSheetId="13">#REF!,#REF!</definedName>
    <definedName name="ppppppppppppppp" localSheetId="14">#REF!,#REF!</definedName>
    <definedName name="ppppppppppppppp" localSheetId="16">#REF!,#REF!</definedName>
    <definedName name="ppppppppppppppp" localSheetId="17">#REF!,#REF!</definedName>
    <definedName name="ppppppppppppppp" localSheetId="15">#REF!,#REF!</definedName>
    <definedName name="ppppppppppppppp" localSheetId="5">#REF!,#REF!</definedName>
    <definedName name="ppppppppppppppp" localSheetId="10">#REF!,#REF!</definedName>
    <definedName name="ppppppppppppppp">#REF!,#REF!</definedName>
    <definedName name="Q" localSheetId="13">#REF!</definedName>
    <definedName name="Q" localSheetId="14">#REF!</definedName>
    <definedName name="Q" localSheetId="16">#REF!</definedName>
    <definedName name="Q" localSheetId="17">#REF!</definedName>
    <definedName name="Q" localSheetId="15">#REF!</definedName>
    <definedName name="Q" localSheetId="5">#REF!</definedName>
    <definedName name="Q" localSheetId="10">#REF!</definedName>
    <definedName name="Q">#REF!</definedName>
    <definedName name="qaywsx" localSheetId="13">#REF!,#REF!</definedName>
    <definedName name="qaywsx" localSheetId="14">#REF!,#REF!</definedName>
    <definedName name="qaywsx" localSheetId="16">#REF!,#REF!</definedName>
    <definedName name="qaywsx" localSheetId="17">#REF!,#REF!</definedName>
    <definedName name="qaywsx" localSheetId="15">#REF!,#REF!</definedName>
    <definedName name="qaywsx" localSheetId="5">#REF!,#REF!</definedName>
    <definedName name="qaywsx" localSheetId="10">#REF!,#REF!</definedName>
    <definedName name="qaywsx">#REF!,#REF!</definedName>
    <definedName name="QQ" localSheetId="13">#REF!</definedName>
    <definedName name="QQ" localSheetId="14">#REF!</definedName>
    <definedName name="QQ" localSheetId="16">#REF!</definedName>
    <definedName name="QQ" localSheetId="17">#REF!</definedName>
    <definedName name="QQ" localSheetId="15">#REF!</definedName>
    <definedName name="QQ" localSheetId="5">#REF!</definedName>
    <definedName name="QQ" localSheetId="10">#REF!</definedName>
    <definedName name="QQ">#REF!</definedName>
    <definedName name="qqqq" localSheetId="13">#REF!</definedName>
    <definedName name="qqqq" localSheetId="14">#REF!</definedName>
    <definedName name="qqqq" localSheetId="16">#REF!</definedName>
    <definedName name="qqqq" localSheetId="17">#REF!</definedName>
    <definedName name="qqqq" localSheetId="15">#REF!</definedName>
    <definedName name="qqqq" localSheetId="5">#REF!</definedName>
    <definedName name="qqqq" localSheetId="10">#REF!</definedName>
    <definedName name="qqqq">#REF!</definedName>
    <definedName name="qqqqq" localSheetId="13">#REF!</definedName>
    <definedName name="qqqqq" localSheetId="14">#REF!</definedName>
    <definedName name="qqqqq" localSheetId="16">#REF!</definedName>
    <definedName name="qqqqq" localSheetId="17">#REF!</definedName>
    <definedName name="qqqqq" localSheetId="15">#REF!</definedName>
    <definedName name="qqqqq" localSheetId="5">#REF!</definedName>
    <definedName name="qqqqq" localSheetId="10">#REF!</definedName>
    <definedName name="qqqqq">#REF!</definedName>
    <definedName name="qqqqqq" localSheetId="13">#REF!,#REF!</definedName>
    <definedName name="qqqqqq" localSheetId="14">#REF!,#REF!</definedName>
    <definedName name="qqqqqq" localSheetId="16">#REF!,#REF!</definedName>
    <definedName name="qqqqqq" localSheetId="17">#REF!,#REF!</definedName>
    <definedName name="qqqqqq" localSheetId="15">#REF!,#REF!</definedName>
    <definedName name="qqqqqq" localSheetId="5">#REF!,#REF!</definedName>
    <definedName name="qqqqqq" localSheetId="10">#REF!,#REF!</definedName>
    <definedName name="qqqqqq">#REF!,#REF!</definedName>
    <definedName name="qqqqqqqq" localSheetId="13">#REF!</definedName>
    <definedName name="qqqqqqqq" localSheetId="14">#REF!</definedName>
    <definedName name="qqqqqqqq" localSheetId="16">#REF!</definedName>
    <definedName name="qqqqqqqq" localSheetId="17">#REF!</definedName>
    <definedName name="qqqqqqqq" localSheetId="15">#REF!</definedName>
    <definedName name="qqqqqqqq" localSheetId="5">#REF!</definedName>
    <definedName name="qqqqqqqq" localSheetId="10">#REF!</definedName>
    <definedName name="qqqqqqqq">#REF!</definedName>
    <definedName name="qqqqqqqqq" localSheetId="13">#REF!</definedName>
    <definedName name="qqqqqqqqq" localSheetId="14">#REF!</definedName>
    <definedName name="qqqqqqqqq" localSheetId="16">#REF!</definedName>
    <definedName name="qqqqqqqqq" localSheetId="17">#REF!</definedName>
    <definedName name="qqqqqqqqq" localSheetId="15">#REF!</definedName>
    <definedName name="qqqqqqqqq" localSheetId="5">#REF!</definedName>
    <definedName name="qqqqqqqqq" localSheetId="10">#REF!</definedName>
    <definedName name="qqqqqqqqq">#REF!</definedName>
    <definedName name="qqqqqqqqqq" localSheetId="13">#REF!</definedName>
    <definedName name="qqqqqqqqqq" localSheetId="14">#REF!</definedName>
    <definedName name="qqqqqqqqqq" localSheetId="16">#REF!</definedName>
    <definedName name="qqqqqqqqqq" localSheetId="17">#REF!</definedName>
    <definedName name="qqqqqqqqqq" localSheetId="15">#REF!</definedName>
    <definedName name="qqqqqqqqqq" localSheetId="5">#REF!</definedName>
    <definedName name="qqqqqqqqqq" localSheetId="10">#REF!</definedName>
    <definedName name="qqqqqqqqqq">#REF!</definedName>
    <definedName name="qqqqqqqqqqq" localSheetId="13">#REF!</definedName>
    <definedName name="qqqqqqqqqqq" localSheetId="14">#REF!</definedName>
    <definedName name="qqqqqqqqqqq" localSheetId="16">#REF!</definedName>
    <definedName name="qqqqqqqqqqq" localSheetId="17">#REF!</definedName>
    <definedName name="qqqqqqqqqqq" localSheetId="15">#REF!</definedName>
    <definedName name="qqqqqqqqqqq" localSheetId="5">#REF!</definedName>
    <definedName name="qqqqqqqqqqq" localSheetId="10">#REF!</definedName>
    <definedName name="qqqqqqqqqqq">#REF!</definedName>
    <definedName name="qqqqqqqqqqqqq" localSheetId="13">#REF!</definedName>
    <definedName name="qqqqqqqqqqqqq" localSheetId="14">#REF!</definedName>
    <definedName name="qqqqqqqqqqqqq" localSheetId="16">#REF!</definedName>
    <definedName name="qqqqqqqqqqqqq" localSheetId="17">#REF!</definedName>
    <definedName name="qqqqqqqqqqqqq" localSheetId="15">#REF!</definedName>
    <definedName name="qqqqqqqqqqqqq" localSheetId="5">#REF!</definedName>
    <definedName name="qqqqqqqqqqqqq" localSheetId="10">#REF!</definedName>
    <definedName name="qqqqqqqqqqqqq">#REF!</definedName>
    <definedName name="qqqqqqqqqqqqqqq" localSheetId="13">#REF!,#REF!</definedName>
    <definedName name="qqqqqqqqqqqqqqq" localSheetId="14">#REF!,#REF!</definedName>
    <definedName name="qqqqqqqqqqqqqqq" localSheetId="16">#REF!,#REF!</definedName>
    <definedName name="qqqqqqqqqqqqqqq" localSheetId="17">#REF!,#REF!</definedName>
    <definedName name="qqqqqqqqqqqqqqq" localSheetId="15">#REF!,#REF!</definedName>
    <definedName name="qqqqqqqqqqqqqqq" localSheetId="5">#REF!,#REF!</definedName>
    <definedName name="qqqqqqqqqqqqqqq" localSheetId="10">#REF!,#REF!</definedName>
    <definedName name="qqqqqqqqqqqqqqq">#REF!,#REF!</definedName>
    <definedName name="qqqqqqqqqqqqqqqq" localSheetId="13">#REF!</definedName>
    <definedName name="qqqqqqqqqqqqqqqq" localSheetId="14">#REF!</definedName>
    <definedName name="qqqqqqqqqqqqqqqq" localSheetId="16">#REF!</definedName>
    <definedName name="qqqqqqqqqqqqqqqq" localSheetId="17">#REF!</definedName>
    <definedName name="qqqqqqqqqqqqqqqq" localSheetId="15">#REF!</definedName>
    <definedName name="qqqqqqqqqqqqqqqq" localSheetId="5">#REF!</definedName>
    <definedName name="qqqqqqqqqqqqqqqq" localSheetId="10">#REF!</definedName>
    <definedName name="qqqqqqqqqqqqqqqq">#REF!</definedName>
    <definedName name="qqqqqqqqqqqqqqqqq" localSheetId="13">#REF!</definedName>
    <definedName name="qqqqqqqqqqqqqqqqq" localSheetId="14">#REF!</definedName>
    <definedName name="qqqqqqqqqqqqqqqqq" localSheetId="16">#REF!</definedName>
    <definedName name="qqqqqqqqqqqqqqqqq" localSheetId="17">#REF!</definedName>
    <definedName name="qqqqqqqqqqqqqqqqq" localSheetId="15">#REF!</definedName>
    <definedName name="qqqqqqqqqqqqqqqqq" localSheetId="5">#REF!</definedName>
    <definedName name="qqqqqqqqqqqqqqqqq" localSheetId="10">#REF!</definedName>
    <definedName name="qqqqqqqqqqqqqqqqq">#REF!</definedName>
    <definedName name="retzijk" localSheetId="13">#REF!</definedName>
    <definedName name="retzijk" localSheetId="14">#REF!</definedName>
    <definedName name="retzijk" localSheetId="16">#REF!</definedName>
    <definedName name="retzijk" localSheetId="17">#REF!</definedName>
    <definedName name="retzijk" localSheetId="15">#REF!</definedName>
    <definedName name="retzijk" localSheetId="5">#REF!</definedName>
    <definedName name="retzijk" localSheetId="10">#REF!</definedName>
    <definedName name="retzijk">#REF!</definedName>
    <definedName name="rr" localSheetId="13">#REF!</definedName>
    <definedName name="rr" localSheetId="14">#REF!</definedName>
    <definedName name="rr" localSheetId="16">#REF!</definedName>
    <definedName name="rr" localSheetId="17">#REF!</definedName>
    <definedName name="rr" localSheetId="15">#REF!</definedName>
    <definedName name="rr" localSheetId="5">#REF!</definedName>
    <definedName name="rr" localSheetId="10">#REF!</definedName>
    <definedName name="rr">#REF!</definedName>
    <definedName name="rrr" localSheetId="13">#REF!</definedName>
    <definedName name="rrr" localSheetId="14">#REF!</definedName>
    <definedName name="rrr" localSheetId="16">#REF!</definedName>
    <definedName name="rrr" localSheetId="17">#REF!</definedName>
    <definedName name="rrr" localSheetId="15">#REF!</definedName>
    <definedName name="rrr" localSheetId="5">#REF!</definedName>
    <definedName name="rrr" localSheetId="10">#REF!</definedName>
    <definedName name="rrr">#REF!</definedName>
    <definedName name="rrrr" localSheetId="13">#REF!</definedName>
    <definedName name="rrrr" localSheetId="14">#REF!</definedName>
    <definedName name="rrrr" localSheetId="16">#REF!</definedName>
    <definedName name="rrrr" localSheetId="17">#REF!</definedName>
    <definedName name="rrrr" localSheetId="15">#REF!</definedName>
    <definedName name="rrrr" localSheetId="5">#REF!</definedName>
    <definedName name="rrrr" localSheetId="10">#REF!</definedName>
    <definedName name="rrrr">#REF!</definedName>
    <definedName name="rrrrr" localSheetId="13">#REF!</definedName>
    <definedName name="rrrrr" localSheetId="14">#REF!</definedName>
    <definedName name="rrrrr" localSheetId="16">#REF!</definedName>
    <definedName name="rrrrr" localSheetId="17">#REF!</definedName>
    <definedName name="rrrrr" localSheetId="15">#REF!</definedName>
    <definedName name="rrrrr" localSheetId="5">#REF!</definedName>
    <definedName name="rrrrr" localSheetId="10">#REF!</definedName>
    <definedName name="rrrrr">#REF!</definedName>
    <definedName name="rrrrrr" localSheetId="13">#REF!</definedName>
    <definedName name="rrrrrr" localSheetId="14">#REF!</definedName>
    <definedName name="rrrrrr" localSheetId="16">#REF!</definedName>
    <definedName name="rrrrrr" localSheetId="17">#REF!</definedName>
    <definedName name="rrrrrr" localSheetId="15">#REF!</definedName>
    <definedName name="rrrrrr" localSheetId="5">#REF!</definedName>
    <definedName name="rrrrrr" localSheetId="10">#REF!</definedName>
    <definedName name="rrrrrr">#REF!</definedName>
    <definedName name="rrrrrrrr" localSheetId="13">#REF!,#REF!</definedName>
    <definedName name="rrrrrrrr" localSheetId="14">#REF!,#REF!</definedName>
    <definedName name="rrrrrrrr" localSheetId="16">#REF!,#REF!</definedName>
    <definedName name="rrrrrrrr" localSheetId="17">#REF!,#REF!</definedName>
    <definedName name="rrrrrrrr" localSheetId="15">#REF!,#REF!</definedName>
    <definedName name="rrrrrrrr" localSheetId="5">#REF!,#REF!</definedName>
    <definedName name="rrrrrrrr" localSheetId="10">#REF!,#REF!</definedName>
    <definedName name="rrrrrrrr">#REF!,#REF!</definedName>
    <definedName name="rrrrrrrrrr" localSheetId="13">#REF!</definedName>
    <definedName name="rrrrrrrrrr" localSheetId="14">#REF!</definedName>
    <definedName name="rrrrrrrrrr" localSheetId="16">#REF!</definedName>
    <definedName name="rrrrrrrrrr" localSheetId="17">#REF!</definedName>
    <definedName name="rrrrrrrrrr" localSheetId="15">#REF!</definedName>
    <definedName name="rrrrrrrrrr" localSheetId="5">#REF!</definedName>
    <definedName name="rrrrrrrrrr" localSheetId="10">#REF!</definedName>
    <definedName name="rrrrrrrrrr">#REF!</definedName>
    <definedName name="rrrrrrrrrrrr" localSheetId="13">#REF!</definedName>
    <definedName name="rrrrrrrrrrrr" localSheetId="14">#REF!</definedName>
    <definedName name="rrrrrrrrrrrr" localSheetId="16">#REF!</definedName>
    <definedName name="rrrrrrrrrrrr" localSheetId="17">#REF!</definedName>
    <definedName name="rrrrrrrrrrrr" localSheetId="15">#REF!</definedName>
    <definedName name="rrrrrrrrrrrr" localSheetId="5">#REF!</definedName>
    <definedName name="rrrrrrrrrrrr" localSheetId="10">#REF!</definedName>
    <definedName name="rrrrrrrrrrrr">#REF!</definedName>
    <definedName name="sajfelh1" localSheetId="5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5">'[13]4. bevételek int-ként'!#REF!</definedName>
    <definedName name="semmi23">'[13]4. bevételek int-ként'!#REF!</definedName>
    <definedName name="semmi24" localSheetId="5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5">'[13]4. bevételek int-ként'!#REF!</definedName>
    <definedName name="semmi8">'[13]4. bevételek int-ként'!#REF!</definedName>
    <definedName name="semmi9" localSheetId="5">'[13]4. bevételek int-ként'!#REF!</definedName>
    <definedName name="semmi9">'[13]4. bevételek int-ként'!#REF!</definedName>
    <definedName name="ssscx" localSheetId="13">#REF!</definedName>
    <definedName name="ssscx" localSheetId="14">#REF!</definedName>
    <definedName name="ssscx" localSheetId="16">#REF!</definedName>
    <definedName name="ssscx" localSheetId="17">#REF!</definedName>
    <definedName name="ssscx" localSheetId="15">#REF!</definedName>
    <definedName name="ssscx" localSheetId="5">#REF!</definedName>
    <definedName name="ssscx" localSheetId="10">#REF!</definedName>
    <definedName name="ssscx">#REF!</definedName>
    <definedName name="sssss">[1]Háttéradatok!$C$29:$AG$32</definedName>
    <definedName name="sue" localSheetId="13">#REF!</definedName>
    <definedName name="sue" localSheetId="14">#REF!</definedName>
    <definedName name="sue" localSheetId="16">#REF!</definedName>
    <definedName name="sue" localSheetId="17">#REF!</definedName>
    <definedName name="sue" localSheetId="15">#REF!</definedName>
    <definedName name="sue" localSheetId="5">#REF!</definedName>
    <definedName name="sue" localSheetId="10">#REF!</definedName>
    <definedName name="sue">#REF!</definedName>
    <definedName name="szabsbírság">[11]Munka6!$C$19</definedName>
    <definedName name="szabsért" localSheetId="5">#REF!</definedName>
    <definedName name="szabsért">#REF!</definedName>
    <definedName name="székács" localSheetId="5">#REF!</definedName>
    <definedName name="székács">#REF!</definedName>
    <definedName name="szemckö4" localSheetId="5">#REF!</definedName>
    <definedName name="szemckö4">#REF!</definedName>
    <definedName name="szemegy8.12" localSheetId="5">#REF!</definedName>
    <definedName name="szemegy8.12">#REF!</definedName>
    <definedName name="szemegy8.13" localSheetId="5">#REF!</definedName>
    <definedName name="szemegy8.13">#REF!</definedName>
    <definedName name="személyiph" localSheetId="5">#REF!</definedName>
    <definedName name="személyiph">#REF!</definedName>
    <definedName name="szemjutt" localSheetId="5">#REF!</definedName>
    <definedName name="szemjutt">#REF!</definedName>
    <definedName name="szemjutt4" localSheetId="5">#REF!</definedName>
    <definedName name="szemjutt4">#REF!</definedName>
    <definedName name="szemkist4" localSheetId="5">#REF!</definedName>
    <definedName name="szemkist4">#REF!</definedName>
    <definedName name="szemph" localSheetId="5">#REF!</definedName>
    <definedName name="szemph">#REF!</definedName>
    <definedName name="szemph5" localSheetId="5">#REF!</definedName>
    <definedName name="szemph5">#REF!</definedName>
    <definedName name="szemph8.12" localSheetId="5">#REF!</definedName>
    <definedName name="szemph8.12">#REF!</definedName>
    <definedName name="szjahelyben" localSheetId="5">#REF!</definedName>
    <definedName name="szjahelyben">#REF!</definedName>
    <definedName name="szjahelyben1" localSheetId="5">#REF!</definedName>
    <definedName name="szjahelyben1">#REF!</definedName>
    <definedName name="szjahelybenm">[11]Munka6!$C$7</definedName>
    <definedName name="szjajövkül" localSheetId="5">#REF!</definedName>
    <definedName name="szjajövkül">#REF!</definedName>
    <definedName name="szjajövkül1" localSheetId="5">#REF!</definedName>
    <definedName name="szjajövkül1">#REF!</definedName>
    <definedName name="szjakül">[11]Munka6!$C$8</definedName>
    <definedName name="szocátv" localSheetId="5">#REF!</definedName>
    <definedName name="szocátv">#REF!</definedName>
    <definedName name="szocph" localSheetId="5">#REF!</definedName>
    <definedName name="szocph">#REF!</definedName>
    <definedName name="szocph5" localSheetId="5">#REF!</definedName>
    <definedName name="szocph5">#REF!</definedName>
    <definedName name="szocsegélyph" localSheetId="5">#REF!</definedName>
    <definedName name="szocsegélyph">#REF!</definedName>
    <definedName name="t" localSheetId="13">#REF!,#REF!</definedName>
    <definedName name="t" localSheetId="14">#REF!,#REF!</definedName>
    <definedName name="t" localSheetId="16">#REF!,#REF!</definedName>
    <definedName name="t" localSheetId="17">#REF!,#REF!</definedName>
    <definedName name="t" localSheetId="15">#REF!,#REF!</definedName>
    <definedName name="t" localSheetId="5">#REF!,#REF!</definedName>
    <definedName name="t" localSheetId="10">#REF!,#REF!</definedName>
    <definedName name="t">#REF!,#REF!</definedName>
    <definedName name="talajt" localSheetId="5">#REF!</definedName>
    <definedName name="talajt">#REF!</definedName>
    <definedName name="támkölcs1" localSheetId="5">#REF!</definedName>
    <definedName name="támkölcs1">#REF!</definedName>
    <definedName name="támkölcsön" localSheetId="5">#REF!</definedName>
    <definedName name="támkölcsön">#REF!</definedName>
    <definedName name="támogatások" localSheetId="5">#REF!</definedName>
    <definedName name="támogatások">#REF!</definedName>
    <definedName name="támogatások1" localSheetId="5">#REF!</definedName>
    <definedName name="támogatások1">#REF!</definedName>
    <definedName name="tárgyi" localSheetId="5">#REF!</definedName>
    <definedName name="tárgyi">#REF!</definedName>
    <definedName name="tárgyi1" localSheetId="5">#REF!</definedName>
    <definedName name="tárgyi1">#REF!</definedName>
    <definedName name="tartalék4" localSheetId="5">#REF!</definedName>
    <definedName name="tartalék4">#REF!</definedName>
    <definedName name="termőf" localSheetId="5">#REF!</definedName>
    <definedName name="termőf">#REF!</definedName>
    <definedName name="termőfbérbe">[11]Munka6!$C$17</definedName>
    <definedName name="termőföld1" localSheetId="5">#REF!</definedName>
    <definedName name="termőföld1">#REF!</definedName>
    <definedName name="Tűzoltóság">[14]Háttéradatok!$C$29:$AG$32</definedName>
    <definedName name="újsablon" localSheetId="13">#REF!</definedName>
    <definedName name="újsablon" localSheetId="14">#REF!</definedName>
    <definedName name="újsablon" localSheetId="16">#REF!</definedName>
    <definedName name="újsablon" localSheetId="17">#REF!</definedName>
    <definedName name="újsablon" localSheetId="15">#REF!</definedName>
    <definedName name="újsablon" localSheetId="5">#REF!</definedName>
    <definedName name="újsablon" localSheetId="10">#REF!</definedName>
    <definedName name="újsablon">#REF!</definedName>
    <definedName name="uuuuu" localSheetId="13">#REF!</definedName>
    <definedName name="uuuuu" localSheetId="14">#REF!</definedName>
    <definedName name="uuuuu" localSheetId="16">#REF!</definedName>
    <definedName name="uuuuu" localSheetId="17">#REF!</definedName>
    <definedName name="uuuuu" localSheetId="15">#REF!</definedName>
    <definedName name="uuuuu" localSheetId="5">#REF!</definedName>
    <definedName name="uuuuu" localSheetId="10">#REF!</definedName>
    <definedName name="uuuuu">#REF!</definedName>
    <definedName name="v" localSheetId="13">#REF!</definedName>
    <definedName name="v" localSheetId="14">#REF!</definedName>
    <definedName name="v" localSheetId="16">#REF!</definedName>
    <definedName name="v" localSheetId="17">#REF!</definedName>
    <definedName name="v" localSheetId="15">#REF!</definedName>
    <definedName name="v" localSheetId="5">#REF!</definedName>
    <definedName name="v" localSheetId="10">#REF!</definedName>
    <definedName name="v">#REF!</definedName>
    <definedName name="vizikátv" localSheetId="5">#REF!</definedName>
    <definedName name="vizikátv">#REF!</definedName>
    <definedName name="vizikátv1" localSheetId="5">#REF!</definedName>
    <definedName name="vizikátv1">#REF!</definedName>
    <definedName name="vizikfelh3" localSheetId="5">'[10]7. felhalm.kiad.'!#REF!</definedName>
    <definedName name="vizikfelh3">'[10]7. felhalm.kiad.'!#REF!</definedName>
    <definedName name="vmk" localSheetId="5">#REF!</definedName>
    <definedName name="vmk">#REF!</definedName>
    <definedName name="vv" localSheetId="13">#REF!</definedName>
    <definedName name="vv" localSheetId="14">#REF!</definedName>
    <definedName name="vv" localSheetId="16">#REF!</definedName>
    <definedName name="vv" localSheetId="17">#REF!</definedName>
    <definedName name="vv" localSheetId="15">#REF!</definedName>
    <definedName name="vv" localSheetId="5">#REF!</definedName>
    <definedName name="vv" localSheetId="10">#REF!</definedName>
    <definedName name="vv">#REF!</definedName>
    <definedName name="x" localSheetId="13">#REF!</definedName>
    <definedName name="x" localSheetId="14">#REF!</definedName>
    <definedName name="x" localSheetId="16">#REF!</definedName>
    <definedName name="x" localSheetId="17">#REF!</definedName>
    <definedName name="x" localSheetId="15">#REF!</definedName>
    <definedName name="x" localSheetId="5">#REF!</definedName>
    <definedName name="x" localSheetId="10">#REF!</definedName>
    <definedName name="x">#REF!</definedName>
    <definedName name="xcvbnm" localSheetId="13">#REF!</definedName>
    <definedName name="xcvbnm" localSheetId="14">#REF!</definedName>
    <definedName name="xcvbnm" localSheetId="16">#REF!</definedName>
    <definedName name="xcvbnm" localSheetId="17">#REF!</definedName>
    <definedName name="xcvbnm" localSheetId="15">#REF!</definedName>
    <definedName name="xcvbnm" localSheetId="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[14]Háttéradatok!$C$29:$AG$32</definedName>
    <definedName name="xxxxxx_15">[14]Háttéradatok!$C$29:$AG$32</definedName>
    <definedName name="xxxxxx_16">[14]Háttéradatok!$C$29:$AG$32</definedName>
    <definedName name="xxxxxx_18">[5]Háttéradatok!$C$29:$AG$32</definedName>
    <definedName name="xxxxxx_7">[5]Háttéradatok!$C$29:$AG$32</definedName>
    <definedName name="xxxxxxxxxxxxxxxxxxxxxxxxxxx" localSheetId="13">#REF!</definedName>
    <definedName name="xxxxxxxxxxxxxxxxxxxxxxxxxxx" localSheetId="14">#REF!</definedName>
    <definedName name="xxxxxxxxxxxxxxxxxxxxxxxxxxx" localSheetId="16">#REF!</definedName>
    <definedName name="xxxxxxxxxxxxxxxxxxxxxxxxxxx" localSheetId="17">#REF!</definedName>
    <definedName name="xxxxxxxxxxxxxxxxxxxxxxxxxxx" localSheetId="15">#REF!</definedName>
    <definedName name="xxxxxxxxxxxxxxxxxxxxxxxxxxx" localSheetId="5">#REF!</definedName>
    <definedName name="xxxxxxxxxxxxxxxxxxxxxxxxxxx" localSheetId="10">#REF!</definedName>
    <definedName name="xxxxxxxxxxxxxxxxxxxxxxxxxxx">#REF!</definedName>
    <definedName name="y" localSheetId="13">#REF!,#REF!</definedName>
    <definedName name="y" localSheetId="14">#REF!,#REF!</definedName>
    <definedName name="y" localSheetId="16">#REF!,#REF!</definedName>
    <definedName name="y" localSheetId="17">#REF!,#REF!</definedName>
    <definedName name="y" localSheetId="15">#REF!,#REF!</definedName>
    <definedName name="y" localSheetId="5">#REF!,#REF!</definedName>
    <definedName name="y" localSheetId="10">#REF!,#REF!</definedName>
    <definedName name="y">#REF!,#REF!</definedName>
    <definedName name="ycxd" localSheetId="13">#REF!</definedName>
    <definedName name="ycxd" localSheetId="14">#REF!</definedName>
    <definedName name="ycxd" localSheetId="16">#REF!</definedName>
    <definedName name="ycxd" localSheetId="17">#REF!</definedName>
    <definedName name="ycxd" localSheetId="15">#REF!</definedName>
    <definedName name="ycxd" localSheetId="5">#REF!</definedName>
    <definedName name="ycxd" localSheetId="10">#REF!</definedName>
    <definedName name="ycxd">#REF!</definedName>
    <definedName name="yxc" localSheetId="13">#REF!</definedName>
    <definedName name="yxc" localSheetId="14">#REF!</definedName>
    <definedName name="yxc" localSheetId="16">#REF!</definedName>
    <definedName name="yxc" localSheetId="17">#REF!</definedName>
    <definedName name="yxc" localSheetId="15">#REF!</definedName>
    <definedName name="yxc" localSheetId="5">#REF!</definedName>
    <definedName name="yxc" localSheetId="10">#REF!</definedName>
    <definedName name="yxc">#REF!</definedName>
    <definedName name="zzz">[1]Háttéradatok!$B$22:$AG$28</definedName>
  </definedNames>
  <calcPr calcId="145621"/>
</workbook>
</file>

<file path=xl/calcChain.xml><?xml version="1.0" encoding="utf-8"?>
<calcChain xmlns="http://schemas.openxmlformats.org/spreadsheetml/2006/main">
  <c r="N11" i="23" l="1"/>
  <c r="O6" i="23"/>
  <c r="O7" i="23"/>
  <c r="O8" i="23"/>
  <c r="O9" i="23"/>
  <c r="O10" i="23"/>
  <c r="O11" i="23"/>
  <c r="O12" i="23" s="1"/>
  <c r="D12" i="23"/>
  <c r="E12" i="23"/>
  <c r="F12" i="23"/>
  <c r="G12" i="23"/>
  <c r="H12" i="23"/>
  <c r="I12" i="23"/>
  <c r="J12" i="23"/>
  <c r="K12" i="23"/>
  <c r="L12" i="23"/>
  <c r="M12" i="23"/>
  <c r="N12" i="23"/>
  <c r="C12" i="23"/>
  <c r="G10" i="26"/>
  <c r="L18" i="11"/>
  <c r="B18" i="11"/>
  <c r="I19" i="9"/>
  <c r="H16" i="9"/>
  <c r="K18" i="7"/>
  <c r="K32" i="7"/>
  <c r="K15" i="7"/>
  <c r="D20" i="6"/>
  <c r="E20" i="6"/>
  <c r="F20" i="6"/>
  <c r="G20" i="6"/>
  <c r="H20" i="6"/>
  <c r="D21" i="6"/>
  <c r="E21" i="6"/>
  <c r="F21" i="6"/>
  <c r="G21" i="6"/>
  <c r="H21" i="6"/>
  <c r="L20" i="6"/>
  <c r="M20" i="6"/>
  <c r="N20" i="6"/>
  <c r="O20" i="6"/>
  <c r="P20" i="6"/>
  <c r="L21" i="6"/>
  <c r="M21" i="6"/>
  <c r="N21" i="6"/>
  <c r="O21" i="6"/>
  <c r="P21" i="6"/>
  <c r="Q19" i="6"/>
  <c r="L19" i="6"/>
  <c r="M19" i="6"/>
  <c r="N19" i="6"/>
  <c r="O19" i="6"/>
  <c r="P19" i="6"/>
  <c r="K19" i="6"/>
  <c r="H13" i="5"/>
  <c r="G13" i="5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82" i="1"/>
  <c r="G7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6" i="1"/>
  <c r="F6" i="5"/>
  <c r="D19" i="6"/>
  <c r="C19" i="6"/>
  <c r="I56" i="1" l="1"/>
  <c r="H56" i="1"/>
  <c r="I53" i="1"/>
  <c r="H53" i="1"/>
  <c r="I51" i="1"/>
  <c r="H51" i="1"/>
  <c r="I48" i="1"/>
  <c r="H48" i="1"/>
  <c r="I47" i="1"/>
  <c r="H47" i="1"/>
  <c r="E59" i="36" l="1"/>
  <c r="I114" i="14"/>
  <c r="I110" i="14"/>
  <c r="I111" i="14"/>
  <c r="I112" i="14"/>
  <c r="I113" i="14"/>
  <c r="I105" i="14"/>
  <c r="I106" i="14"/>
  <c r="I107" i="14"/>
  <c r="I108" i="14"/>
  <c r="I109" i="14"/>
  <c r="I98" i="14"/>
  <c r="I99" i="14"/>
  <c r="I100" i="14"/>
  <c r="I101" i="14"/>
  <c r="I102" i="14"/>
  <c r="I103" i="14"/>
  <c r="I104" i="14"/>
  <c r="I97" i="14"/>
  <c r="I96" i="14"/>
  <c r="I93" i="14"/>
  <c r="I94" i="14"/>
  <c r="I95" i="14"/>
  <c r="I83" i="14"/>
  <c r="I84" i="14"/>
  <c r="I85" i="14"/>
  <c r="I86" i="14"/>
  <c r="I87" i="14"/>
  <c r="I88" i="14"/>
  <c r="I89" i="14"/>
  <c r="I90" i="14"/>
  <c r="I91" i="14"/>
  <c r="I92" i="14"/>
  <c r="I82" i="14"/>
  <c r="I77" i="14"/>
  <c r="K76" i="14"/>
  <c r="J76" i="14"/>
  <c r="L75" i="14"/>
  <c r="J22" i="14"/>
  <c r="J114" i="14"/>
  <c r="J113" i="14"/>
  <c r="J96" i="14"/>
  <c r="J107" i="14" s="1"/>
  <c r="H113" i="14" l="1"/>
  <c r="H76" i="14"/>
  <c r="J18" i="7" l="1"/>
  <c r="I26" i="7"/>
  <c r="G364" i="13"/>
  <c r="G359" i="13"/>
  <c r="G358" i="13"/>
  <c r="F354" i="13"/>
  <c r="E354" i="13"/>
  <c r="D354" i="13"/>
  <c r="C354" i="13"/>
  <c r="B354" i="13"/>
  <c r="G354" i="13" s="1"/>
  <c r="G328" i="13"/>
  <c r="G327" i="13"/>
  <c r="G326" i="13"/>
  <c r="G325" i="13"/>
  <c r="G334" i="13" s="1"/>
  <c r="F323" i="13"/>
  <c r="E323" i="13"/>
  <c r="D323" i="13"/>
  <c r="C323" i="13"/>
  <c r="G323" i="13" s="1"/>
  <c r="G321" i="13"/>
  <c r="G319" i="13"/>
  <c r="G297" i="13"/>
  <c r="G296" i="13"/>
  <c r="G295" i="13"/>
  <c r="G294" i="13"/>
  <c r="F292" i="13"/>
  <c r="E292" i="13"/>
  <c r="D292" i="13"/>
  <c r="C292" i="13"/>
  <c r="G290" i="13"/>
  <c r="G288" i="13"/>
  <c r="G267" i="13"/>
  <c r="G266" i="13"/>
  <c r="G272" i="13" s="1"/>
  <c r="G263" i="13"/>
  <c r="G236" i="13"/>
  <c r="G235" i="13"/>
  <c r="G234" i="13"/>
  <c r="G233" i="13"/>
  <c r="F231" i="13"/>
  <c r="E231" i="13"/>
  <c r="G231" i="13" s="1"/>
  <c r="G229" i="13"/>
  <c r="G227" i="13"/>
  <c r="G204" i="13"/>
  <c r="G203" i="13"/>
  <c r="G202" i="13"/>
  <c r="G201" i="13"/>
  <c r="G210" i="13" s="1"/>
  <c r="F199" i="13"/>
  <c r="E199" i="13"/>
  <c r="D199" i="13"/>
  <c r="C199" i="13"/>
  <c r="G199" i="13" s="1"/>
  <c r="G197" i="13"/>
  <c r="G195" i="13"/>
  <c r="G178" i="13"/>
  <c r="G173" i="13"/>
  <c r="G172" i="13"/>
  <c r="D168" i="13"/>
  <c r="C168" i="13"/>
  <c r="B168" i="13"/>
  <c r="G168" i="13" s="1"/>
  <c r="C166" i="13"/>
  <c r="G164" i="13"/>
  <c r="E148" i="13"/>
  <c r="D148" i="13"/>
  <c r="G143" i="13"/>
  <c r="G142" i="13"/>
  <c r="G148" i="13" s="1"/>
  <c r="E138" i="13"/>
  <c r="D138" i="13"/>
  <c r="D117" i="13"/>
  <c r="G112" i="13"/>
  <c r="G111" i="13"/>
  <c r="G108" i="13"/>
  <c r="D108" i="13"/>
  <c r="G82" i="13"/>
  <c r="G81" i="13"/>
  <c r="D77" i="13"/>
  <c r="C77" i="13"/>
  <c r="B77" i="13"/>
  <c r="C75" i="13"/>
  <c r="G73" i="13"/>
  <c r="G57" i="13"/>
  <c r="G52" i="13"/>
  <c r="G51" i="13"/>
  <c r="D47" i="13"/>
  <c r="B47" i="13"/>
  <c r="C45" i="13"/>
  <c r="G43" i="13"/>
  <c r="G27" i="13"/>
  <c r="G22" i="13"/>
  <c r="G21" i="13"/>
  <c r="F17" i="13"/>
  <c r="E17" i="13"/>
  <c r="D17" i="13"/>
  <c r="C17" i="13"/>
  <c r="G15" i="13"/>
  <c r="G13" i="13"/>
  <c r="G17" i="13" l="1"/>
  <c r="G47" i="13"/>
  <c r="G117" i="13"/>
  <c r="G242" i="13"/>
  <c r="G77" i="13"/>
  <c r="G292" i="13"/>
  <c r="G303" i="13"/>
  <c r="G138" i="13"/>
  <c r="F17" i="32"/>
  <c r="F59" i="36" l="1"/>
  <c r="D59" i="36"/>
  <c r="H86" i="14" l="1"/>
  <c r="H41" i="14"/>
  <c r="J41" i="14"/>
  <c r="K41" i="14"/>
  <c r="G37" i="14"/>
  <c r="H37" i="14"/>
  <c r="J37" i="14"/>
  <c r="K37" i="14"/>
  <c r="H33" i="14"/>
  <c r="J33" i="14"/>
  <c r="K33" i="14"/>
  <c r="J24" i="14"/>
  <c r="K24" i="14"/>
  <c r="L11" i="21"/>
  <c r="L12" i="21"/>
  <c r="L13" i="21"/>
  <c r="L14" i="21"/>
  <c r="L15" i="21"/>
  <c r="L16" i="21"/>
  <c r="F18" i="21"/>
  <c r="F17" i="21"/>
  <c r="E15" i="17"/>
  <c r="F15" i="17"/>
  <c r="H15" i="17"/>
  <c r="I15" i="17"/>
  <c r="J15" i="17"/>
  <c r="K15" i="17"/>
  <c r="L15" i="17"/>
  <c r="E10" i="17"/>
  <c r="F10" i="17"/>
  <c r="H10" i="17"/>
  <c r="I10" i="17"/>
  <c r="J10" i="17"/>
  <c r="K10" i="17"/>
  <c r="L10" i="17"/>
  <c r="M10" i="17" s="1"/>
  <c r="M7" i="17"/>
  <c r="G19" i="5" l="1"/>
  <c r="E45" i="1"/>
  <c r="I33" i="1"/>
  <c r="I45" i="1" s="1"/>
  <c r="H33" i="1"/>
  <c r="H45" i="1" s="1"/>
  <c r="F33" i="1"/>
  <c r="F45" i="1" s="1"/>
  <c r="J23" i="1"/>
  <c r="J15" i="1"/>
  <c r="L6" i="22"/>
  <c r="L7" i="22"/>
  <c r="L9" i="22"/>
  <c r="L10" i="22"/>
  <c r="L12" i="22"/>
  <c r="L13" i="22"/>
  <c r="K52" i="18"/>
  <c r="J52" i="18"/>
  <c r="J40" i="18"/>
  <c r="J41" i="18" s="1"/>
  <c r="L28" i="18" l="1"/>
  <c r="G15" i="18"/>
  <c r="J15" i="18"/>
  <c r="K15" i="18"/>
  <c r="L15" i="18"/>
  <c r="I13" i="14"/>
  <c r="H21" i="9"/>
  <c r="I57" i="7"/>
  <c r="N11" i="6"/>
  <c r="N14" i="6"/>
  <c r="N15" i="6"/>
  <c r="N16" i="6"/>
  <c r="F13" i="6"/>
  <c r="N10" i="5"/>
  <c r="N11" i="5"/>
  <c r="N14" i="5"/>
  <c r="N15" i="5"/>
  <c r="F17" i="5"/>
  <c r="E26" i="34"/>
  <c r="I16" i="34"/>
  <c r="G16" i="34"/>
  <c r="E16" i="34"/>
  <c r="I15" i="9"/>
  <c r="I5" i="9"/>
  <c r="H50" i="7" l="1"/>
  <c r="I50" i="7" s="1"/>
  <c r="H25" i="7"/>
  <c r="J59" i="7" l="1"/>
  <c r="O5" i="23"/>
  <c r="K113" i="14" l="1"/>
  <c r="J106" i="14"/>
  <c r="K106" i="14"/>
  <c r="K96" i="14"/>
  <c r="L83" i="14"/>
  <c r="L84" i="14"/>
  <c r="L85" i="14"/>
  <c r="L86" i="14"/>
  <c r="L87" i="14"/>
  <c r="L90" i="14"/>
  <c r="L92" i="14"/>
  <c r="L93" i="14"/>
  <c r="L97" i="14"/>
  <c r="L98" i="14"/>
  <c r="L99" i="14"/>
  <c r="L104" i="14"/>
  <c r="L105" i="14"/>
  <c r="L108" i="14"/>
  <c r="L110" i="14"/>
  <c r="L111" i="14"/>
  <c r="L82" i="14"/>
  <c r="K107" i="14" l="1"/>
  <c r="K114" i="14" s="1"/>
  <c r="L76" i="14"/>
  <c r="K69" i="14"/>
  <c r="K66" i="14"/>
  <c r="K63" i="14"/>
  <c r="K57" i="14"/>
  <c r="K45" i="14"/>
  <c r="L40" i="14"/>
  <c r="L41" i="14"/>
  <c r="L42" i="14"/>
  <c r="L44" i="14"/>
  <c r="L46" i="14"/>
  <c r="L47" i="14"/>
  <c r="L48" i="14"/>
  <c r="L49" i="14"/>
  <c r="L50" i="14"/>
  <c r="L51" i="14"/>
  <c r="L53" i="14"/>
  <c r="L55" i="14"/>
  <c r="L56" i="14"/>
  <c r="L59" i="14"/>
  <c r="L60" i="14"/>
  <c r="L65" i="14"/>
  <c r="L67" i="14"/>
  <c r="L68" i="14"/>
  <c r="L72" i="14"/>
  <c r="L73" i="14"/>
  <c r="L74" i="14"/>
  <c r="L23" i="14"/>
  <c r="I23" i="14"/>
  <c r="L24" i="14"/>
  <c r="L26" i="14"/>
  <c r="L33" i="14"/>
  <c r="L34" i="14"/>
  <c r="L35" i="14"/>
  <c r="L36" i="14"/>
  <c r="L37" i="14"/>
  <c r="L38" i="14"/>
  <c r="L14" i="14"/>
  <c r="L16" i="14"/>
  <c r="L18" i="14"/>
  <c r="L19" i="14"/>
  <c r="L20" i="14"/>
  <c r="L7" i="14"/>
  <c r="L8" i="14"/>
  <c r="L9" i="14"/>
  <c r="L10" i="14"/>
  <c r="L6" i="14"/>
  <c r="D13" i="11" l="1"/>
  <c r="F13" i="11"/>
  <c r="H13" i="11"/>
  <c r="L9" i="11"/>
  <c r="L11" i="11"/>
  <c r="I26" i="9"/>
  <c r="F26" i="9"/>
  <c r="G24" i="9"/>
  <c r="H24" i="9" s="1"/>
  <c r="G25" i="9"/>
  <c r="H25" i="9" s="1"/>
  <c r="L60" i="7"/>
  <c r="L59" i="7"/>
  <c r="I17" i="32"/>
  <c r="H19" i="32"/>
  <c r="H20" i="32" s="1"/>
  <c r="L17" i="6"/>
  <c r="M17" i="6"/>
  <c r="O17" i="6"/>
  <c r="P17" i="6"/>
  <c r="M12" i="6"/>
  <c r="O12" i="6"/>
  <c r="P12" i="6"/>
  <c r="Q7" i="6"/>
  <c r="Q8" i="6"/>
  <c r="Q13" i="6"/>
  <c r="Q6" i="6"/>
  <c r="I7" i="6"/>
  <c r="I8" i="6"/>
  <c r="I14" i="6"/>
  <c r="I15" i="6"/>
  <c r="I16" i="6"/>
  <c r="I6" i="6"/>
  <c r="Q7" i="5"/>
  <c r="Q8" i="5"/>
  <c r="Q9" i="5"/>
  <c r="Q10" i="5"/>
  <c r="Q11" i="5"/>
  <c r="Q16" i="5"/>
  <c r="Q6" i="5"/>
  <c r="I15" i="5"/>
  <c r="I16" i="5"/>
  <c r="I17" i="5"/>
  <c r="M18" i="6" l="1"/>
  <c r="Q17" i="6"/>
  <c r="O18" i="6"/>
  <c r="Q12" i="6"/>
  <c r="K9" i="11"/>
  <c r="I9" i="11"/>
  <c r="G9" i="11"/>
  <c r="E9" i="11"/>
  <c r="C9" i="11"/>
  <c r="F18" i="11"/>
  <c r="D18" i="11"/>
  <c r="P18" i="6"/>
  <c r="K11" i="11"/>
  <c r="I11" i="11"/>
  <c r="G11" i="11"/>
  <c r="E11" i="11"/>
  <c r="C11" i="11"/>
  <c r="I7" i="5"/>
  <c r="I8" i="5"/>
  <c r="I9" i="5"/>
  <c r="I10" i="5"/>
  <c r="I6" i="5"/>
  <c r="H112" i="1"/>
  <c r="I112" i="1"/>
  <c r="H96" i="1"/>
  <c r="I96" i="1"/>
  <c r="J83" i="1"/>
  <c r="J84" i="1"/>
  <c r="J85" i="1"/>
  <c r="J86" i="1"/>
  <c r="J87" i="1"/>
  <c r="J90" i="1"/>
  <c r="J92" i="1"/>
  <c r="J93" i="1"/>
  <c r="J94" i="1"/>
  <c r="J95" i="1"/>
  <c r="J97" i="1"/>
  <c r="J98" i="1"/>
  <c r="J99" i="1"/>
  <c r="J105" i="1"/>
  <c r="J108" i="1"/>
  <c r="J110" i="1"/>
  <c r="J82" i="1"/>
  <c r="H76" i="1"/>
  <c r="I76" i="1"/>
  <c r="J72" i="1"/>
  <c r="J73" i="1"/>
  <c r="J74" i="1"/>
  <c r="J7" i="1"/>
  <c r="J8" i="1"/>
  <c r="J9" i="1"/>
  <c r="J10" i="1"/>
  <c r="J14" i="1"/>
  <c r="J16" i="1"/>
  <c r="J18" i="1"/>
  <c r="J19" i="1"/>
  <c r="J20" i="1"/>
  <c r="J21" i="1"/>
  <c r="J24" i="1"/>
  <c r="J25" i="1"/>
  <c r="J26" i="1"/>
  <c r="J33" i="1"/>
  <c r="J34" i="1"/>
  <c r="J35" i="1"/>
  <c r="J36" i="1"/>
  <c r="J37" i="1"/>
  <c r="J38" i="1"/>
  <c r="J40" i="1"/>
  <c r="J41" i="1"/>
  <c r="J42" i="1"/>
  <c r="J44" i="1"/>
  <c r="J46" i="1"/>
  <c r="J47" i="1"/>
  <c r="J48" i="1"/>
  <c r="J49" i="1"/>
  <c r="J50" i="1"/>
  <c r="J51" i="1"/>
  <c r="J53" i="1"/>
  <c r="J55" i="1"/>
  <c r="J56" i="1"/>
  <c r="J59" i="1"/>
  <c r="J60" i="1"/>
  <c r="J65" i="1"/>
  <c r="J67" i="1"/>
  <c r="E56" i="18" l="1"/>
  <c r="G56" i="18"/>
  <c r="J56" i="18"/>
  <c r="J57" i="18" s="1"/>
  <c r="J60" i="18" s="1"/>
  <c r="K56" i="18"/>
  <c r="L48" i="18"/>
  <c r="L49" i="18"/>
  <c r="L53" i="18"/>
  <c r="L47" i="18"/>
  <c r="K40" i="18"/>
  <c r="K41" i="18" s="1"/>
  <c r="K29" i="18"/>
  <c r="L25" i="18"/>
  <c r="L31" i="18"/>
  <c r="L34" i="18"/>
  <c r="L35" i="18"/>
  <c r="L37" i="18"/>
  <c r="L39" i="18"/>
  <c r="L17" i="18"/>
  <c r="K10" i="18"/>
  <c r="L8" i="18"/>
  <c r="L56" i="18" l="1"/>
  <c r="K33" i="18"/>
  <c r="K42" i="18" s="1"/>
  <c r="K57" i="18"/>
  <c r="K60" i="18" s="1"/>
  <c r="E18" i="19"/>
  <c r="F18" i="19"/>
  <c r="E17" i="19"/>
  <c r="F17" i="19"/>
  <c r="G17" i="19"/>
  <c r="H17" i="19"/>
  <c r="I17" i="19"/>
  <c r="J17" i="19"/>
  <c r="K17" i="19"/>
  <c r="L17" i="19"/>
  <c r="D18" i="19"/>
  <c r="D17" i="19"/>
  <c r="H56" i="17"/>
  <c r="K56" i="17"/>
  <c r="L56" i="17"/>
  <c r="M53" i="17"/>
  <c r="K52" i="17"/>
  <c r="K57" i="17" s="1"/>
  <c r="K60" i="17" s="1"/>
  <c r="L52" i="17"/>
  <c r="M48" i="17"/>
  <c r="M49" i="17"/>
  <c r="M50" i="17"/>
  <c r="M47" i="17"/>
  <c r="M56" i="17" l="1"/>
  <c r="M52" i="17"/>
  <c r="L57" i="17"/>
  <c r="K40" i="17"/>
  <c r="K41" i="17" s="1"/>
  <c r="L40" i="17"/>
  <c r="L41" i="17" s="1"/>
  <c r="K29" i="17"/>
  <c r="K33" i="17" s="1"/>
  <c r="L29" i="17"/>
  <c r="L33" i="17" s="1"/>
  <c r="M18" i="17"/>
  <c r="M19" i="17"/>
  <c r="M23" i="17"/>
  <c r="M25" i="17"/>
  <c r="M28" i="17"/>
  <c r="M34" i="17"/>
  <c r="M37" i="17"/>
  <c r="M38" i="17"/>
  <c r="M39" i="17"/>
  <c r="M17" i="17"/>
  <c r="K42" i="17" l="1"/>
  <c r="L42" i="17"/>
  <c r="L60" i="17"/>
  <c r="M60" i="17" s="1"/>
  <c r="M57" i="17"/>
  <c r="M29" i="17"/>
  <c r="E15" i="20"/>
  <c r="F15" i="20"/>
  <c r="D15" i="20"/>
  <c r="E15" i="22"/>
  <c r="F15" i="22"/>
  <c r="G15" i="22"/>
  <c r="H15" i="22"/>
  <c r="I15" i="22"/>
  <c r="J15" i="22"/>
  <c r="K15" i="22"/>
  <c r="D15" i="22"/>
  <c r="E18" i="21"/>
  <c r="G18" i="21"/>
  <c r="H18" i="21"/>
  <c r="I18" i="21"/>
  <c r="J18" i="21"/>
  <c r="K18" i="21"/>
  <c r="D18" i="21"/>
  <c r="E17" i="21"/>
  <c r="G17" i="21"/>
  <c r="H17" i="21"/>
  <c r="I17" i="21"/>
  <c r="J17" i="21"/>
  <c r="K17" i="21"/>
  <c r="D17" i="21"/>
  <c r="L17" i="21" s="1"/>
  <c r="I74" i="14"/>
  <c r="I65" i="14"/>
  <c r="I67" i="14"/>
  <c r="I68" i="14"/>
  <c r="J63" i="14"/>
  <c r="I59" i="14"/>
  <c r="J57" i="14"/>
  <c r="L57" i="14" s="1"/>
  <c r="I53" i="14"/>
  <c r="I54" i="14"/>
  <c r="I55" i="14"/>
  <c r="J45" i="14"/>
  <c r="L45" i="14" s="1"/>
  <c r="I42" i="14"/>
  <c r="I44" i="14"/>
  <c r="J31" i="14"/>
  <c r="K31" i="14"/>
  <c r="I26" i="14"/>
  <c r="J12" i="14"/>
  <c r="K12" i="14"/>
  <c r="I7" i="14"/>
  <c r="I8" i="14"/>
  <c r="I9" i="14"/>
  <c r="I10" i="14"/>
  <c r="D17" i="1"/>
  <c r="E18" i="32"/>
  <c r="F18" i="32" s="1"/>
  <c r="D5" i="32"/>
  <c r="D6" i="32"/>
  <c r="E6" i="32" s="1"/>
  <c r="D7" i="32"/>
  <c r="D8" i="32"/>
  <c r="D4" i="32"/>
  <c r="K61" i="7"/>
  <c r="J32" i="7"/>
  <c r="J35" i="7" s="1"/>
  <c r="J15" i="7"/>
  <c r="J17" i="7" s="1"/>
  <c r="H34" i="7"/>
  <c r="H60" i="7"/>
  <c r="I60" i="7" s="1"/>
  <c r="G17" i="6"/>
  <c r="H17" i="6"/>
  <c r="E16" i="6"/>
  <c r="F16" i="6" s="1"/>
  <c r="G12" i="6"/>
  <c r="H12" i="6"/>
  <c r="O19" i="5"/>
  <c r="P19" i="5"/>
  <c r="Q19" i="5" s="1"/>
  <c r="M17" i="5"/>
  <c r="N17" i="5" s="1"/>
  <c r="M18" i="5"/>
  <c r="N18" i="5" s="1"/>
  <c r="O13" i="5"/>
  <c r="O20" i="5" s="1"/>
  <c r="P13" i="5"/>
  <c r="H19" i="5"/>
  <c r="E12" i="5"/>
  <c r="F12" i="5" s="1"/>
  <c r="I17" i="6" l="1"/>
  <c r="L18" i="21"/>
  <c r="L15" i="22"/>
  <c r="L17" i="7"/>
  <c r="G22" i="5"/>
  <c r="H32" i="7"/>
  <c r="I34" i="7"/>
  <c r="E8" i="32"/>
  <c r="F8" i="32"/>
  <c r="E4" i="32"/>
  <c r="F4" i="32" s="1"/>
  <c r="K22" i="14"/>
  <c r="L12" i="14"/>
  <c r="L63" i="14"/>
  <c r="I12" i="6"/>
  <c r="E7" i="32"/>
  <c r="F7" i="32" s="1"/>
  <c r="H21" i="5"/>
  <c r="P20" i="5"/>
  <c r="H22" i="5" s="1"/>
  <c r="G26" i="9"/>
  <c r="H23" i="9"/>
  <c r="H26" i="9" s="1"/>
  <c r="F6" i="32"/>
  <c r="E5" i="32"/>
  <c r="F5" i="32" s="1"/>
  <c r="L31" i="14"/>
  <c r="G21" i="5"/>
  <c r="Q13" i="5"/>
  <c r="P21" i="5"/>
  <c r="I19" i="5"/>
  <c r="I13" i="5"/>
  <c r="H18" i="6"/>
  <c r="P22" i="5"/>
  <c r="G20" i="5"/>
  <c r="O21" i="5"/>
  <c r="G18" i="6"/>
  <c r="H20" i="5"/>
  <c r="J112" i="1"/>
  <c r="H106" i="1"/>
  <c r="I106" i="1"/>
  <c r="I107" i="1" s="1"/>
  <c r="I113" i="1" s="1"/>
  <c r="J76" i="1"/>
  <c r="H69" i="1"/>
  <c r="I69" i="1"/>
  <c r="F68" i="1"/>
  <c r="H66" i="1"/>
  <c r="I66" i="1"/>
  <c r="H63" i="1"/>
  <c r="I63" i="1"/>
  <c r="H57" i="1"/>
  <c r="I57" i="1"/>
  <c r="H31" i="1"/>
  <c r="I31" i="1"/>
  <c r="I12" i="1"/>
  <c r="H19" i="6" l="1"/>
  <c r="G19" i="6"/>
  <c r="I19" i="6" s="1"/>
  <c r="I22" i="1"/>
  <c r="F69" i="1"/>
  <c r="I18" i="6"/>
  <c r="L22" i="14"/>
  <c r="K70" i="14"/>
  <c r="K77" i="14" s="1"/>
  <c r="I20" i="5"/>
  <c r="J106" i="1"/>
  <c r="H107" i="1"/>
  <c r="H113" i="1" s="1"/>
  <c r="J96" i="1"/>
  <c r="I118" i="1"/>
  <c r="J69" i="1"/>
  <c r="J66" i="1"/>
  <c r="J63" i="1"/>
  <c r="J57" i="1"/>
  <c r="J45" i="1"/>
  <c r="J31" i="1"/>
  <c r="F66" i="1"/>
  <c r="I70" i="1" l="1"/>
  <c r="I77" i="1" s="1"/>
  <c r="J113" i="1"/>
  <c r="J107" i="1"/>
  <c r="I117" i="1" l="1"/>
  <c r="G47" i="7" l="1"/>
  <c r="G49" i="7"/>
  <c r="H52" i="7"/>
  <c r="I52" i="7" s="1"/>
  <c r="G56" i="7"/>
  <c r="G39" i="7"/>
  <c r="G41" i="7"/>
  <c r="G42" i="7"/>
  <c r="G44" i="7"/>
  <c r="G31" i="7"/>
  <c r="G16" i="7"/>
  <c r="L16" i="11"/>
  <c r="H15" i="11"/>
  <c r="D12" i="11"/>
  <c r="F12" i="11"/>
  <c r="H12" i="11"/>
  <c r="J12" i="11"/>
  <c r="B12" i="11"/>
  <c r="J10" i="11"/>
  <c r="L8" i="11"/>
  <c r="K16" i="11" l="1"/>
  <c r="I16" i="11"/>
  <c r="G16" i="11"/>
  <c r="E16" i="11"/>
  <c r="C16" i="11"/>
  <c r="H31" i="7"/>
  <c r="I31" i="7" s="1"/>
  <c r="H47" i="7"/>
  <c r="I47" i="7" s="1"/>
  <c r="I13" i="7"/>
  <c r="I14" i="7"/>
  <c r="H56" i="7"/>
  <c r="I56" i="7" s="1"/>
  <c r="B17" i="11"/>
  <c r="I12" i="7"/>
  <c r="I8" i="7"/>
  <c r="I29" i="7"/>
  <c r="H42" i="7"/>
  <c r="I42" i="7" s="1"/>
  <c r="B13" i="11"/>
  <c r="H17" i="11"/>
  <c r="I10" i="7"/>
  <c r="H16" i="7"/>
  <c r="I16" i="7" s="1"/>
  <c r="H39" i="7"/>
  <c r="I39" i="7" s="1"/>
  <c r="F17" i="11"/>
  <c r="I9" i="7"/>
  <c r="H44" i="7"/>
  <c r="I44" i="7" s="1"/>
  <c r="K8" i="11"/>
  <c r="I8" i="11"/>
  <c r="G8" i="11"/>
  <c r="E8" i="11"/>
  <c r="C8" i="11"/>
  <c r="J17" i="11"/>
  <c r="H18" i="11"/>
  <c r="I11" i="7"/>
  <c r="I7" i="7"/>
  <c r="I27" i="7"/>
  <c r="H41" i="7"/>
  <c r="I41" i="7" s="1"/>
  <c r="H49" i="7"/>
  <c r="I49" i="7" s="1"/>
  <c r="L10" i="11"/>
  <c r="D17" i="11"/>
  <c r="L12" i="11"/>
  <c r="E12" i="11" s="1"/>
  <c r="K12" i="11" l="1"/>
  <c r="G12" i="11"/>
  <c r="I12" i="11"/>
  <c r="C12" i="11"/>
  <c r="I10" i="11"/>
  <c r="G10" i="11"/>
  <c r="E10" i="11"/>
  <c r="K10" i="11"/>
  <c r="C10" i="11"/>
  <c r="L17" i="11"/>
  <c r="I17" i="11" s="1"/>
  <c r="G27" i="14"/>
  <c r="G28" i="14"/>
  <c r="G29" i="14"/>
  <c r="G30" i="14"/>
  <c r="I32" i="14"/>
  <c r="G43" i="14"/>
  <c r="G41" i="14" s="1"/>
  <c r="G71" i="14"/>
  <c r="H15" i="9"/>
  <c r="H5" i="9"/>
  <c r="G24" i="14" l="1"/>
  <c r="G31" i="14" s="1"/>
  <c r="G17" i="11"/>
  <c r="E17" i="11"/>
  <c r="I71" i="14"/>
  <c r="G76" i="14"/>
  <c r="G63" i="14"/>
  <c r="I58" i="14"/>
  <c r="I40" i="14"/>
  <c r="I35" i="14"/>
  <c r="H29" i="14"/>
  <c r="I29" i="14" s="1"/>
  <c r="I64" i="14"/>
  <c r="I52" i="14"/>
  <c r="I39" i="14"/>
  <c r="H28" i="14"/>
  <c r="I28" i="14" s="1"/>
  <c r="I62" i="14"/>
  <c r="I38" i="14"/>
  <c r="I37" i="14" s="1"/>
  <c r="H27" i="14"/>
  <c r="K17" i="11"/>
  <c r="I61" i="14"/>
  <c r="I43" i="14"/>
  <c r="I41" i="14" s="1"/>
  <c r="I36" i="14"/>
  <c r="H30" i="14"/>
  <c r="I30" i="14" s="1"/>
  <c r="I25" i="14"/>
  <c r="C17" i="11"/>
  <c r="G33" i="14"/>
  <c r="G10" i="32"/>
  <c r="D59" i="1"/>
  <c r="D60" i="1"/>
  <c r="E27" i="1"/>
  <c r="E28" i="1"/>
  <c r="E29" i="1"/>
  <c r="E30" i="1"/>
  <c r="H24" i="14" l="1"/>
  <c r="I27" i="14"/>
  <c r="I24" i="14" s="1"/>
  <c r="F30" i="1"/>
  <c r="I10" i="32"/>
  <c r="F29" i="1"/>
  <c r="F28" i="1"/>
  <c r="I34" i="14"/>
  <c r="I33" i="14" s="1"/>
  <c r="F27" i="1"/>
  <c r="E10" i="32"/>
  <c r="F9" i="32"/>
  <c r="F10" i="32" s="1"/>
  <c r="I50" i="14"/>
  <c r="M33" i="17"/>
  <c r="F111" i="14"/>
  <c r="F108" i="14"/>
  <c r="F99" i="14"/>
  <c r="F98" i="14"/>
  <c r="F97" i="14"/>
  <c r="F95" i="14"/>
  <c r="F92" i="14"/>
  <c r="F90" i="14"/>
  <c r="F85" i="14"/>
  <c r="F84" i="14"/>
  <c r="F83" i="14"/>
  <c r="F82" i="14"/>
  <c r="F80" i="14"/>
  <c r="F73" i="14"/>
  <c r="F69" i="14"/>
  <c r="F66" i="14"/>
  <c r="F60" i="14"/>
  <c r="F56" i="14"/>
  <c r="F49" i="14"/>
  <c r="F48" i="14"/>
  <c r="F47" i="14"/>
  <c r="F46" i="14"/>
  <c r="F41" i="14"/>
  <c r="F37" i="14"/>
  <c r="F33" i="14"/>
  <c r="F24" i="14"/>
  <c r="F20" i="14"/>
  <c r="F19" i="14"/>
  <c r="F18" i="14"/>
  <c r="F16" i="14"/>
  <c r="F6" i="14"/>
  <c r="E113" i="14"/>
  <c r="E99" i="14"/>
  <c r="E106" i="14" s="1"/>
  <c r="E93" i="14"/>
  <c r="E86" i="14" s="1"/>
  <c r="E96" i="14" s="1"/>
  <c r="E72" i="14"/>
  <c r="E76" i="14" s="1"/>
  <c r="E69" i="14"/>
  <c r="E66" i="14"/>
  <c r="E63" i="14"/>
  <c r="E57" i="14"/>
  <c r="E41" i="14"/>
  <c r="E37" i="14"/>
  <c r="E33" i="14"/>
  <c r="E24" i="14"/>
  <c r="E31" i="14" s="1"/>
  <c r="E14" i="14"/>
  <c r="E12" i="14"/>
  <c r="D113" i="14"/>
  <c r="D99" i="14"/>
  <c r="D106" i="14" s="1"/>
  <c r="D93" i="14"/>
  <c r="D92" i="14"/>
  <c r="D72" i="14"/>
  <c r="D76" i="14" s="1"/>
  <c r="D69" i="14"/>
  <c r="D66" i="14"/>
  <c r="D63" i="14"/>
  <c r="D57" i="14"/>
  <c r="D41" i="14"/>
  <c r="D37" i="14"/>
  <c r="D33" i="14"/>
  <c r="D24" i="14"/>
  <c r="D31" i="14" s="1"/>
  <c r="D14" i="14"/>
  <c r="D12" i="14"/>
  <c r="I16" i="14" l="1"/>
  <c r="I47" i="14"/>
  <c r="H63" i="14"/>
  <c r="I19" i="14"/>
  <c r="G45" i="14"/>
  <c r="H45" i="14"/>
  <c r="I48" i="14"/>
  <c r="F63" i="14"/>
  <c r="I63" i="14" s="1"/>
  <c r="H31" i="14"/>
  <c r="I56" i="14"/>
  <c r="I18" i="14"/>
  <c r="F72" i="14"/>
  <c r="I73" i="14"/>
  <c r="E107" i="14"/>
  <c r="F12" i="14"/>
  <c r="I20" i="14"/>
  <c r="G57" i="14"/>
  <c r="F93" i="14"/>
  <c r="M41" i="17"/>
  <c r="M40" i="17"/>
  <c r="D45" i="14"/>
  <c r="E45" i="14"/>
  <c r="F31" i="14"/>
  <c r="E114" i="14"/>
  <c r="F76" i="14"/>
  <c r="F113" i="14"/>
  <c r="D22" i="14"/>
  <c r="D86" i="14"/>
  <c r="D96" i="14" s="1"/>
  <c r="D107" i="14" s="1"/>
  <c r="D114" i="14" s="1"/>
  <c r="E22" i="14"/>
  <c r="E70" i="14" s="1"/>
  <c r="E77" i="14" s="1"/>
  <c r="F14" i="14"/>
  <c r="F45" i="14"/>
  <c r="F106" i="14"/>
  <c r="F51" i="14"/>
  <c r="M15" i="19"/>
  <c r="M16" i="19"/>
  <c r="H12" i="19"/>
  <c r="J12" i="19"/>
  <c r="K12" i="19"/>
  <c r="L12" i="19"/>
  <c r="M13" i="19"/>
  <c r="H9" i="19"/>
  <c r="I9" i="19"/>
  <c r="I18" i="19" s="1"/>
  <c r="J9" i="19"/>
  <c r="K9" i="19"/>
  <c r="L9" i="19"/>
  <c r="M10" i="19"/>
  <c r="H6" i="19"/>
  <c r="J6" i="19"/>
  <c r="K6" i="19"/>
  <c r="L6" i="19"/>
  <c r="M7" i="19"/>
  <c r="L10" i="21"/>
  <c r="L7" i="21"/>
  <c r="E14" i="20"/>
  <c r="F14" i="20"/>
  <c r="G14" i="20"/>
  <c r="H14" i="20"/>
  <c r="I14" i="20"/>
  <c r="J14" i="20"/>
  <c r="K14" i="20"/>
  <c r="L14" i="20"/>
  <c r="D14" i="20"/>
  <c r="G12" i="20"/>
  <c r="H12" i="20"/>
  <c r="J12" i="20"/>
  <c r="K12" i="20"/>
  <c r="L12" i="20"/>
  <c r="M13" i="20"/>
  <c r="M10" i="20"/>
  <c r="M9" i="20"/>
  <c r="G6" i="20"/>
  <c r="G15" i="20" s="1"/>
  <c r="H6" i="20"/>
  <c r="H15" i="20" s="1"/>
  <c r="I6" i="20"/>
  <c r="I15" i="20" s="1"/>
  <c r="J6" i="20"/>
  <c r="K6" i="20"/>
  <c r="K15" i="20" s="1"/>
  <c r="L6" i="20"/>
  <c r="L15" i="20" s="1"/>
  <c r="M7" i="20"/>
  <c r="E14" i="22"/>
  <c r="F14" i="22"/>
  <c r="G14" i="22"/>
  <c r="H14" i="22"/>
  <c r="I14" i="22"/>
  <c r="J14" i="22"/>
  <c r="K14" i="22"/>
  <c r="D14" i="22"/>
  <c r="J29" i="18"/>
  <c r="J10" i="18"/>
  <c r="G109" i="14"/>
  <c r="G113" i="14" s="1"/>
  <c r="G110" i="14"/>
  <c r="G100" i="14"/>
  <c r="G101" i="14"/>
  <c r="G102" i="14"/>
  <c r="G103" i="14"/>
  <c r="L96" i="14"/>
  <c r="G88" i="14"/>
  <c r="G89" i="14"/>
  <c r="G91" i="14"/>
  <c r="J66" i="14"/>
  <c r="J69" i="14"/>
  <c r="G11" i="14"/>
  <c r="D19" i="32"/>
  <c r="G19" i="32"/>
  <c r="G20" i="32" s="1"/>
  <c r="I20" i="32" s="1"/>
  <c r="D10" i="32"/>
  <c r="D20" i="32" s="1"/>
  <c r="L9" i="6"/>
  <c r="N9" i="6" s="1"/>
  <c r="L10" i="6"/>
  <c r="N10" i="6" s="1"/>
  <c r="D17" i="6"/>
  <c r="D10" i="6"/>
  <c r="D11" i="6"/>
  <c r="L12" i="5"/>
  <c r="D11" i="5"/>
  <c r="E111" i="1"/>
  <c r="E75" i="1"/>
  <c r="H118" i="1"/>
  <c r="E69" i="1"/>
  <c r="E66" i="1"/>
  <c r="K18" i="19" l="1"/>
  <c r="L14" i="22"/>
  <c r="F22" i="14"/>
  <c r="N12" i="5"/>
  <c r="I19" i="32"/>
  <c r="I66" i="14"/>
  <c r="L66" i="14"/>
  <c r="F75" i="1"/>
  <c r="F76" i="1" s="1"/>
  <c r="E11" i="6"/>
  <c r="F11" i="6" s="1"/>
  <c r="D70" i="14"/>
  <c r="D77" i="14" s="1"/>
  <c r="I31" i="14"/>
  <c r="I45" i="14"/>
  <c r="H11" i="14"/>
  <c r="I11" i="14" s="1"/>
  <c r="L10" i="18"/>
  <c r="H18" i="19"/>
  <c r="H51" i="14"/>
  <c r="I51" i="14" s="1"/>
  <c r="I14" i="14"/>
  <c r="I72" i="14"/>
  <c r="I76" i="14" s="1"/>
  <c r="H106" i="14"/>
  <c r="I60" i="14"/>
  <c r="J18" i="19"/>
  <c r="I46" i="14"/>
  <c r="F111" i="1"/>
  <c r="E10" i="6"/>
  <c r="F10" i="6" s="1"/>
  <c r="E11" i="5"/>
  <c r="F11" i="5" s="1"/>
  <c r="J15" i="20"/>
  <c r="L18" i="19"/>
  <c r="F86" i="14"/>
  <c r="F96" i="14" s="1"/>
  <c r="F107" i="14" s="1"/>
  <c r="F114" i="14" s="1"/>
  <c r="I49" i="14"/>
  <c r="H96" i="14"/>
  <c r="H107" i="14" s="1"/>
  <c r="H114" i="14" s="1"/>
  <c r="L29" i="18"/>
  <c r="M17" i="19"/>
  <c r="M9" i="19"/>
  <c r="G18" i="19"/>
  <c r="L113" i="14"/>
  <c r="L106" i="14"/>
  <c r="L69" i="14"/>
  <c r="J70" i="14"/>
  <c r="J77" i="14" s="1"/>
  <c r="Q20" i="5"/>
  <c r="L52" i="18"/>
  <c r="L40" i="18"/>
  <c r="M12" i="19"/>
  <c r="M42" i="17"/>
  <c r="O22" i="5"/>
  <c r="F57" i="14"/>
  <c r="J33" i="18"/>
  <c r="M6" i="20"/>
  <c r="M14" i="20"/>
  <c r="M12" i="20"/>
  <c r="M6" i="19"/>
  <c r="F70" i="14" l="1"/>
  <c r="F77" i="14" s="1"/>
  <c r="I57" i="14"/>
  <c r="H57" i="14"/>
  <c r="I69" i="14"/>
  <c r="L33" i="18"/>
  <c r="M18" i="19"/>
  <c r="L107" i="14"/>
  <c r="L77" i="14"/>
  <c r="L70" i="14"/>
  <c r="Q18" i="6"/>
  <c r="M15" i="20"/>
  <c r="L60" i="18"/>
  <c r="L57" i="18"/>
  <c r="L41" i="18"/>
  <c r="J42" i="18"/>
  <c r="O17" i="23"/>
  <c r="L114" i="14" l="1"/>
  <c r="L42" i="18"/>
  <c r="F56" i="17"/>
  <c r="F37" i="17"/>
  <c r="F18" i="17"/>
  <c r="F29" i="17" s="1"/>
  <c r="E59" i="17"/>
  <c r="F59" i="17"/>
  <c r="D59" i="17"/>
  <c r="G58" i="17"/>
  <c r="G54" i="17"/>
  <c r="J54" i="17" s="1"/>
  <c r="G55" i="17"/>
  <c r="J55" i="17" s="1"/>
  <c r="G53" i="17"/>
  <c r="F52" i="17"/>
  <c r="G49" i="17"/>
  <c r="G50" i="17"/>
  <c r="G51" i="17"/>
  <c r="G48" i="17"/>
  <c r="G47" i="17"/>
  <c r="G39" i="17"/>
  <c r="G38" i="17"/>
  <c r="G36" i="17"/>
  <c r="G35" i="17"/>
  <c r="F34" i="17"/>
  <c r="G32" i="17"/>
  <c r="J32" i="17" s="1"/>
  <c r="G31" i="17"/>
  <c r="J31" i="17" s="1"/>
  <c r="G30" i="17"/>
  <c r="J30" i="17" s="1"/>
  <c r="G20" i="17"/>
  <c r="G21" i="17"/>
  <c r="G22" i="17"/>
  <c r="G23" i="17"/>
  <c r="G24" i="17"/>
  <c r="G25" i="17"/>
  <c r="G26" i="17"/>
  <c r="G27" i="17"/>
  <c r="G28" i="17"/>
  <c r="G19" i="17"/>
  <c r="G17" i="17"/>
  <c r="G12" i="17"/>
  <c r="G13" i="17"/>
  <c r="G14" i="17"/>
  <c r="G11" i="17"/>
  <c r="G7" i="17"/>
  <c r="G8" i="17"/>
  <c r="G9" i="17"/>
  <c r="G6" i="17"/>
  <c r="G15" i="17" l="1"/>
  <c r="G10" i="17"/>
  <c r="H27" i="17"/>
  <c r="I27" i="17" s="1"/>
  <c r="H35" i="17"/>
  <c r="J35" i="17" s="1"/>
  <c r="J49" i="17"/>
  <c r="H26" i="17"/>
  <c r="I26" i="17" s="1"/>
  <c r="H36" i="17"/>
  <c r="J36" i="17" s="1"/>
  <c r="G59" i="17"/>
  <c r="J59" i="17" s="1"/>
  <c r="J58" i="17"/>
  <c r="J23" i="17"/>
  <c r="J19" i="17"/>
  <c r="J25" i="17"/>
  <c r="H21" i="17"/>
  <c r="I21" i="17"/>
  <c r="J21" i="17" s="1"/>
  <c r="J38" i="17"/>
  <c r="H51" i="17"/>
  <c r="I51" i="17" s="1"/>
  <c r="J51" i="17" s="1"/>
  <c r="I56" i="17"/>
  <c r="J47" i="17"/>
  <c r="J17" i="17"/>
  <c r="H22" i="17"/>
  <c r="J48" i="17"/>
  <c r="J28" i="17"/>
  <c r="H24" i="17"/>
  <c r="H20" i="17"/>
  <c r="I20" i="17" s="1"/>
  <c r="J20" i="17" s="1"/>
  <c r="J39" i="17"/>
  <c r="J50" i="17"/>
  <c r="G56" i="17"/>
  <c r="F40" i="17"/>
  <c r="F41" i="17" s="1"/>
  <c r="F33" i="17"/>
  <c r="F57" i="17"/>
  <c r="F60" i="17" s="1"/>
  <c r="H52" i="17" l="1"/>
  <c r="H57" i="17" s="1"/>
  <c r="H60" i="17" s="1"/>
  <c r="I22" i="17"/>
  <c r="J22" i="17" s="1"/>
  <c r="J27" i="17"/>
  <c r="J52" i="17"/>
  <c r="I24" i="17"/>
  <c r="J24" i="17" s="1"/>
  <c r="J53" i="17"/>
  <c r="J56" i="17" s="1"/>
  <c r="I52" i="17"/>
  <c r="I57" i="17" s="1"/>
  <c r="I60" i="17" s="1"/>
  <c r="J26" i="17"/>
  <c r="F42" i="17"/>
  <c r="E22" i="9"/>
  <c r="J57" i="17" l="1"/>
  <c r="J60" i="17" s="1"/>
  <c r="M8" i="19" l="1"/>
  <c r="M11" i="19"/>
  <c r="M14" i="19"/>
  <c r="M8" i="20" l="1"/>
  <c r="E7" i="28" l="1"/>
  <c r="E23" i="28" l="1"/>
  <c r="E27" i="28" l="1"/>
  <c r="E29" i="28" s="1"/>
  <c r="F26" i="34"/>
  <c r="G26" i="34"/>
  <c r="H26" i="34"/>
  <c r="I26" i="34"/>
  <c r="J26" i="34"/>
  <c r="K26" i="34"/>
  <c r="L26" i="34"/>
  <c r="M26" i="34"/>
  <c r="N26" i="34"/>
  <c r="C16" i="5"/>
  <c r="C15" i="6"/>
  <c r="J8" i="6"/>
  <c r="J7" i="6"/>
  <c r="J6" i="6"/>
  <c r="J7" i="5"/>
  <c r="J8" i="5"/>
  <c r="J9" i="5"/>
  <c r="J10" i="5"/>
  <c r="J6" i="5"/>
  <c r="E15" i="6" l="1"/>
  <c r="F15" i="6" s="1"/>
  <c r="E16" i="5"/>
  <c r="F16" i="5" s="1"/>
  <c r="B17" i="5"/>
  <c r="B16" i="5"/>
  <c r="B14" i="5"/>
  <c r="C14" i="6"/>
  <c r="K4" i="6"/>
  <c r="C18" i="5"/>
  <c r="C15" i="5"/>
  <c r="C14" i="5"/>
  <c r="F14" i="5" s="1"/>
  <c r="K4" i="5"/>
  <c r="C17" i="6" l="1"/>
  <c r="E14" i="6"/>
  <c r="E17" i="6" s="1"/>
  <c r="C19" i="5"/>
  <c r="F14" i="6" l="1"/>
  <c r="F17" i="6"/>
  <c r="D109" i="1"/>
  <c r="D110" i="1"/>
  <c r="D101" i="1"/>
  <c r="D102" i="1"/>
  <c r="D103" i="1"/>
  <c r="D104" i="1"/>
  <c r="D105" i="1"/>
  <c r="D100" i="1"/>
  <c r="D88" i="1"/>
  <c r="D89" i="1"/>
  <c r="D91" i="1"/>
  <c r="D94" i="1"/>
  <c r="D87" i="1"/>
  <c r="D61" i="1"/>
  <c r="D62" i="1"/>
  <c r="D58" i="1"/>
  <c r="D54" i="1"/>
  <c r="D55" i="1"/>
  <c r="D53" i="1"/>
  <c r="D50" i="1"/>
  <c r="D43" i="1"/>
  <c r="D44" i="1"/>
  <c r="D42" i="1"/>
  <c r="D40" i="1"/>
  <c r="D39" i="1"/>
  <c r="D38" i="1"/>
  <c r="D35" i="1"/>
  <c r="D36" i="1"/>
  <c r="D34" i="1"/>
  <c r="D32" i="1"/>
  <c r="D25" i="1"/>
  <c r="D19" i="1"/>
  <c r="D21" i="1"/>
  <c r="D13" i="1"/>
  <c r="D7" i="1"/>
  <c r="D8" i="1"/>
  <c r="D9" i="1"/>
  <c r="D10" i="1"/>
  <c r="D11" i="1"/>
  <c r="D7" i="29"/>
  <c r="E7" i="29"/>
  <c r="F7" i="29"/>
  <c r="G7" i="29"/>
  <c r="C7" i="29"/>
  <c r="E11" i="1" l="1"/>
  <c r="F11" i="1" s="1"/>
  <c r="E43" i="1"/>
  <c r="E89" i="1"/>
  <c r="E61" i="1"/>
  <c r="E91" i="1"/>
  <c r="E101" i="1"/>
  <c r="E35" i="1"/>
  <c r="E62" i="1"/>
  <c r="E100" i="1"/>
  <c r="E102" i="1"/>
  <c r="E19" i="1"/>
  <c r="E88" i="1"/>
  <c r="E103" i="1"/>
  <c r="E109" i="1"/>
  <c r="F109" i="1" s="1"/>
  <c r="K16" i="5"/>
  <c r="E110" i="1"/>
  <c r="F110" i="1" s="1"/>
  <c r="D37" i="1"/>
  <c r="H6" i="29"/>
  <c r="H5" i="29"/>
  <c r="H4" i="29"/>
  <c r="K19" i="5" l="1"/>
  <c r="L16" i="5"/>
  <c r="L19" i="5" s="1"/>
  <c r="H7" i="29"/>
  <c r="C19" i="30"/>
  <c r="M16" i="5" l="1"/>
  <c r="F14" i="11"/>
  <c r="L14" i="11" l="1"/>
  <c r="G14" i="11" s="1"/>
  <c r="M19" i="5"/>
  <c r="N16" i="5"/>
  <c r="N19" i="5" s="1"/>
  <c r="J10" i="26"/>
  <c r="K9" i="26"/>
  <c r="K8" i="26"/>
  <c r="K7" i="26"/>
  <c r="K6" i="26"/>
  <c r="K5" i="26"/>
  <c r="K14" i="11" l="1"/>
  <c r="I14" i="11"/>
  <c r="E14" i="11"/>
  <c r="C14" i="11"/>
  <c r="L15" i="11"/>
  <c r="K10" i="26"/>
  <c r="K15" i="11" l="1"/>
  <c r="G15" i="11"/>
  <c r="E15" i="11"/>
  <c r="C15" i="11"/>
  <c r="I15" i="11"/>
  <c r="H16" i="34"/>
  <c r="H27" i="34" s="1"/>
  <c r="I27" i="34"/>
  <c r="J16" i="34"/>
  <c r="J27" i="34" s="1"/>
  <c r="K16" i="34"/>
  <c r="K27" i="34" s="1"/>
  <c r="L16" i="34"/>
  <c r="L27" i="34" s="1"/>
  <c r="M16" i="34"/>
  <c r="M27" i="34" s="1"/>
  <c r="N16" i="34"/>
  <c r="N27" i="34" s="1"/>
  <c r="E27" i="34"/>
  <c r="F16" i="34"/>
  <c r="F27" i="34" s="1"/>
  <c r="G27" i="34" l="1"/>
  <c r="D56" i="1"/>
  <c r="D39" i="18" l="1"/>
  <c r="D90" i="1" l="1"/>
  <c r="E63" i="1" l="1"/>
  <c r="E26" i="9"/>
  <c r="F63" i="1" l="1"/>
  <c r="E27" i="9"/>
  <c r="E24" i="31"/>
  <c r="D24" i="31"/>
  <c r="C24" i="31"/>
  <c r="E18" i="31"/>
  <c r="D18" i="31"/>
  <c r="C18" i="31"/>
  <c r="E16" i="31"/>
  <c r="D16" i="31"/>
  <c r="C16" i="31"/>
  <c r="C25" i="31" l="1"/>
  <c r="C10" i="32"/>
  <c r="C19" i="32"/>
  <c r="E19" i="32" s="1"/>
  <c r="E20" i="32" s="1"/>
  <c r="E25" i="31"/>
  <c r="D25" i="31"/>
  <c r="C20" i="32" l="1"/>
  <c r="F19" i="32"/>
  <c r="F20" i="32" l="1"/>
  <c r="E95" i="1"/>
  <c r="F95" i="1" l="1"/>
  <c r="K7" i="6"/>
  <c r="N7" i="6" s="1"/>
  <c r="D38" i="18"/>
  <c r="D6" i="1" l="1"/>
  <c r="G6" i="14"/>
  <c r="G12" i="14" l="1"/>
  <c r="H12" i="14"/>
  <c r="H22" i="14" s="1"/>
  <c r="H70" i="14" s="1"/>
  <c r="H77" i="14" s="1"/>
  <c r="E12" i="1"/>
  <c r="E37" i="17"/>
  <c r="G37" i="17"/>
  <c r="D37" i="17"/>
  <c r="F11" i="18"/>
  <c r="F12" i="18"/>
  <c r="F13" i="18"/>
  <c r="F14" i="18"/>
  <c r="F38" i="18"/>
  <c r="F39" i="18"/>
  <c r="E37" i="18"/>
  <c r="D37" i="18"/>
  <c r="H14" i="18" l="1"/>
  <c r="I14" i="18" s="1"/>
  <c r="H13" i="18"/>
  <c r="I13" i="18" s="1"/>
  <c r="J37" i="17"/>
  <c r="I40" i="17"/>
  <c r="I41" i="17" s="1"/>
  <c r="I39" i="18"/>
  <c r="H12" i="18"/>
  <c r="I12" i="18" s="1"/>
  <c r="I6" i="14"/>
  <c r="I12" i="14" s="1"/>
  <c r="I22" i="14" s="1"/>
  <c r="I70" i="14" s="1"/>
  <c r="I38" i="18"/>
  <c r="K38" i="18"/>
  <c r="L38" i="18" s="1"/>
  <c r="H11" i="18"/>
  <c r="K8" i="21"/>
  <c r="L8" i="21" s="1"/>
  <c r="F37" i="18"/>
  <c r="H15" i="18" l="1"/>
  <c r="G40" i="18"/>
  <c r="G41" i="18" s="1"/>
  <c r="I37" i="18"/>
  <c r="I11" i="18"/>
  <c r="I15" i="18" s="1"/>
  <c r="L9" i="21"/>
  <c r="K5" i="22"/>
  <c r="F23" i="28"/>
  <c r="F27" i="28" s="1"/>
  <c r="F29" i="28" s="1"/>
  <c r="D23" i="28"/>
  <c r="D27" i="28" s="1"/>
  <c r="D29" i="28" s="1"/>
  <c r="F14" i="28"/>
  <c r="F16" i="28" s="1"/>
  <c r="E14" i="28"/>
  <c r="E16" i="28" s="1"/>
  <c r="D14" i="28"/>
  <c r="D16" i="28" s="1"/>
  <c r="C14" i="25"/>
  <c r="C8" i="25"/>
  <c r="L5" i="22" l="1"/>
  <c r="C15" i="25"/>
  <c r="H8" i="24"/>
  <c r="G8" i="24"/>
  <c r="F8" i="24"/>
  <c r="E8" i="24"/>
  <c r="B8" i="24"/>
  <c r="I7" i="24"/>
  <c r="I8" i="24" s="1"/>
  <c r="D7" i="24"/>
  <c r="D8" i="24" s="1"/>
  <c r="D108" i="1" l="1"/>
  <c r="N23" i="23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6" i="23"/>
  <c r="O15" i="23"/>
  <c r="O14" i="23"/>
  <c r="O23" i="23" l="1"/>
  <c r="K13" i="6"/>
  <c r="E108" i="1"/>
  <c r="E112" i="1" s="1"/>
  <c r="N24" i="23"/>
  <c r="F24" i="23"/>
  <c r="L24" i="23"/>
  <c r="H24" i="23"/>
  <c r="D24" i="23"/>
  <c r="J24" i="23"/>
  <c r="K24" i="23"/>
  <c r="G24" i="23"/>
  <c r="E24" i="23"/>
  <c r="I24" i="23"/>
  <c r="M24" i="23"/>
  <c r="C24" i="23"/>
  <c r="M11" i="20"/>
  <c r="M5" i="20"/>
  <c r="M5" i="19"/>
  <c r="E59" i="18"/>
  <c r="D59" i="18"/>
  <c r="F58" i="18"/>
  <c r="D56" i="18"/>
  <c r="F55" i="18"/>
  <c r="I55" i="18" s="1"/>
  <c r="F54" i="18"/>
  <c r="I54" i="18" s="1"/>
  <c r="F53" i="18"/>
  <c r="E52" i="18"/>
  <c r="D52" i="18"/>
  <c r="F51" i="18"/>
  <c r="F50" i="18"/>
  <c r="F49" i="18"/>
  <c r="F48" i="18"/>
  <c r="F47" i="18"/>
  <c r="I47" i="18" s="1"/>
  <c r="F36" i="18"/>
  <c r="F35" i="18"/>
  <c r="E34" i="18"/>
  <c r="E40" i="18" s="1"/>
  <c r="E41" i="18" s="1"/>
  <c r="D34" i="18"/>
  <c r="D40" i="18" s="1"/>
  <c r="D41" i="18" s="1"/>
  <c r="F32" i="18"/>
  <c r="F31" i="18"/>
  <c r="F30" i="18"/>
  <c r="F28" i="18"/>
  <c r="F27" i="18"/>
  <c r="F26" i="18"/>
  <c r="F25" i="18"/>
  <c r="G29" i="18" s="1"/>
  <c r="F24" i="18"/>
  <c r="F23" i="18"/>
  <c r="F22" i="18"/>
  <c r="F21" i="18"/>
  <c r="F20" i="18"/>
  <c r="F19" i="18"/>
  <c r="E18" i="18"/>
  <c r="E29" i="18" s="1"/>
  <c r="D18" i="18"/>
  <c r="D29" i="18" s="1"/>
  <c r="F17" i="18"/>
  <c r="I17" i="18" s="1"/>
  <c r="F16" i="18"/>
  <c r="E15" i="18"/>
  <c r="D15" i="18"/>
  <c r="E10" i="18"/>
  <c r="D10" i="18"/>
  <c r="F9" i="18"/>
  <c r="F8" i="18"/>
  <c r="F7" i="18"/>
  <c r="F6" i="18"/>
  <c r="D15" i="1" s="1"/>
  <c r="E56" i="17"/>
  <c r="D56" i="17"/>
  <c r="E52" i="17"/>
  <c r="D52" i="17"/>
  <c r="E34" i="17"/>
  <c r="E40" i="17" s="1"/>
  <c r="E41" i="17" s="1"/>
  <c r="D34" i="17"/>
  <c r="D40" i="17" s="1"/>
  <c r="D41" i="17" s="1"/>
  <c r="E18" i="17"/>
  <c r="E29" i="17" s="1"/>
  <c r="D18" i="17"/>
  <c r="D29" i="17" s="1"/>
  <c r="G16" i="17"/>
  <c r="D15" i="17"/>
  <c r="D10" i="17"/>
  <c r="G106" i="14"/>
  <c r="H20" i="18" l="1"/>
  <c r="I20" i="18" s="1"/>
  <c r="D52" i="1"/>
  <c r="E52" i="1" s="1"/>
  <c r="H24" i="18"/>
  <c r="I24" i="18" s="1"/>
  <c r="H51" i="18"/>
  <c r="I51" i="18" s="1"/>
  <c r="G10" i="18"/>
  <c r="H8" i="18"/>
  <c r="I8" i="18" s="1"/>
  <c r="H30" i="18"/>
  <c r="I30" i="18" s="1"/>
  <c r="H9" i="18"/>
  <c r="I9" i="18" s="1"/>
  <c r="H22" i="18"/>
  <c r="I22" i="18" s="1"/>
  <c r="H26" i="18"/>
  <c r="I26" i="18" s="1"/>
  <c r="H31" i="18"/>
  <c r="I31" i="18" s="1"/>
  <c r="I35" i="18"/>
  <c r="H35" i="18"/>
  <c r="I49" i="18"/>
  <c r="D49" i="1"/>
  <c r="H21" i="18"/>
  <c r="I21" i="18" s="1"/>
  <c r="H16" i="18"/>
  <c r="H19" i="18"/>
  <c r="I19" i="18" s="1"/>
  <c r="H23" i="18"/>
  <c r="I23" i="18" s="1"/>
  <c r="H27" i="18"/>
  <c r="I27" i="18" s="1"/>
  <c r="H32" i="18"/>
  <c r="I32" i="18" s="1"/>
  <c r="H36" i="18"/>
  <c r="I36" i="18" s="1"/>
  <c r="H50" i="18"/>
  <c r="F56" i="18"/>
  <c r="H56" i="18"/>
  <c r="F59" i="18"/>
  <c r="I59" i="18" s="1"/>
  <c r="I58" i="18"/>
  <c r="E15" i="1"/>
  <c r="F15" i="1" s="1"/>
  <c r="K17" i="6"/>
  <c r="N17" i="6" s="1"/>
  <c r="N13" i="6"/>
  <c r="G33" i="18"/>
  <c r="F108" i="1"/>
  <c r="F112" i="1" s="1"/>
  <c r="D57" i="18"/>
  <c r="D60" i="18" s="1"/>
  <c r="E57" i="18"/>
  <c r="E60" i="18" s="1"/>
  <c r="F18" i="18"/>
  <c r="D82" i="1"/>
  <c r="D83" i="1"/>
  <c r="D85" i="1"/>
  <c r="G50" i="18"/>
  <c r="I50" i="18" s="1"/>
  <c r="D8" i="22"/>
  <c r="L8" i="22" s="1"/>
  <c r="D20" i="1"/>
  <c r="F11" i="22"/>
  <c r="L11" i="22" s="1"/>
  <c r="D47" i="1"/>
  <c r="F34" i="18"/>
  <c r="O24" i="23"/>
  <c r="E57" i="17"/>
  <c r="E60" i="17" s="1"/>
  <c r="G52" i="17"/>
  <c r="G18" i="17"/>
  <c r="G34" i="17"/>
  <c r="J34" i="17" s="1"/>
  <c r="J40" i="17" s="1"/>
  <c r="J41" i="17" s="1"/>
  <c r="F52" i="18"/>
  <c r="F10" i="18"/>
  <c r="E33" i="18"/>
  <c r="E42" i="18" s="1"/>
  <c r="F15" i="18"/>
  <c r="D33" i="18"/>
  <c r="D42" i="18" s="1"/>
  <c r="D57" i="17"/>
  <c r="D60" i="17" s="1"/>
  <c r="D33" i="17"/>
  <c r="D42" i="17" s="1"/>
  <c r="E33" i="17"/>
  <c r="E42" i="17" s="1"/>
  <c r="I16" i="18" l="1"/>
  <c r="I53" i="18"/>
  <c r="I56" i="18" s="1"/>
  <c r="H52" i="18"/>
  <c r="H57" i="18" s="1"/>
  <c r="H60" i="18" s="1"/>
  <c r="F40" i="18"/>
  <c r="H34" i="18"/>
  <c r="H40" i="18" s="1"/>
  <c r="H41" i="18" s="1"/>
  <c r="I48" i="18"/>
  <c r="H10" i="18"/>
  <c r="F29" i="18"/>
  <c r="H18" i="18"/>
  <c r="I18" i="18" s="1"/>
  <c r="G42" i="18"/>
  <c r="G40" i="17"/>
  <c r="G41" i="17" s="1"/>
  <c r="H40" i="17"/>
  <c r="H41" i="17" s="1"/>
  <c r="D48" i="1"/>
  <c r="H29" i="17"/>
  <c r="H33" i="17" s="1"/>
  <c r="K8" i="5"/>
  <c r="N8" i="5" s="1"/>
  <c r="K6" i="5"/>
  <c r="K9" i="5"/>
  <c r="K7" i="5"/>
  <c r="G52" i="18"/>
  <c r="G57" i="18" s="1"/>
  <c r="G60" i="18" s="1"/>
  <c r="C10" i="30"/>
  <c r="C11" i="30" s="1"/>
  <c r="C20" i="30" s="1"/>
  <c r="F57" i="18"/>
  <c r="F60" i="18" s="1"/>
  <c r="G29" i="17"/>
  <c r="F5" i="21" s="1"/>
  <c r="F33" i="18"/>
  <c r="G57" i="17"/>
  <c r="G60" i="17" s="1"/>
  <c r="I34" i="18" l="1"/>
  <c r="I40" i="18" s="1"/>
  <c r="I41" i="18" s="1"/>
  <c r="H29" i="18"/>
  <c r="H33" i="18" s="1"/>
  <c r="I10" i="18"/>
  <c r="I33" i="18" s="1"/>
  <c r="I42" i="18" s="1"/>
  <c r="I29" i="18"/>
  <c r="I52" i="18"/>
  <c r="I57" i="18" s="1"/>
  <c r="I60" i="18" s="1"/>
  <c r="F41" i="18"/>
  <c r="F42" i="18" s="1"/>
  <c r="I29" i="17"/>
  <c r="I33" i="17" s="1"/>
  <c r="I42" i="17" s="1"/>
  <c r="J18" i="17"/>
  <c r="J29" i="17" s="1"/>
  <c r="J33" i="17" s="1"/>
  <c r="J42" i="17" s="1"/>
  <c r="E57" i="1"/>
  <c r="F57" i="1"/>
  <c r="N6" i="5"/>
  <c r="N7" i="5"/>
  <c r="N9" i="5"/>
  <c r="H42" i="17"/>
  <c r="L5" i="21"/>
  <c r="L6" i="21"/>
  <c r="G33" i="17"/>
  <c r="G42" i="17" s="1"/>
  <c r="F55" i="7"/>
  <c r="F53" i="7"/>
  <c r="F51" i="7"/>
  <c r="F48" i="7"/>
  <c r="F46" i="7"/>
  <c r="F45" i="7"/>
  <c r="F43" i="7"/>
  <c r="F40" i="7"/>
  <c r="F38" i="7"/>
  <c r="F37" i="7"/>
  <c r="F33" i="7"/>
  <c r="I33" i="7" s="1"/>
  <c r="F30" i="7"/>
  <c r="I30" i="7" s="1"/>
  <c r="F28" i="7"/>
  <c r="F25" i="7"/>
  <c r="I25" i="7" s="1"/>
  <c r="F23" i="7"/>
  <c r="I23" i="7" s="1"/>
  <c r="F22" i="7"/>
  <c r="I22" i="7" s="1"/>
  <c r="F21" i="7"/>
  <c r="F20" i="7"/>
  <c r="F19" i="7"/>
  <c r="F6" i="7"/>
  <c r="F5" i="7"/>
  <c r="H42" i="18" l="1"/>
  <c r="G6" i="7"/>
  <c r="H40" i="7"/>
  <c r="I40" i="7" s="1"/>
  <c r="I20" i="7"/>
  <c r="G37" i="7"/>
  <c r="H37" i="7" s="1"/>
  <c r="H45" i="7"/>
  <c r="I45" i="7" s="1"/>
  <c r="H53" i="7"/>
  <c r="I53" i="7" s="1"/>
  <c r="G18" i="7"/>
  <c r="I19" i="7"/>
  <c r="H43" i="7"/>
  <c r="I43" i="7" s="1"/>
  <c r="J54" i="7"/>
  <c r="I51" i="7"/>
  <c r="G5" i="7"/>
  <c r="I5" i="7" s="1"/>
  <c r="I21" i="7"/>
  <c r="G38" i="7"/>
  <c r="H38" i="7" s="1"/>
  <c r="G55" i="7"/>
  <c r="F58" i="7"/>
  <c r="N13" i="5"/>
  <c r="H18" i="7"/>
  <c r="G15" i="7"/>
  <c r="G17" i="7" s="1"/>
  <c r="H15" i="7"/>
  <c r="H17" i="7" s="1"/>
  <c r="F32" i="7"/>
  <c r="G32" i="7"/>
  <c r="F15" i="7"/>
  <c r="F18" i="7"/>
  <c r="F54" i="7"/>
  <c r="L54" i="7" l="1"/>
  <c r="J61" i="7"/>
  <c r="I46" i="7"/>
  <c r="I37" i="7"/>
  <c r="H35" i="7"/>
  <c r="I28" i="7"/>
  <c r="I48" i="7"/>
  <c r="I6" i="7"/>
  <c r="H55" i="7"/>
  <c r="H58" i="7" s="1"/>
  <c r="H59" i="7" s="1"/>
  <c r="G58" i="7"/>
  <c r="G59" i="7" s="1"/>
  <c r="I32" i="7"/>
  <c r="I15" i="7"/>
  <c r="I17" i="7" s="1"/>
  <c r="I55" i="7"/>
  <c r="I38" i="7"/>
  <c r="I18" i="7"/>
  <c r="N20" i="5"/>
  <c r="F17" i="7"/>
  <c r="F59" i="7"/>
  <c r="F35" i="7"/>
  <c r="K6" i="6"/>
  <c r="N6" i="6" s="1"/>
  <c r="L35" i="7" l="1"/>
  <c r="I35" i="7"/>
  <c r="I58" i="7"/>
  <c r="I59" i="7" s="1"/>
  <c r="F61" i="7"/>
  <c r="D112" i="1"/>
  <c r="D99" i="1"/>
  <c r="D86" i="1"/>
  <c r="D80" i="1"/>
  <c r="D72" i="1"/>
  <c r="D69" i="1"/>
  <c r="C8" i="6" s="1"/>
  <c r="D66" i="1"/>
  <c r="C10" i="5" s="1"/>
  <c r="D63" i="1"/>
  <c r="D57" i="1"/>
  <c r="D41" i="1"/>
  <c r="D33" i="1"/>
  <c r="D24" i="1"/>
  <c r="D12" i="1"/>
  <c r="C6" i="5" s="1"/>
  <c r="E106" i="1" l="1"/>
  <c r="F106" i="1"/>
  <c r="E10" i="5"/>
  <c r="F10" i="5" s="1"/>
  <c r="F8" i="6"/>
  <c r="D31" i="1"/>
  <c r="C6" i="6" s="1"/>
  <c r="D45" i="1"/>
  <c r="D76" i="1"/>
  <c r="E76" i="1"/>
  <c r="C23" i="28"/>
  <c r="K8" i="6"/>
  <c r="N8" i="6" s="1"/>
  <c r="C7" i="6"/>
  <c r="C9" i="5"/>
  <c r="D96" i="1"/>
  <c r="D106" i="1"/>
  <c r="C27" i="28" l="1"/>
  <c r="C29" i="28" s="1"/>
  <c r="C8" i="5"/>
  <c r="E31" i="1"/>
  <c r="E96" i="1"/>
  <c r="E107" i="1" s="1"/>
  <c r="E113" i="1" s="1"/>
  <c r="F86" i="1"/>
  <c r="L13" i="5"/>
  <c r="L20" i="5" s="1"/>
  <c r="M13" i="5"/>
  <c r="F9" i="5"/>
  <c r="F6" i="6"/>
  <c r="D12" i="6"/>
  <c r="D118" i="1"/>
  <c r="K13" i="5"/>
  <c r="K20" i="5" s="1"/>
  <c r="K12" i="6"/>
  <c r="L12" i="6"/>
  <c r="C12" i="6"/>
  <c r="C18" i="6" s="1"/>
  <c r="D107" i="1"/>
  <c r="L18" i="6" l="1"/>
  <c r="F8" i="5"/>
  <c r="D113" i="1"/>
  <c r="K18" i="6"/>
  <c r="N18" i="6" s="1"/>
  <c r="N12" i="6"/>
  <c r="F31" i="1"/>
  <c r="M20" i="5"/>
  <c r="F96" i="1"/>
  <c r="K20" i="6"/>
  <c r="D18" i="6"/>
  <c r="C20" i="6"/>
  <c r="K21" i="6" l="1"/>
  <c r="F107" i="1"/>
  <c r="F113" i="1" s="1"/>
  <c r="E12" i="6"/>
  <c r="F7" i="6"/>
  <c r="F12" i="6" s="1"/>
  <c r="C21" i="6"/>
  <c r="J17" i="14"/>
  <c r="J15" i="14"/>
  <c r="J7" i="11"/>
  <c r="L6" i="11"/>
  <c r="E18" i="6" l="1"/>
  <c r="I15" i="14"/>
  <c r="L21" i="14"/>
  <c r="I21" i="14"/>
  <c r="J13" i="11"/>
  <c r="I17" i="14"/>
  <c r="F18" i="6"/>
  <c r="E6" i="11"/>
  <c r="K6" i="11"/>
  <c r="L7" i="11"/>
  <c r="C6" i="11"/>
  <c r="G6" i="11"/>
  <c r="I6" i="11"/>
  <c r="I7" i="11" l="1"/>
  <c r="G7" i="11"/>
  <c r="E7" i="11"/>
  <c r="C7" i="11"/>
  <c r="J18" i="11"/>
  <c r="K7" i="11"/>
  <c r="L13" i="11"/>
  <c r="G22" i="14"/>
  <c r="G70" i="14" s="1"/>
  <c r="G77" i="14" s="1"/>
  <c r="E13" i="11" l="1"/>
  <c r="I13" i="11"/>
  <c r="G13" i="11"/>
  <c r="C13" i="11"/>
  <c r="K18" i="11"/>
  <c r="K13" i="11"/>
  <c r="D19" i="5"/>
  <c r="E19" i="5"/>
  <c r="F15" i="5" l="1"/>
  <c r="F19" i="5" s="1"/>
  <c r="G18" i="11"/>
  <c r="E18" i="11"/>
  <c r="I18" i="11"/>
  <c r="C18" i="11"/>
  <c r="G36" i="7"/>
  <c r="E17" i="1"/>
  <c r="D14" i="1"/>
  <c r="C7" i="5" l="1"/>
  <c r="H36" i="7"/>
  <c r="H54" i="7" s="1"/>
  <c r="H61" i="7" s="1"/>
  <c r="G54" i="7"/>
  <c r="G61" i="7" s="1"/>
  <c r="D22" i="1"/>
  <c r="D70" i="1" s="1"/>
  <c r="D77" i="1" s="1"/>
  <c r="E22" i="1"/>
  <c r="E70" i="1" s="1"/>
  <c r="D13" i="5"/>
  <c r="C14" i="28" l="1"/>
  <c r="C16" i="28" s="1"/>
  <c r="D117" i="1"/>
  <c r="I36" i="7"/>
  <c r="I54" i="7" s="1"/>
  <c r="I61" i="7" s="1"/>
  <c r="C13" i="5"/>
  <c r="C20" i="5" s="1"/>
  <c r="E77" i="1"/>
  <c r="L21" i="5"/>
  <c r="L22" i="5"/>
  <c r="D20" i="5"/>
  <c r="D21" i="5"/>
  <c r="D22" i="5"/>
  <c r="E13" i="5"/>
  <c r="E22" i="5" s="1"/>
  <c r="C22" i="5" l="1"/>
  <c r="C21" i="5"/>
  <c r="K21" i="5"/>
  <c r="K22" i="5"/>
  <c r="F7" i="5"/>
  <c r="F13" i="5" s="1"/>
  <c r="E21" i="5"/>
  <c r="M22" i="5"/>
  <c r="E20" i="5"/>
  <c r="E19" i="6" s="1"/>
  <c r="M21" i="5"/>
  <c r="G96" i="14"/>
  <c r="G107" i="14" s="1"/>
  <c r="G114" i="14" s="1"/>
  <c r="F11" i="9"/>
  <c r="F7" i="9"/>
  <c r="G7" i="9" s="1"/>
  <c r="F8" i="9"/>
  <c r="F9" i="9"/>
  <c r="G9" i="9" s="1"/>
  <c r="F14" i="9"/>
  <c r="F6" i="9"/>
  <c r="G13" i="9"/>
  <c r="H13" i="9" s="1"/>
  <c r="F12" i="9"/>
  <c r="F10" i="9"/>
  <c r="G10" i="9" s="1"/>
  <c r="F17" i="9"/>
  <c r="G17" i="9" s="1"/>
  <c r="F18" i="9"/>
  <c r="H22" i="9" l="1"/>
  <c r="G14" i="9"/>
  <c r="H14" i="9" s="1"/>
  <c r="G8" i="9"/>
  <c r="H8" i="9" s="1"/>
  <c r="G12" i="9"/>
  <c r="H12" i="9"/>
  <c r="H7" i="9"/>
  <c r="H9" i="9"/>
  <c r="H17" i="9"/>
  <c r="G18" i="9"/>
  <c r="H18" i="9" s="1"/>
  <c r="H10" i="9"/>
  <c r="G6" i="9"/>
  <c r="H6" i="9" s="1"/>
  <c r="G11" i="9"/>
  <c r="H11" i="9" s="1"/>
  <c r="N22" i="5"/>
  <c r="F20" i="5"/>
  <c r="F19" i="6" s="1"/>
  <c r="N21" i="5"/>
  <c r="F22" i="5"/>
  <c r="F21" i="5"/>
  <c r="H27" i="9" l="1"/>
  <c r="J6" i="1"/>
  <c r="H12" i="1"/>
  <c r="J12" i="1" s="1"/>
  <c r="H22" i="1"/>
  <c r="J22" i="1" s="1"/>
  <c r="F6" i="1"/>
  <c r="F12" i="1"/>
  <c r="F22" i="1"/>
  <c r="F70" i="1" s="1"/>
  <c r="F77" i="1" l="1"/>
  <c r="H70" i="1"/>
  <c r="J70" i="1" l="1"/>
  <c r="H77" i="1"/>
  <c r="J77" i="1" s="1"/>
  <c r="H117" i="1"/>
  <c r="I22" i="9"/>
  <c r="I27" i="9" s="1"/>
  <c r="F19" i="9"/>
  <c r="F22" i="9" s="1"/>
  <c r="G19" i="9" l="1"/>
  <c r="G22" i="9" s="1"/>
  <c r="G27" i="9" s="1"/>
</calcChain>
</file>

<file path=xl/sharedStrings.xml><?xml version="1.0" encoding="utf-8"?>
<sst xmlns="http://schemas.openxmlformats.org/spreadsheetml/2006/main" count="2754" uniqueCount="970">
  <si>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</si>
  <si>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</si>
  <si>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</si>
  <si>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</si>
  <si>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</si>
  <si>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</si>
  <si>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</si>
  <si>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</si>
  <si>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</si>
  <si>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</si>
  <si>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</si>
  <si>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</si>
  <si>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</si>
  <si>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</si>
  <si>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</si>
  <si>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</si>
  <si>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</si>
  <si>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</si>
  <si>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</si>
  <si>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</si>
  <si>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</si>
  <si>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</si>
  <si>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</si>
  <si>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</si>
  <si>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</si>
  <si>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</si>
  <si>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</si>
  <si>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</si>
  <si>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</si>
  <si>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</si>
  <si>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</si>
  <si>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</si>
  <si>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</si>
  <si>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</si>
  <si>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</si>
  <si>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</si>
  <si>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</si>
  <si>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</si>
  <si>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</si>
  <si>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</si>
  <si>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</si>
  <si>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</si>
  <si>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</si>
  <si>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</si>
  <si>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</si>
  <si>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</si>
  <si>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</si>
  <si>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</si>
  <si>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</si>
  <si>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</si>
  <si>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</si>
  <si>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</si>
  <si>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</si>
  <si>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</si>
  <si>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</si>
  <si>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</si>
  <si>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</si>
  <si>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</si>
  <si>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</si>
  <si>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</si>
  <si>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</si>
  <si>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</si>
  <si>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</si>
  <si>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</si>
  <si>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</si>
  <si>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</si>
  <si>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</si>
  <si>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</si>
  <si>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</si>
  <si>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</si>
  <si>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</si>
  <si>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</si>
  <si>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</si>
  <si>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</si>
  <si>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</si>
  <si>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</si>
  <si>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</si>
  <si>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</si>
  <si>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</si>
  <si>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</si>
  <si>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</si>
  <si>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</si>
  <si>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</si>
  <si>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</si>
  <si>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</si>
  <si>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</si>
  <si>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</si>
  <si>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</si>
  <si>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</si>
  <si>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</si>
  <si>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</si>
  <si>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</si>
  <si>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</si>
  <si>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</si>
  <si>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</si>
  <si>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</si>
  <si>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</si>
  <si>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</si>
  <si>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</si>
  <si>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</si>
  <si>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</si>
  <si>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</si>
  <si>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</si>
  <si>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</si>
  <si>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</si>
  <si>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</si>
  <si>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</si>
  <si>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</si>
  <si>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</si>
  <si>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</si>
  <si>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</si>
  <si>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</si>
  <si>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</si>
  <si>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</si>
  <si>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</si>
  <si>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</si>
  <si>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</si>
  <si>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</si>
  <si>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</si>
  <si>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</si>
  <si>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</si>
  <si>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</si>
  <si>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</si>
  <si>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</si>
  <si>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</si>
  <si>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</si>
  <si>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</si>
  <si>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</si>
  <si>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</si>
  <si>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</si>
  <si>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</si>
  <si>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</si>
  <si>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</si>
  <si>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</si>
  <si>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</si>
  <si>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</si>
  <si>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</si>
  <si>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</si>
  <si>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</si>
  <si>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</si>
  <si>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</si>
  <si>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</si>
  <si>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</si>
  <si>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</si>
  <si>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</si>
  <si>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</si>
  <si>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</si>
  <si>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</si>
  <si>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</si>
  <si>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</si>
  <si>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</si>
  <si>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</si>
  <si>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</si>
  <si>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</si>
  <si>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</si>
  <si>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</si>
  <si>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</si>
  <si>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</si>
  <si>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</si>
  <si>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</si>
  <si>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</si>
  <si>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</si>
  <si>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</si>
  <si>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</si>
  <si>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</si>
  <si>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</si>
  <si>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</si>
  <si>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</si>
  <si>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</si>
  <si>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</si>
  <si>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</si>
  <si>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</si>
  <si>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</si>
  <si>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</si>
  <si>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</si>
  <si>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</si>
  <si>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</si>
  <si>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</si>
  <si>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</si>
  <si>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</si>
  <si>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</si>
  <si>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</si>
  <si>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</si>
  <si>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</si>
  <si>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</si>
  <si>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</si>
  <si>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</si>
  <si>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</si>
  <si>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</si>
  <si>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</si>
  <si>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</si>
  <si>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</si>
  <si>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</si>
  <si>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</si>
  <si>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</si>
  <si>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</si>
  <si>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</si>
  <si>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</si>
  <si>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</si>
  <si>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</si>
  <si>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</si>
  <si>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</si>
  <si>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</si>
  <si>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</si>
  <si>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</si>
  <si>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</si>
  <si>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</si>
  <si>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</si>
  <si>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</si>
  <si>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</si>
  <si>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</si>
  <si>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</si>
  <si>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</si>
  <si>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</si>
  <si>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</si>
  <si>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</si>
  <si>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</si>
  <si>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</si>
  <si>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</si>
  <si>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</si>
  <si>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</si>
  <si>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</si>
  <si>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</si>
  <si>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</si>
  <si>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</si>
  <si>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</si>
  <si>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</si>
  <si>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</si>
  <si>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</si>
  <si>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</si>
  <si>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</si>
  <si>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</si>
  <si>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</si>
  <si>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</si>
  <si>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</si>
  <si>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</si>
  <si>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</si>
  <si>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</si>
  <si>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</si>
  <si>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</si>
  <si>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</si>
  <si>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</si>
  <si>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</si>
  <si>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</si>
  <si>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</si>
  <si>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</si>
  <si>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</si>
  <si>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</si>
  <si>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</si>
  <si>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</si>
  <si>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</si>
  <si>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</si>
  <si>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</si>
  <si>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</si>
  <si>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</si>
  <si>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</si>
  <si>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</si>
  <si>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</si>
  <si>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</si>
  <si>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</si>
  <si>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</si>
  <si>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</si>
  <si>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</si>
  <si>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</si>
  <si>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</si>
  <si>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</si>
  <si>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</si>
  <si>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</si>
  <si>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</si>
  <si>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</si>
  <si>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</si>
  <si>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</si>
  <si>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</si>
  <si>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</si>
  <si>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</si>
  <si>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</si>
  <si>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</si>
  <si>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</si>
  <si>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</si>
  <si>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</si>
  <si>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</si>
  <si>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</si>
  <si>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</si>
  <si>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</si>
  <si>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</si>
  <si>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</si>
  <si>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</si>
  <si>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</si>
  <si>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</si>
  <si>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</si>
  <si>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</si>
  <si>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</si>
  <si>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</si>
  <si>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</si>
  <si>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</si>
  <si>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</si>
  <si>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</si>
  <si>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</si>
  <si>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</si>
  <si>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</si>
  <si>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</si>
  <si>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</si>
  <si>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</si>
  <si>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</si>
  <si>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</si>
  <si>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</si>
  <si>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</si>
  <si>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</si>
  <si>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</si>
  <si>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</si>
  <si>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</si>
  <si>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</si>
  <si>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</si>
  <si>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</si>
  <si>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</si>
  <si>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</si>
  <si>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</si>
  <si>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</si>
  <si>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</si>
  <si>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</si>
  <si>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</si>
  <si>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</si>
  <si>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</si>
  <si>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</si>
  <si>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</si>
  <si>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</si>
  <si>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</si>
  <si>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</si>
  <si>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</si>
  <si>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</si>
  <si>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</si>
  <si>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</si>
  <si>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</si>
  <si>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</si>
  <si>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</si>
  <si>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</si>
  <si>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</si>
  <si>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</si>
  <si>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</si>
  <si>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</si>
  <si>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</si>
  <si>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</si>
  <si>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</si>
  <si>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</si>
  <si>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</si>
  <si>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</si>
  <si>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</si>
  <si>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</si>
  <si>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</si>
  <si>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</si>
  <si>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</si>
  <si>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</si>
  <si>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</si>
  <si>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</si>
  <si>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</si>
  <si>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</si>
  <si>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</si>
  <si>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</si>
  <si>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</si>
  <si>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</si>
  <si>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</si>
  <si>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</si>
  <si>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</si>
  <si>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</si>
  <si>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</si>
  <si>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</si>
  <si>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</si>
  <si>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</si>
  <si>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</si>
  <si>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</si>
  <si>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</si>
  <si>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</si>
  <si>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</si>
  <si>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</si>
  <si>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</si>
  <si>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</si>
  <si>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</si>
  <si>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</si>
  <si>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</si>
  <si>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</si>
  <si>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</si>
  <si>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</si>
  <si>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</si>
  <si>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</si>
  <si>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</si>
  <si>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</si>
  <si>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</si>
  <si>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</si>
  <si>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</si>
  <si>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</si>
  <si>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</si>
  <si>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</si>
  <si>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</si>
  <si>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</si>
  <si>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</si>
  <si>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</si>
  <si>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</si>
  <si>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</si>
  <si>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</si>
  <si>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</si>
  <si>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</si>
  <si>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A 2016. évről áthúzódó bérkompenzáció támogatása</t>
  </si>
  <si>
    <t>2017. évi állami támogatás</t>
  </si>
  <si>
    <t xml:space="preserve"> Mezőtúr Város Önkormányzatának
2017. évi állami támogatások  jogcímei és összegei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</si>
  <si>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</si>
  <si>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</si>
  <si>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</si>
  <si>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</si>
  <si>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</si>
  <si>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</si>
  <si>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</si>
  <si>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</si>
  <si>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</si>
  <si>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</si>
  <si>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 xml:space="preserve"> - ebből a polgárőrség támogatása</t>
  </si>
  <si>
    <t xml:space="preserve"> -  ebből biztonságtechnikai eszközök beszerzése (elsősorban az idősek védelme érdekében)</t>
  </si>
  <si>
    <t xml:space="preserve"> - ebből KÓBORKA támogatása</t>
  </si>
  <si>
    <t>INVICTUS Úszó és Vízilabda SC</t>
  </si>
  <si>
    <t>Tanuló ösztöndíj programok (Bursa és Arany János)</t>
  </si>
  <si>
    <t>Első lakáshoz jutók felhalmozási célú támogatása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</si>
  <si>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</si>
  <si>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</si>
  <si>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</si>
  <si>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</si>
  <si>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</si>
  <si>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</si>
  <si>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</si>
  <si>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</si>
  <si>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</si>
  <si>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</si>
  <si>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</si>
  <si>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</si>
  <si>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</si>
  <si>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</si>
  <si>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</si>
  <si>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</si>
  <si>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</si>
  <si>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</si>
  <si>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</si>
  <si>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</si>
  <si>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</si>
  <si>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</si>
  <si>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</si>
  <si>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</si>
  <si>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</si>
  <si>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</si>
  <si>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</si>
  <si>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</si>
  <si>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</si>
  <si>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</si>
  <si>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</si>
  <si>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</si>
  <si>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</si>
  <si>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</si>
  <si>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</si>
  <si>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</si>
  <si>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</si>
  <si>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</si>
  <si>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</si>
  <si>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</si>
  <si>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</si>
  <si>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</si>
  <si>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</si>
  <si>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</si>
  <si>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</si>
  <si>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</si>
  <si>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</si>
  <si>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</si>
  <si>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</si>
  <si>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</si>
  <si>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</si>
  <si>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</si>
  <si>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</si>
  <si>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</si>
  <si>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</si>
  <si>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</si>
  <si>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</si>
  <si>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</si>
  <si>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</si>
  <si>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</si>
  <si>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</si>
  <si>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</si>
  <si>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</si>
  <si>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</si>
  <si>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</si>
  <si>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</si>
  <si>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</si>
  <si>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</si>
  <si>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</si>
  <si>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</si>
  <si>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</si>
  <si>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</si>
  <si>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</si>
  <si>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</si>
  <si>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</si>
  <si>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</si>
  <si>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</si>
  <si>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</si>
  <si>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</si>
  <si>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</si>
  <si>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</si>
  <si>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</si>
  <si>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</si>
  <si>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</si>
  <si>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</si>
  <si>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</si>
  <si>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</si>
  <si>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</si>
  <si>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</si>
  <si>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</si>
  <si>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</si>
  <si>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</si>
  <si>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</si>
  <si>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</si>
  <si>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</si>
  <si>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</si>
  <si>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</si>
  <si>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</si>
  <si>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</si>
  <si>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Mezőtúri Közös Önkormányzati Hivatal
2017. évi kiadásai  feladatonként</t>
  </si>
  <si>
    <t>Mezőtúri Móricz Zsigmond Könyvtár
2017. évi kiadásai  feladatonként</t>
  </si>
  <si>
    <t>Mezőtúri Közös Önkormányzati Hivatal
2017. évi bevételei  feladatonként</t>
  </si>
  <si>
    <t>Mezőtúri Móricz Zsigmond Könyvtár
2017. évi bevételei  feladatonként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</si>
  <si>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</si>
  <si>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</si>
  <si>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</si>
  <si>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</si>
  <si>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</si>
  <si>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</si>
  <si>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</si>
  <si>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</si>
  <si>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</si>
  <si>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</si>
  <si>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</si>
  <si>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</si>
  <si>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</si>
  <si>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</si>
  <si>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</si>
  <si>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</si>
  <si>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</si>
  <si>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</si>
  <si>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</si>
  <si>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</si>
  <si>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</si>
  <si>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</si>
  <si>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</si>
  <si>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</si>
  <si>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</si>
  <si>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</si>
  <si>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</si>
  <si>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</si>
  <si>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2018. IV. negyedév</t>
  </si>
  <si>
    <t>2019. I. negyedév</t>
  </si>
  <si>
    <t>I. Általános tartalék</t>
  </si>
  <si>
    <t>adatok eFt-ban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</si>
  <si>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</si>
  <si>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</si>
  <si>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</si>
  <si>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</si>
  <si>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</si>
  <si>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Általános és céltartalék mindösszesen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</si>
  <si>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</si>
  <si>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</si>
  <si>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</si>
  <si>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</si>
  <si>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</si>
  <si>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</si>
  <si>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</si>
  <si>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</si>
  <si>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</si>
  <si>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</si>
  <si>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</si>
  <si>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</si>
  <si>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</si>
  <si>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</si>
  <si>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</si>
  <si>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</si>
  <si>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</si>
  <si>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</si>
  <si>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</si>
  <si>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</si>
  <si>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</si>
  <si>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</si>
  <si>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</si>
  <si>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</si>
  <si>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</si>
  <si>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</si>
  <si>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Mezőtúr Város Önkormányzata
2017. évi engedélyezett létszámkerete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</si>
  <si>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</si>
  <si>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</si>
  <si>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</si>
  <si>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</si>
  <si>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</si>
  <si>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</si>
  <si>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Vadászház vásárlás</t>
  </si>
  <si>
    <t>Uszoda felújítás</t>
  </si>
  <si>
    <t>Komp felújítás</t>
  </si>
  <si>
    <t>MFB ÖIP hitel - Mentőállomás beruházás  (ÉAOP-4.1.2/A-12-2013-0030. " Egészségház és Mentőállomás kialakítása projkethez kapcsolódóan)</t>
  </si>
  <si>
    <t xml:space="preserve">Belterületi utak felújítása MFB ÖIP hitel - ÉAOP-3.1.2/A-11-2012-0004. „Mezőtúr Város önkormányzati tulajdonú belterületi útjainak a fejlesztése” </t>
  </si>
  <si>
    <t>TOP-5.1.2-15-JN1-2016-00007</t>
  </si>
  <si>
    <t>2019. év</t>
  </si>
  <si>
    <t>Konzorciumi partner: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</si>
  <si>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</si>
  <si>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</si>
  <si>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</si>
  <si>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</si>
  <si>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</si>
  <si>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</si>
  <si>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</si>
  <si>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</si>
  <si>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</si>
  <si>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Mezőtúr Város Önkormányzata
költségvetési évet követő három év tervezett előirányzatainak keretszámai</t>
  </si>
  <si>
    <t>"Nemleges"</t>
  </si>
  <si>
    <t>Támogatások összesen</t>
  </si>
  <si>
    <t>Rendkívüli települési támogatás</t>
  </si>
  <si>
    <t>Köztemetés</t>
  </si>
  <si>
    <t>Gyógyszer támogatás</t>
  </si>
  <si>
    <t>Lakhatási támogatás</t>
  </si>
  <si>
    <t>Temetési segély</t>
  </si>
  <si>
    <t>Mezőtúr Városi Önkormányzata
által 2017. évben folyósított ellátottak pénzbeli juttatásai</t>
  </si>
  <si>
    <t>Mezőtúri Közös Önkormányzati Hivatal
által 2017. évben folyósított ellátottak pénzbeli juttatásai</t>
  </si>
  <si>
    <t>Kiegészítő gyermekvédelmi támogatás</t>
  </si>
  <si>
    <t>Mezőtúr Város Önkormányzatának
2017. évi bevételi és kiadási előirányzatai</t>
  </si>
  <si>
    <t>Mezőtúri Közös Önkormányzati Hivatal
2017. évi bevételi és kiadási előirányzatai</t>
  </si>
  <si>
    <t>Mezőtúr Város Önkormányzata
2017. évi általános és céltartalékai</t>
  </si>
  <si>
    <t xml:space="preserve">Mezőtúr Város Önkormányzata
2017. évi adósságot keletkeztető fejlesztési céljai </t>
  </si>
  <si>
    <t>Cím száma</t>
  </si>
  <si>
    <t>Alcím száma</t>
  </si>
  <si>
    <t>Cím/alcím neve</t>
  </si>
  <si>
    <t>I.</t>
  </si>
  <si>
    <t>II.</t>
  </si>
  <si>
    <t>Címrend
Mezőtúr Város Önkormányzata 2017. évi költségvetéséhez</t>
  </si>
  <si>
    <t>Gazdasági szervezettel rendelkező költségvetési szerv</t>
  </si>
  <si>
    <t>Gazdasági szervezettel nem rendelkező költségvetési szerv</t>
  </si>
  <si>
    <t>Mezőtúr Város Önkormányzata
2017. évi költségvetésének összevont mérlege</t>
  </si>
  <si>
    <t>Mezőtúr Város Önkormányzata
2017. évi költségvetésében a működési célú bevételek és kiadások összevont mérlege</t>
  </si>
  <si>
    <t>Mezőtúr Város Önkormányzata
 2017. évi költségvetésében a felhalmozási célú bevételek és kiadások összevont mérlege</t>
  </si>
  <si>
    <t>Ellátás jogcíme</t>
  </si>
  <si>
    <t>Mezőtúri Móricz Zsigmond Könyvtár
2017. évi bevételi és kiadási előirányzatai</t>
  </si>
  <si>
    <t>Mezőtúr Város Önkormányzata
által 2017. évben adott közvetett támogatások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</si>
  <si>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</si>
  <si>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</si>
  <si>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Mezőtúri Intézményellátó és Ingatlankezelő KN Kft 2017. évi kompenzációja</t>
  </si>
  <si>
    <t>Mezőtúri Közművelődési és Sport KN Kft 2017. évi kompenzációja</t>
  </si>
  <si>
    <t>Mezőtúri Ipari Park Kft 2017. évi kompenzációja</t>
  </si>
  <si>
    <t>Mezőtúri Városfejlesztési Kft 2017. évi kompenzációja</t>
  </si>
  <si>
    <t>TURMED BT. OEP finanszírozás átadása</t>
  </si>
  <si>
    <t>Kiegészítő gyermekvédelmi támogatás pótlék</t>
  </si>
  <si>
    <t>Tálaló konyha fűtés korszerűsítés</t>
  </si>
  <si>
    <t>Rákóczi Szövetség támogatása</t>
  </si>
  <si>
    <t>Közvilágítás fejlesztés</t>
  </si>
  <si>
    <t>Vagyongazdálkodás ingatlan vásárlás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</si>
  <si>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</si>
  <si>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</si>
  <si>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</si>
  <si>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</si>
  <si>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</si>
  <si>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</si>
  <si>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</si>
  <si>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</si>
  <si>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</si>
  <si>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</si>
  <si>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</si>
  <si>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</si>
  <si>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</si>
  <si>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Beruházási kiadások összesen</t>
  </si>
  <si>
    <t>Mezőtúr Város Önkormányzata
2017. évi és további évekre áthúzódó Beruházási és felújítási kiadások feladatonként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</si>
  <si>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</si>
  <si>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</si>
  <si>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</si>
  <si>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</si>
  <si>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</si>
  <si>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</si>
  <si>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</si>
  <si>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</si>
  <si>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</si>
  <si>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</si>
  <si>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</si>
  <si>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</si>
  <si>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</si>
  <si>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</si>
  <si>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</si>
  <si>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</si>
  <si>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</si>
  <si>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</si>
  <si>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</si>
  <si>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24/2010. (XII.10.) önk-i rend. (fogyatékos)</t>
  </si>
  <si>
    <t>24/2010. (XII.10.) önk-i rend. (70 év felett)</t>
  </si>
  <si>
    <t>24/2010. (XII.10.) önk-i rend. (komfort nélküli)</t>
  </si>
  <si>
    <t>Iparűzési adó</t>
  </si>
  <si>
    <t>24/2010. (XII.10.) önk-i rend. 11. §.(3) bek.</t>
  </si>
  <si>
    <t>1990. évi C. tv. (helyi adókról) 39/D.§ (1) fogl. Növ. Miatt</t>
  </si>
  <si>
    <t>1 MFt/fő (adóalap 2%-a)</t>
  </si>
  <si>
    <t>TOP-5.1.2-15-JN1-2016-00007 Mezőtúri járási foglalkoztatási együttműködések 2018-2019. időszakra jutó támogatás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</si>
  <si>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</si>
  <si>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</si>
  <si>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</si>
  <si>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</si>
  <si>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</si>
  <si>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</si>
  <si>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</si>
  <si>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</si>
  <si>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</si>
  <si>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</si>
  <si>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</si>
  <si>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</si>
  <si>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</si>
  <si>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</si>
  <si>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</si>
  <si>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</si>
  <si>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</si>
  <si>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</si>
  <si>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</si>
  <si>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</si>
  <si>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</si>
  <si>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</si>
  <si>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</si>
  <si>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Működési célú költségvetési bevételek összesen(1.+…+5.)</t>
  </si>
  <si>
    <t>72.</t>
  </si>
  <si>
    <t>FINANSZÍROZÁSI BEVÉTELEK ÖSSZESEN: (66.+67.+70.)</t>
  </si>
  <si>
    <t>KÖLTSÉGVETÉSI ÉS FINANSZÍROZÁSI BEVÉTELEK ÖSSZESEN: (65.+71.)</t>
  </si>
  <si>
    <t>B1-B8</t>
  </si>
  <si>
    <t>2017</t>
  </si>
  <si>
    <t>2016</t>
  </si>
  <si>
    <t>2018</t>
  </si>
  <si>
    <t>2016. évi támogatás, saját bevétel maradvány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</si>
  <si>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</si>
  <si>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</si>
  <si>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</si>
  <si>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</si>
  <si>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</si>
  <si>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</si>
  <si>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</si>
  <si>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082042</t>
  </si>
  <si>
    <t>Könyvtári állomány gyarapítása, nyilvántartása</t>
  </si>
  <si>
    <t>1818/2016. (XII. 22.) Korm. Határozat alapján Útfelújítás</t>
  </si>
  <si>
    <t>2019</t>
  </si>
  <si>
    <t>TOP-5.1.2-15-JN1-2016-00007 Mezőtúri járási foglalkoztatási együttműködések</t>
  </si>
  <si>
    <t>Intézményellátó Kft. autó vásárlás</t>
  </si>
  <si>
    <t>Közművelődési Kft.autó vásárlás</t>
  </si>
  <si>
    <t>TRV Zrt. fejlesztése gördülő fejlesztési terv alapján</t>
  </si>
  <si>
    <t>013350</t>
  </si>
  <si>
    <t>018010</t>
  </si>
  <si>
    <t>041237</t>
  </si>
  <si>
    <t>105020</t>
  </si>
  <si>
    <t>900090</t>
  </si>
  <si>
    <t>072111</t>
  </si>
  <si>
    <t>Háziorvosi alapellátás</t>
  </si>
  <si>
    <t>045120</t>
  </si>
  <si>
    <t>900020</t>
  </si>
  <si>
    <t>Természetbeni támogatás (tüzelő támogatás)</t>
  </si>
  <si>
    <t>011220</t>
  </si>
  <si>
    <t>Adó-, vám és jövedéki igazgatás</t>
  </si>
  <si>
    <t>031030</t>
  </si>
  <si>
    <t>104051</t>
  </si>
  <si>
    <t>Közterület rendjének fenntartása</t>
  </si>
  <si>
    <t>Gyermekvédelmi pénzbeli és természetbeni ellátások</t>
  </si>
  <si>
    <t>013320</t>
  </si>
  <si>
    <t>016080</t>
  </si>
  <si>
    <t>045160</t>
  </si>
  <si>
    <t>045230</t>
  </si>
  <si>
    <t>051030</t>
  </si>
  <si>
    <t>051050</t>
  </si>
  <si>
    <t>052080</t>
  </si>
  <si>
    <t>063080</t>
  </si>
  <si>
    <t>064010</t>
  </si>
  <si>
    <t>066020</t>
  </si>
  <si>
    <t>072112</t>
  </si>
  <si>
    <t>081030</t>
  </si>
  <si>
    <t>081041</t>
  </si>
  <si>
    <t>081061</t>
  </si>
  <si>
    <t>082061</t>
  </si>
  <si>
    <t>082092</t>
  </si>
  <si>
    <t>083050</t>
  </si>
  <si>
    <t>084031</t>
  </si>
  <si>
    <t>091140</t>
  </si>
  <si>
    <t>091220</t>
  </si>
  <si>
    <t>091250</t>
  </si>
  <si>
    <t>092120</t>
  </si>
  <si>
    <t>092260</t>
  </si>
  <si>
    <t>092270</t>
  </si>
  <si>
    <t>096015</t>
  </si>
  <si>
    <t>096030</t>
  </si>
  <si>
    <t>098022</t>
  </si>
  <si>
    <t>104031</t>
  </si>
  <si>
    <t>104037</t>
  </si>
  <si>
    <t>107060</t>
  </si>
  <si>
    <t>900060</t>
  </si>
  <si>
    <t>047410</t>
  </si>
  <si>
    <t>Közvilágítás</t>
  </si>
  <si>
    <t>066010</t>
  </si>
  <si>
    <t>Háziorvosi ügyeleti ellátás</t>
  </si>
  <si>
    <t>082064</t>
  </si>
  <si>
    <t>Intézményen kívüli gyermekétkeztetés</t>
  </si>
  <si>
    <t>Mezőtúr Város Önkormányzata
által 2017. évben nyújtott működési és felhalmozási  támogatások államháztartáson kívülre</t>
  </si>
  <si>
    <t>Államigazgatási feladat</t>
  </si>
  <si>
    <t>G</t>
  </si>
  <si>
    <t>Finanszírozási bevételek, kiadások egyenlege
(finanszírozási bevételek 70. sor - finanszírozási kiadások 31. sor) (+/-)</t>
  </si>
  <si>
    <t>Módosított előirányzat</t>
  </si>
  <si>
    <t>H</t>
  </si>
  <si>
    <t>I</t>
  </si>
  <si>
    <t xml:space="preserve"> </t>
  </si>
  <si>
    <t>061030</t>
  </si>
  <si>
    <t>045140</t>
  </si>
  <si>
    <t>047120</t>
  </si>
  <si>
    <t>Piac üzemeltetés</t>
  </si>
  <si>
    <t>062020</t>
  </si>
  <si>
    <t>104030</t>
  </si>
  <si>
    <t>107051</t>
  </si>
  <si>
    <t>Módosított összeg</t>
  </si>
  <si>
    <t>V.</t>
  </si>
  <si>
    <t>Működési célú ktgv-i és kiegészítő támogatás</t>
  </si>
  <si>
    <t>Közétkeztetést ellátó konyha fejlesztése Mezőtúron</t>
  </si>
  <si>
    <t>TOP-1.1.3-15-JN1-2016-00014</t>
  </si>
  <si>
    <t>Kedvezményezett:</t>
  </si>
  <si>
    <t xml:space="preserve">  </t>
  </si>
  <si>
    <t>Mezőtúr Városi Bölcsőde fejlesztése</t>
  </si>
  <si>
    <t>Kelet-nyugati kerékpárút megépítése Mezőtúron</t>
  </si>
  <si>
    <t>TOP-2.1.2-15-JN1-2016-00001</t>
  </si>
  <si>
    <t>062020 - Településfejlesztési projektek és támogatásuk</t>
  </si>
  <si>
    <t>2020. év</t>
  </si>
  <si>
    <t>Mezőtúr Város Önkormányzata
2017. évi  költségvetési bevételeinek forrásösszetétele</t>
  </si>
  <si>
    <t>Mezőtúr Város Önkormányzatának bevételei</t>
  </si>
  <si>
    <t>Gyermekek napközbeni ellátása</t>
  </si>
  <si>
    <t>Módosítás 1</t>
  </si>
  <si>
    <t>Módosítás 2</t>
  </si>
  <si>
    <t>Teljesítés</t>
  </si>
  <si>
    <t>%</t>
  </si>
  <si>
    <t>J</t>
  </si>
  <si>
    <t>K</t>
  </si>
  <si>
    <t>L</t>
  </si>
  <si>
    <t>N</t>
  </si>
  <si>
    <t>O</t>
  </si>
  <si>
    <t>M</t>
  </si>
  <si>
    <t xml:space="preserve">Teljesítés </t>
  </si>
  <si>
    <t>Összesen teljesítés</t>
  </si>
  <si>
    <t>Összesen előirányzat</t>
  </si>
  <si>
    <t xml:space="preserve">2. </t>
  </si>
  <si>
    <t xml:space="preserve"> Egyéb felhalmozási célú kiadások</t>
  </si>
  <si>
    <t>Intézményi bevételek teljesítés ossz.</t>
  </si>
  <si>
    <t>Intézményi bevételek előir.s ossz.</t>
  </si>
  <si>
    <t>Intézmények és Önkormányzat bevételei mindöszesen intézményi támogatás halmozásának kiszűrésével TELJESÍTÉS</t>
  </si>
  <si>
    <t>Intézmények és Önkormányzat bevételei mindöszesen intézményi támogatás halmozásának kiszűrésével ELŐIRÁNYZAT</t>
  </si>
  <si>
    <t>IV.1.i</t>
  </si>
  <si>
    <t>A települési önkormányzatok könyvtári célú érdekeltségnövelő támogatása</t>
  </si>
  <si>
    <t>MKS Wing Chun Kung Fu egyesület</t>
  </si>
  <si>
    <t>Dr. Ecseki Teréz OEP finanszírozás átadása</t>
  </si>
  <si>
    <t>Egyéb váll. Egy. Felh. Támogatás INVICTUS</t>
  </si>
  <si>
    <t xml:space="preserve">Egyéb nonpr. Sz. támogatás </t>
  </si>
  <si>
    <t>Elektromos töltőállomás építése</t>
  </si>
  <si>
    <t>Felújítási kiadások összesen</t>
  </si>
  <si>
    <t>Start munkaprogram eszköz beszerzések</t>
  </si>
  <si>
    <t>TOP pályázatok</t>
  </si>
  <si>
    <t>ÁFA</t>
  </si>
  <si>
    <t>Egyéb gép felújítása</t>
  </si>
  <si>
    <t>Mechanikai stabilizáció</t>
  </si>
  <si>
    <t>Módosítás 3</t>
  </si>
  <si>
    <t xml:space="preserve">M </t>
  </si>
  <si>
    <t>P</t>
  </si>
  <si>
    <t>R</t>
  </si>
  <si>
    <t>Módosírás 3</t>
  </si>
  <si>
    <t>Közterület rendj. Fennt.</t>
  </si>
  <si>
    <t>Gyermekvédelmi pénzb.és term. Kiad</t>
  </si>
  <si>
    <t>Mezőtúr Város Önkormányzatának
2017. évi bevételi és kiadási feldatonkénti megoszlása</t>
  </si>
  <si>
    <t>Önkorm és önk.hivatalok jogalkotó tev.</t>
  </si>
  <si>
    <t>Köztemető fenntartás</t>
  </si>
  <si>
    <t>Önkorm.vagyonnal való gazd</t>
  </si>
  <si>
    <t>Támog. Célú finansz.</t>
  </si>
  <si>
    <t>Komp és révközlekedés</t>
  </si>
  <si>
    <t>047320</t>
  </si>
  <si>
    <t>Ár év belvízvédelem</t>
  </si>
  <si>
    <t>Teleülésfejl.projektek tám.</t>
  </si>
  <si>
    <t>Zöldterület-kezelés</t>
  </si>
  <si>
    <t>Város és községgazdálkodás</t>
  </si>
  <si>
    <t>Sportlétesítmények működtetése</t>
  </si>
  <si>
    <t>Versenysport és utánpótl.</t>
  </si>
  <si>
    <t>Szabadidő park fürdő és strand</t>
  </si>
  <si>
    <t>Múzeumi gyüjtemény</t>
  </si>
  <si>
    <t>Múzeumi közmu. Közönségkapcs.</t>
  </si>
  <si>
    <t>Közműv.hagyományos köz.jut</t>
  </si>
  <si>
    <t>Televízió-műsor</t>
  </si>
  <si>
    <t>Civil szerv.műk.tám</t>
  </si>
  <si>
    <t>Köznev.int.5-8 évf.</t>
  </si>
  <si>
    <t>Gimn.és szakképz</t>
  </si>
  <si>
    <t>Gyermekétkeztetés</t>
  </si>
  <si>
    <t>Gyermekek böldődei ellátása</t>
  </si>
  <si>
    <t>Belterületi vízrendezési projekt megvalósítása Mezőtúron- Borsó és Cs. Wágner utcákban, valamint a Vásárhelyi Pál utcában</t>
  </si>
  <si>
    <t>TOP-2.1.3-15-JN1-2016-00022</t>
  </si>
  <si>
    <t>COFOG-kód:</t>
  </si>
  <si>
    <t>047410 - Ár- és belvízvédelemmel összefüggő tevékenységek</t>
  </si>
  <si>
    <t>Projekt bruttó összköltsége (Ft):</t>
  </si>
  <si>
    <t>Egyéb tárgyi eszközök beszerzése</t>
  </si>
  <si>
    <r>
      <t>Projekt azonosító:</t>
    </r>
    <r>
      <rPr>
        <sz val="10"/>
        <rFont val="Arial"/>
        <family val="1"/>
        <charset val="238"/>
      </rPr>
      <t xml:space="preserve"> </t>
    </r>
  </si>
  <si>
    <t>TOP-1.4.1-15-JN1-2016-00033</t>
  </si>
  <si>
    <t>104030 - Gyermekek napközbeni ellátása</t>
  </si>
  <si>
    <t xml:space="preserve">2017. év </t>
  </si>
  <si>
    <t>Magas színvonalú szociális alapszolgáltatáshoz való hozzáférhetőség biztosítása Mezőtúron</t>
  </si>
  <si>
    <t>TOP-4.2.1-15-JN1-2016-00002</t>
  </si>
  <si>
    <t>107051 - Szociális étkeztetés</t>
  </si>
  <si>
    <t>Észak- déli kerékpárút megépítése Mezőtúron</t>
  </si>
  <si>
    <t>TOP-3.1.1-15-JN1-2016-00001</t>
  </si>
  <si>
    <t>045140 - Városi és elővárosi közúti személyszállítás</t>
  </si>
  <si>
    <t>Magyar Közút Nonprofit Zrt.</t>
  </si>
  <si>
    <t>Személyi jellegű ráfordítás</t>
  </si>
  <si>
    <t xml:space="preserve">TOP-3.1.1-15-JN1-2016-00003 </t>
  </si>
  <si>
    <t>Nem támogatott műszaki tartalom összesen:Önerő</t>
  </si>
  <si>
    <t>047120 - Piac üzemeltetése</t>
  </si>
  <si>
    <t>60 000 000 Ft</t>
  </si>
  <si>
    <t>Közösségi hozzájárulás a társadalmi felzárkóztatás elősegítésére</t>
  </si>
  <si>
    <t>TOP-5.2.1-15-JN1-2016-00001</t>
  </si>
  <si>
    <t>062020- Településfejlesztési projektek és támogatásuk</t>
  </si>
  <si>
    <t>"homo faber" Foglalkoztatási és Szociális Alapítvány</t>
  </si>
  <si>
    <t>Immateriális javak beszerzése</t>
  </si>
  <si>
    <t>Tartalék</t>
  </si>
  <si>
    <t>Komplex épületenergetikai fejlesztés Mezőtúron</t>
  </si>
  <si>
    <t>TOP-3.2.1-15-JN1-2016-00006</t>
  </si>
  <si>
    <t>013350- Az önkormányzati vagyonnal való gazdálkodással kapcsolatos feladatok</t>
  </si>
  <si>
    <t>Foglalkoztatást segítő képzés -Paktum iroda</t>
  </si>
  <si>
    <t>105020 Foglalkoztatás előseg. Képzés</t>
  </si>
  <si>
    <t>Mezőtúr Város Önkormányzata                                               55826180 Ft</t>
  </si>
  <si>
    <t>Jász-Nagykun- Szolnok Megyei kormányhivatal                266923820 Ft</t>
  </si>
  <si>
    <t>Önkormányzati saját erő</t>
  </si>
  <si>
    <t>Mezőtúri Városháza és kapcsolódó kulturális vonzerők komplex turisztikai fejlesztése</t>
  </si>
  <si>
    <t>TOP-1.2.1-15-JN1-2016-00003</t>
  </si>
  <si>
    <t>047320-Turizmusfejlesztési támogatások és tevékenységek</t>
  </si>
  <si>
    <t>Épületenergetikai fejlesztés Mezőtúr Városházán</t>
  </si>
  <si>
    <t>TOP-3.2.1-15-JN1-2016-00010</t>
  </si>
  <si>
    <t>Zöld kapcsolat kialakítása Mezőtúron a rekreációs-, intézményi- és lakóövezetek között</t>
  </si>
  <si>
    <t>II.1.(3)2</t>
  </si>
  <si>
    <t>II.1. (5) 2</t>
  </si>
  <si>
    <t xml:space="preserve"> pedagógus szakképzettséggel rendelkező, óvodapedagógusok nevelő munkáját közvetlenül segítők pótlólagos támogatása</t>
  </si>
  <si>
    <t>Kiemelt áll. és önk. Rendezv</t>
  </si>
  <si>
    <t xml:space="preserve">Önk. elszámolása közp,. </t>
  </si>
  <si>
    <t>Hosszabb idejű közfog.</t>
  </si>
  <si>
    <t>Közfog.mintaprogram</t>
  </si>
  <si>
    <t>Út autópálya építés</t>
  </si>
  <si>
    <t>Város és előv. közúti szem.szállítás</t>
  </si>
  <si>
    <t>Közutak hidak üzem.fenntartása</t>
  </si>
  <si>
    <t>Turizmusfejlesztési támog. és tev.</t>
  </si>
  <si>
    <t>Nem veszélyes hulladék</t>
  </si>
  <si>
    <t>Veszélyes hulladék begyüjtés, száll.</t>
  </si>
  <si>
    <t>Szennyvízcsatorna kezelés</t>
  </si>
  <si>
    <t>Vízellátással kapcs.közmű</t>
  </si>
  <si>
    <t>Óvodai nev. Ellátás</t>
  </si>
  <si>
    <t>Köznev. Int 1-4 évf</t>
  </si>
  <si>
    <t>Alapfokú műv.</t>
  </si>
  <si>
    <t>Köznev.int.tan. lakhatása</t>
  </si>
  <si>
    <t>Szakképz.isk.tanulók</t>
  </si>
  <si>
    <t>Pedagógiai szakszolgálat</t>
  </si>
  <si>
    <t>Szociális étkeztetés</t>
  </si>
  <si>
    <t>Egy.szoc.pénzbeli ellátás</t>
  </si>
  <si>
    <t>Gyermekvédelmi pénzb.ellátás</t>
  </si>
  <si>
    <t>Foglalkoztatást előseg. Képzés</t>
  </si>
  <si>
    <t>Önkorm. funkcióra nem sorolh. Tev.</t>
  </si>
  <si>
    <t>Forgatási és befektetési</t>
  </si>
  <si>
    <t>Vállalkozási tevékenység</t>
  </si>
  <si>
    <t>Áh-n belüli megelőlegezés</t>
  </si>
  <si>
    <t>B814</t>
  </si>
  <si>
    <t>Lakáshozjutás támogatás</t>
  </si>
  <si>
    <t>Bevételi előirányzat</t>
  </si>
  <si>
    <t>Kiadási előirányzat</t>
  </si>
  <si>
    <t>Felhalmozás célú költségvetési bevételek összesen: (1.+...+3.)</t>
  </si>
  <si>
    <t>Felhalmozás célú költségvetési kiadások összesen: (1.+...+4.)</t>
  </si>
  <si>
    <t>FELHALMOZÁSI CÉLÚ BEVÉTEL ÖSSZESEN (7.+10.)</t>
  </si>
  <si>
    <t>FELHALMOZÁSI CÉLÚ KIADÁSOK ÖSSZESEN (7.+10.)</t>
  </si>
  <si>
    <t>BEVÉTELEK ÖSSZESEN</t>
  </si>
  <si>
    <t>KIADÁSOK ÖSSZESEN</t>
  </si>
  <si>
    <t>ÁH-n belüli megelőlegezés</t>
  </si>
  <si>
    <t>ÖSSZESEN:</t>
  </si>
  <si>
    <t>Mezőtúr Város Önkormányzata
2017. évi Előirányzat-felhasználási terve havi bontásban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</si>
</sst>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  <numFmt numFmtId="168" formatCode="#,##0_ ;\-#,##0\ "/>
  </numFmts>
  <fonts count="1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sz val="10"/>
      <color theme="1"/>
      <name val="Times New Roman CE"/>
      <charset val="238"/>
    </font>
    <font>
      <i/>
      <sz val="10"/>
      <color theme="1"/>
      <name val="Times New Roman CE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14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15" applyNumberFormat="0" applyAlignment="0" applyProtection="0"/>
    <xf numFmtId="0" fontId="34" fillId="21" borderId="16" applyNumberFormat="0" applyAlignment="0" applyProtection="0"/>
    <xf numFmtId="0" fontId="3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1" fillId="0" borderId="19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15" applyNumberFormat="0" applyAlignment="0" applyProtection="0"/>
    <xf numFmtId="0" fontId="43" fillId="0" borderId="20" applyNumberFormat="0" applyFill="0" applyAlignment="0" applyProtection="0"/>
    <xf numFmtId="0" fontId="44" fillId="22" borderId="0" applyNumberFormat="0" applyBorder="0" applyAlignment="0" applyProtection="0"/>
    <xf numFmtId="0" fontId="37" fillId="0" borderId="0"/>
    <xf numFmtId="0" fontId="6" fillId="0" borderId="0"/>
    <xf numFmtId="0" fontId="6" fillId="0" borderId="0"/>
    <xf numFmtId="0" fontId="21" fillId="0" borderId="0"/>
    <xf numFmtId="0" fontId="37" fillId="0" borderId="0"/>
    <xf numFmtId="0" fontId="45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47" fillId="0" borderId="0"/>
    <xf numFmtId="0" fontId="45" fillId="0" borderId="0"/>
    <xf numFmtId="0" fontId="36" fillId="0" borderId="0"/>
    <xf numFmtId="0" fontId="37" fillId="0" borderId="0"/>
    <xf numFmtId="0" fontId="21" fillId="0" borderId="0"/>
    <xf numFmtId="0" fontId="11" fillId="0" borderId="0"/>
    <xf numFmtId="0" fontId="48" fillId="0" borderId="0"/>
    <xf numFmtId="0" fontId="49" fillId="0" borderId="0"/>
    <xf numFmtId="0" fontId="48" fillId="0" borderId="0"/>
    <xf numFmtId="0" fontId="50" fillId="0" borderId="0"/>
    <xf numFmtId="0" fontId="30" fillId="23" borderId="21" applyNumberFormat="0" applyFont="0" applyAlignment="0" applyProtection="0"/>
    <xf numFmtId="0" fontId="51" fillId="20" borderId="22" applyNumberFormat="0" applyAlignment="0" applyProtection="0"/>
    <xf numFmtId="9" fontId="3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23" applyNumberFormat="0" applyFill="0" applyAlignment="0" applyProtection="0"/>
    <xf numFmtId="0" fontId="54" fillId="0" borderId="0" applyNumberFormat="0" applyFill="0" applyBorder="0" applyAlignment="0" applyProtection="0"/>
    <xf numFmtId="0" fontId="7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3" fillId="7" borderId="15" applyNumberFormat="0" applyAlignment="0" applyProtection="0"/>
    <xf numFmtId="0" fontId="74" fillId="0" borderId="0" applyNumberFormat="0" applyFill="0" applyBorder="0" applyAlignment="0" applyProtection="0"/>
    <xf numFmtId="0" fontId="75" fillId="0" borderId="17" applyNumberFormat="0" applyFill="0" applyAlignment="0" applyProtection="0"/>
    <xf numFmtId="0" fontId="76" fillId="0" borderId="18" applyNumberFormat="0" applyFill="0" applyAlignment="0" applyProtection="0"/>
    <xf numFmtId="0" fontId="77" fillId="0" borderId="19" applyNumberFormat="0" applyFill="0" applyAlignment="0" applyProtection="0"/>
    <xf numFmtId="0" fontId="77" fillId="0" borderId="0" applyNumberFormat="0" applyFill="0" applyBorder="0" applyAlignment="0" applyProtection="0"/>
    <xf numFmtId="0" fontId="78" fillId="21" borderId="16" applyNumberFormat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20" applyNumberFormat="0" applyFill="0" applyAlignment="0" applyProtection="0"/>
    <xf numFmtId="0" fontId="36" fillId="23" borderId="21" applyNumberFormat="0" applyFont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9" borderId="0" applyNumberFormat="0" applyBorder="0" applyAlignment="0" applyProtection="0"/>
    <xf numFmtId="0" fontId="82" fillId="4" borderId="0" applyNumberFormat="0" applyBorder="0" applyAlignment="0" applyProtection="0"/>
    <xf numFmtId="0" fontId="83" fillId="20" borderId="22" applyNumberFormat="0" applyAlignment="0" applyProtection="0"/>
    <xf numFmtId="0" fontId="84" fillId="0" borderId="0" applyNumberFormat="0" applyFill="0" applyBorder="0" applyAlignment="0" applyProtection="0"/>
    <xf numFmtId="0" fontId="37" fillId="0" borderId="0"/>
    <xf numFmtId="0" fontId="37" fillId="0" borderId="0"/>
    <xf numFmtId="0" fontId="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37" fillId="0" borderId="0"/>
    <xf numFmtId="0" fontId="37" fillId="0" borderId="0"/>
    <xf numFmtId="0" fontId="16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49" fillId="0" borderId="0"/>
    <xf numFmtId="0" fontId="16" fillId="0" borderId="0"/>
    <xf numFmtId="0" fontId="37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21" fillId="0" borderId="0"/>
    <xf numFmtId="0" fontId="16" fillId="0" borderId="0"/>
    <xf numFmtId="0" fontId="86" fillId="0" borderId="23" applyNumberFormat="0" applyFill="0" applyAlignment="0" applyProtection="0"/>
    <xf numFmtId="44" fontId="11" fillId="0" borderId="0" applyFont="0" applyFill="0" applyBorder="0" applyAlignment="0" applyProtection="0"/>
    <xf numFmtId="0" fontId="87" fillId="3" borderId="0" applyNumberFormat="0" applyBorder="0" applyAlignment="0" applyProtection="0"/>
    <xf numFmtId="0" fontId="88" fillId="22" borderId="0" applyNumberFormat="0" applyBorder="0" applyAlignment="0" applyProtection="0"/>
    <xf numFmtId="0" fontId="85" fillId="0" borderId="0"/>
    <xf numFmtId="0" fontId="89" fillId="20" borderId="15" applyNumberFormat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30" fillId="0" borderId="0"/>
    <xf numFmtId="43" fontId="30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1" fillId="0" borderId="0"/>
  </cellStyleXfs>
  <cellXfs count="915">
    <xf numFmtId="0" fontId="0" fillId="0" borderId="0" xfId="0"/>
    <xf numFmtId="0" fontId="7" fillId="0" borderId="0" xfId="1" applyFill="1" applyProtection="1"/>
    <xf numFmtId="164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4" fillId="0" borderId="0" xfId="1" applyFont="1" applyFill="1" applyProtection="1"/>
    <xf numFmtId="0" fontId="15" fillId="0" borderId="0" xfId="1" applyFont="1" applyFill="1" applyProtection="1"/>
    <xf numFmtId="0" fontId="7" fillId="0" borderId="0" xfId="1" applyFill="1" applyAlignment="1" applyProtection="1"/>
    <xf numFmtId="0" fontId="24" fillId="0" borderId="0" xfId="1" applyFont="1" applyFill="1" applyProtection="1"/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164" fontId="23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vertical="center" wrapText="1"/>
    </xf>
    <xf numFmtId="164" fontId="29" fillId="0" borderId="0" xfId="0" applyNumberFormat="1" applyFont="1" applyFill="1" applyAlignment="1" applyProtection="1">
      <alignment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left" vertical="center" wrapText="1" indent="1"/>
    </xf>
    <xf numFmtId="164" fontId="17" fillId="0" borderId="0" xfId="0" applyNumberFormat="1" applyFont="1" applyFill="1" applyAlignment="1" applyProtection="1">
      <alignment vertical="center" wrapTex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56" fillId="0" borderId="0" xfId="51" applyFont="1"/>
    <xf numFmtId="3" fontId="16" fillId="0" borderId="0" xfId="51" applyNumberFormat="1" applyFont="1"/>
    <xf numFmtId="3" fontId="20" fillId="0" borderId="0" xfId="51" applyNumberFormat="1" applyFont="1"/>
    <xf numFmtId="0" fontId="20" fillId="0" borderId="0" xfId="51" applyFont="1"/>
    <xf numFmtId="0" fontId="20" fillId="0" borderId="0" xfId="51" applyFont="1" applyAlignment="1">
      <alignment horizontal="center" vertical="center"/>
    </xf>
    <xf numFmtId="0" fontId="62" fillId="0" borderId="0" xfId="48" applyFont="1"/>
    <xf numFmtId="0" fontId="67" fillId="0" borderId="0" xfId="48" applyFont="1"/>
    <xf numFmtId="166" fontId="67" fillId="0" borderId="0" xfId="35" applyNumberFormat="1" applyFont="1"/>
    <xf numFmtId="0" fontId="67" fillId="0" borderId="0" xfId="48" applyFont="1" applyBorder="1"/>
    <xf numFmtId="166" fontId="67" fillId="0" borderId="0" xfId="35" applyNumberFormat="1" applyFont="1" applyBorder="1"/>
    <xf numFmtId="164" fontId="70" fillId="0" borderId="0" xfId="1" applyNumberFormat="1" applyFont="1" applyFill="1" applyBorder="1" applyAlignment="1" applyProtection="1">
      <alignment horizontal="centerContinuous" vertical="center"/>
    </xf>
    <xf numFmtId="0" fontId="49" fillId="0" borderId="0" xfId="0" applyFont="1"/>
    <xf numFmtId="0" fontId="49" fillId="0" borderId="0" xfId="0" applyFont="1" applyBorder="1"/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61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0" fontId="65" fillId="0" borderId="0" xfId="0" applyFont="1" applyAlignment="1">
      <alignment vertical="center" wrapText="1"/>
    </xf>
    <xf numFmtId="164" fontId="66" fillId="0" borderId="0" xfId="67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3" fontId="92" fillId="0" borderId="0" xfId="0" applyNumberFormat="1" applyFont="1" applyFill="1" applyBorder="1" applyAlignment="1" applyProtection="1">
      <alignment vertical="center"/>
    </xf>
    <xf numFmtId="3" fontId="93" fillId="0" borderId="0" xfId="0" applyNumberFormat="1" applyFont="1" applyFill="1" applyBorder="1" applyAlignment="1" applyProtection="1">
      <alignment vertical="center"/>
    </xf>
    <xf numFmtId="0" fontId="23" fillId="0" borderId="0" xfId="0" applyFont="1" applyBorder="1"/>
    <xf numFmtId="164" fontId="5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0" applyNumberFormat="1" applyFont="1" applyFill="1" applyBorder="1" applyAlignment="1">
      <alignment horizontal="center" vertical="center"/>
    </xf>
    <xf numFmtId="164" fontId="69" fillId="0" borderId="0" xfId="159" applyNumberFormat="1" applyFont="1" applyBorder="1" applyAlignment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/>
    <xf numFmtId="0" fontId="55" fillId="0" borderId="0" xfId="0" applyFont="1" applyBorder="1"/>
    <xf numFmtId="164" fontId="16" fillId="0" borderId="0" xfId="161" applyNumberFormat="1" applyFont="1" applyFill="1" applyBorder="1" applyAlignment="1" applyProtection="1">
      <alignment horizontal="center" vertical="center" wrapText="1"/>
    </xf>
    <xf numFmtId="164" fontId="18" fillId="0" borderId="0" xfId="159" applyNumberFormat="1" applyFont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0" xfId="159" applyNumberFormat="1" applyFont="1" applyBorder="1" applyAlignment="1">
      <alignment vertical="center" wrapText="1"/>
    </xf>
    <xf numFmtId="164" fontId="18" fillId="0" borderId="0" xfId="161" applyNumberFormat="1" applyFont="1" applyFill="1" applyBorder="1" applyAlignment="1" applyProtection="1">
      <alignment vertical="center" wrapText="1"/>
    </xf>
    <xf numFmtId="164" fontId="18" fillId="0" borderId="0" xfId="159" applyNumberFormat="1" applyFont="1" applyBorder="1" applyAlignment="1">
      <alignment horizontal="center" vertical="center" wrapText="1"/>
    </xf>
    <xf numFmtId="164" fontId="59" fillId="0" borderId="0" xfId="161" applyNumberFormat="1" applyFont="1" applyFill="1" applyBorder="1" applyAlignment="1" applyProtection="1">
      <alignment horizontal="center" vertical="center" wrapText="1"/>
    </xf>
    <xf numFmtId="164" fontId="69" fillId="0" borderId="0" xfId="159" applyNumberFormat="1" applyFont="1" applyBorder="1" applyAlignment="1">
      <alignment vertical="center" wrapText="1"/>
    </xf>
    <xf numFmtId="164" fontId="69" fillId="0" borderId="0" xfId="161" applyNumberFormat="1" applyFont="1" applyFill="1" applyBorder="1" applyAlignment="1" applyProtection="1">
      <alignment vertical="center" wrapText="1"/>
    </xf>
    <xf numFmtId="164" fontId="69" fillId="0" borderId="0" xfId="159" applyNumberFormat="1" applyFont="1" applyBorder="1" applyAlignment="1">
      <alignment horizontal="center" vertical="center" wrapText="1"/>
    </xf>
    <xf numFmtId="164" fontId="69" fillId="0" borderId="0" xfId="159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2" xfId="0" applyFont="1" applyBorder="1" applyAlignment="1">
      <alignment horizontal="right"/>
    </xf>
    <xf numFmtId="0" fontId="9" fillId="0" borderId="0" xfId="0" applyFont="1" applyFill="1" applyAlignment="1">
      <alignment vertical="center"/>
    </xf>
    <xf numFmtId="0" fontId="96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13" xfId="0" applyFont="1" applyFill="1" applyBorder="1" applyAlignment="1" applyProtection="1">
      <alignment horizontal="center" vertical="center" wrapText="1"/>
    </xf>
    <xf numFmtId="0" fontId="13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71" fillId="0" borderId="0" xfId="0" applyFont="1" applyFill="1" applyAlignment="1">
      <alignment vertical="center" wrapText="1"/>
    </xf>
    <xf numFmtId="0" fontId="100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17" fillId="0" borderId="13" xfId="1" applyFont="1" applyFill="1" applyBorder="1" applyAlignment="1" applyProtection="1">
      <alignment horizontal="left" vertical="center" wrapText="1"/>
    </xf>
    <xf numFmtId="164" fontId="17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3" xfId="1" applyNumberFormat="1" applyFont="1" applyFill="1" applyBorder="1" applyAlignment="1" applyProtection="1">
      <alignment horizontal="right" vertical="center" wrapText="1"/>
    </xf>
    <xf numFmtId="0" fontId="17" fillId="0" borderId="13" xfId="1" applyFont="1" applyFill="1" applyBorder="1" applyAlignment="1" applyProtection="1">
      <alignment horizontal="center" vertical="center" wrapText="1"/>
    </xf>
    <xf numFmtId="0" fontId="99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7" fillId="0" borderId="13" xfId="1" applyNumberFormat="1" applyFont="1" applyFill="1" applyBorder="1" applyAlignment="1" applyProtection="1">
      <alignment horizontal="center" vertical="center" wrapText="1"/>
    </xf>
    <xf numFmtId="0" fontId="17" fillId="0" borderId="13" xfId="1" applyFont="1" applyFill="1" applyBorder="1" applyAlignment="1" applyProtection="1">
      <alignment horizontal="left" vertical="center" wrapText="1" indent="1"/>
    </xf>
    <xf numFmtId="164" fontId="17" fillId="0" borderId="13" xfId="1" applyNumberFormat="1" applyFont="1" applyFill="1" applyBorder="1" applyAlignment="1" applyProtection="1">
      <alignment vertical="center" wrapText="1"/>
    </xf>
    <xf numFmtId="49" fontId="92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9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71" applyFill="1" applyProtection="1">
      <protection locked="0"/>
    </xf>
    <xf numFmtId="0" fontId="7" fillId="0" borderId="0" xfId="171" applyFill="1" applyProtection="1"/>
    <xf numFmtId="0" fontId="101" fillId="0" borderId="0" xfId="171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7" fillId="0" borderId="0" xfId="171" applyFill="1" applyAlignment="1" applyProtection="1">
      <alignment vertical="center"/>
    </xf>
    <xf numFmtId="0" fontId="7" fillId="0" borderId="0" xfId="171" applyFill="1" applyAlignment="1" applyProtection="1">
      <alignment vertical="center"/>
      <protection locked="0"/>
    </xf>
    <xf numFmtId="0" fontId="15" fillId="0" borderId="0" xfId="171" applyFont="1" applyFill="1" applyProtection="1"/>
    <xf numFmtId="0" fontId="99" fillId="0" borderId="0" xfId="171" applyFont="1" applyFill="1" applyProtection="1">
      <protection locked="0"/>
    </xf>
    <xf numFmtId="0" fontId="24" fillId="0" borderId="0" xfId="171" applyFont="1" applyFill="1" applyProtection="1">
      <protection locked="0"/>
    </xf>
    <xf numFmtId="0" fontId="62" fillId="0" borderId="0" xfId="172" applyFont="1"/>
    <xf numFmtId="0" fontId="61" fillId="0" borderId="0" xfId="172" applyFont="1" applyAlignment="1">
      <alignment horizontal="center" wrapText="1"/>
    </xf>
    <xf numFmtId="0" fontId="59" fillId="0" borderId="0" xfId="172" applyFont="1"/>
    <xf numFmtId="0" fontId="103" fillId="0" borderId="0" xfId="172" applyFont="1" applyAlignment="1">
      <alignment horizontal="center" vertical="center" wrapText="1"/>
    </xf>
    <xf numFmtId="0" fontId="104" fillId="0" borderId="0" xfId="172" applyFont="1"/>
    <xf numFmtId="0" fontId="105" fillId="0" borderId="0" xfId="172" applyFont="1" applyAlignment="1">
      <alignment horizontal="center" vertical="center" wrapText="1"/>
    </xf>
    <xf numFmtId="0" fontId="105" fillId="0" borderId="0" xfId="172" applyFont="1"/>
    <xf numFmtId="0" fontId="61" fillId="24" borderId="13" xfId="172" applyFont="1" applyFill="1" applyBorder="1" applyAlignment="1">
      <alignment horizontal="center" vertical="center"/>
    </xf>
    <xf numFmtId="0" fontId="103" fillId="0" borderId="0" xfId="172" applyFont="1" applyAlignment="1">
      <alignment horizontal="center" vertical="center"/>
    </xf>
    <xf numFmtId="0" fontId="62" fillId="0" borderId="0" xfId="173" applyFont="1"/>
    <xf numFmtId="0" fontId="62" fillId="0" borderId="0" xfId="173" applyFont="1" applyAlignment="1">
      <alignment horizontal="center"/>
    </xf>
    <xf numFmtId="0" fontId="62" fillId="0" borderId="0" xfId="173" applyFont="1" applyFill="1" applyBorder="1" applyAlignment="1">
      <alignment horizontal="right"/>
    </xf>
    <xf numFmtId="0" fontId="62" fillId="0" borderId="0" xfId="173" applyFont="1" applyAlignment="1">
      <alignment vertical="center"/>
    </xf>
    <xf numFmtId="0" fontId="62" fillId="0" borderId="0" xfId="173" applyFont="1" applyBorder="1" applyAlignment="1">
      <alignment horizontal="center"/>
    </xf>
    <xf numFmtId="0" fontId="62" fillId="0" borderId="0" xfId="173" applyFont="1" applyBorder="1"/>
    <xf numFmtId="0" fontId="107" fillId="0" borderId="0" xfId="173" applyFont="1" applyFill="1" applyBorder="1" applyAlignment="1">
      <alignment horizontal="right"/>
    </xf>
    <xf numFmtId="0" fontId="62" fillId="0" borderId="0" xfId="173" applyFont="1" applyAlignment="1">
      <alignment horizontal="center" vertical="center"/>
    </xf>
    <xf numFmtId="0" fontId="103" fillId="0" borderId="0" xfId="173" applyFont="1"/>
    <xf numFmtId="0" fontId="62" fillId="0" borderId="0" xfId="173" applyFont="1" applyFill="1" applyBorder="1"/>
    <xf numFmtId="3" fontId="62" fillId="0" borderId="0" xfId="173" applyNumberFormat="1" applyFont="1"/>
    <xf numFmtId="0" fontId="106" fillId="0" borderId="28" xfId="173" applyFont="1" applyBorder="1" applyAlignment="1"/>
    <xf numFmtId="0" fontId="106" fillId="0" borderId="0" xfId="173" applyFont="1" applyBorder="1" applyAlignment="1"/>
    <xf numFmtId="0" fontId="62" fillId="0" borderId="0" xfId="173" applyFont="1" applyFill="1"/>
    <xf numFmtId="0" fontId="0" fillId="0" borderId="0" xfId="0" applyFill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92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63" fillId="0" borderId="0" xfId="174" applyFont="1" applyFill="1" applyBorder="1" applyAlignment="1">
      <alignment horizontal="center" vertical="center" wrapText="1"/>
    </xf>
    <xf numFmtId="0" fontId="49" fillId="0" borderId="0" xfId="174" applyFont="1" applyFill="1" applyBorder="1" applyAlignment="1">
      <alignment horizontal="center" vertical="center" wrapText="1"/>
    </xf>
    <xf numFmtId="0" fontId="66" fillId="0" borderId="0" xfId="174" applyFont="1" applyFill="1" applyBorder="1" applyAlignment="1">
      <alignment horizontal="right" vertical="center" wrapText="1"/>
    </xf>
    <xf numFmtId="164" fontId="7" fillId="0" borderId="0" xfId="1" applyNumberFormat="1" applyFont="1" applyFill="1" applyAlignment="1" applyProtection="1">
      <alignment horizontal="right" vertical="center" indent="1"/>
    </xf>
    <xf numFmtId="164" fontId="16" fillId="0" borderId="0" xfId="0" applyNumberFormat="1" applyFont="1" applyFill="1" applyAlignment="1">
      <alignment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20" fillId="0" borderId="0" xfId="160" applyNumberFormat="1" applyFont="1" applyFill="1" applyBorder="1" applyAlignment="1">
      <alignment horizontal="right" vertical="center" wrapText="1"/>
    </xf>
    <xf numFmtId="164" fontId="70" fillId="0" borderId="0" xfId="1" applyNumberFormat="1" applyFont="1" applyFill="1" applyBorder="1" applyAlignment="1" applyProtection="1">
      <alignment horizontal="center" vertical="center" wrapText="1"/>
    </xf>
    <xf numFmtId="0" fontId="103" fillId="0" borderId="0" xfId="175" applyFont="1"/>
    <xf numFmtId="0" fontId="62" fillId="0" borderId="0" xfId="175" applyFont="1"/>
    <xf numFmtId="0" fontId="30" fillId="0" borderId="0" xfId="176"/>
    <xf numFmtId="166" fontId="70" fillId="0" borderId="0" xfId="177" applyNumberFormat="1" applyFont="1" applyFill="1" applyBorder="1" applyAlignment="1" applyProtection="1">
      <alignment horizontal="centerContinuous" vertical="center"/>
    </xf>
    <xf numFmtId="0" fontId="30" fillId="0" borderId="0" xfId="176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30" fillId="0" borderId="0" xfId="176" applyAlignment="1">
      <alignment horizontal="center"/>
    </xf>
    <xf numFmtId="0" fontId="36" fillId="0" borderId="0" xfId="176" applyFont="1" applyAlignment="1">
      <alignment horizontal="justify" vertical="center"/>
    </xf>
    <xf numFmtId="166" fontId="30" fillId="0" borderId="0" xfId="176" applyNumberFormat="1"/>
    <xf numFmtId="166" fontId="0" fillId="0" borderId="0" xfId="177" applyNumberFormat="1" applyFont="1"/>
    <xf numFmtId="166" fontId="93" fillId="0" borderId="0" xfId="177" applyNumberFormat="1" applyFont="1" applyFill="1" applyBorder="1" applyAlignment="1" applyProtection="1">
      <alignment horizontal="right"/>
    </xf>
    <xf numFmtId="0" fontId="16" fillId="0" borderId="0" xfId="178" applyFont="1"/>
    <xf numFmtId="0" fontId="16" fillId="0" borderId="0" xfId="178" applyFont="1" applyAlignment="1">
      <alignment vertical="center"/>
    </xf>
    <xf numFmtId="3" fontId="20" fillId="0" borderId="0" xfId="178" applyNumberFormat="1" applyFont="1" applyFill="1" applyBorder="1" applyAlignment="1">
      <alignment vertical="center"/>
    </xf>
    <xf numFmtId="0" fontId="20" fillId="0" borderId="0" xfId="178" applyFont="1" applyFill="1" applyAlignment="1">
      <alignment vertical="center"/>
    </xf>
    <xf numFmtId="0" fontId="16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8" applyFont="1" applyFill="1" applyAlignment="1">
      <alignment vertical="center"/>
    </xf>
    <xf numFmtId="0" fontId="20" fillId="0" borderId="0" xfId="178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0" fontId="61" fillId="0" borderId="13" xfId="172" applyFont="1" applyBorder="1" applyAlignment="1">
      <alignment horizontal="left" vertical="center"/>
    </xf>
    <xf numFmtId="0" fontId="104" fillId="0" borderId="0" xfId="175" applyFont="1" applyAlignment="1">
      <alignment horizontal="right"/>
    </xf>
    <xf numFmtId="0" fontId="16" fillId="0" borderId="0" xfId="178" applyFont="1" applyAlignment="1">
      <alignment horizontal="center"/>
    </xf>
    <xf numFmtId="0" fontId="20" fillId="0" borderId="0" xfId="178" applyFont="1" applyAlignment="1">
      <alignment horizontal="center" vertical="center" wrapText="1"/>
    </xf>
    <xf numFmtId="0" fontId="49" fillId="0" borderId="0" xfId="178" applyFont="1" applyBorder="1" applyAlignment="1">
      <alignment horizontal="center" vertical="center"/>
    </xf>
    <xf numFmtId="0" fontId="16" fillId="0" borderId="0" xfId="178" applyFont="1" applyBorder="1" applyAlignment="1">
      <alignment vertical="center"/>
    </xf>
    <xf numFmtId="3" fontId="62" fillId="0" borderId="0" xfId="48" applyNumberFormat="1" applyFont="1"/>
    <xf numFmtId="0" fontId="61" fillId="0" borderId="13" xfId="48" applyFont="1" applyBorder="1" applyAlignment="1">
      <alignment horizontal="center" vertical="center"/>
    </xf>
    <xf numFmtId="0" fontId="16" fillId="0" borderId="0" xfId="2" applyFont="1" applyBorder="1" applyAlignment="1">
      <alignment vertical="center" wrapText="1"/>
    </xf>
    <xf numFmtId="0" fontId="103" fillId="0" borderId="13" xfId="175" applyFont="1" applyBorder="1" applyAlignment="1">
      <alignment horizontal="center" vertical="center"/>
    </xf>
    <xf numFmtId="0" fontId="59" fillId="0" borderId="7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left" vertical="center" wrapText="1"/>
    </xf>
    <xf numFmtId="0" fontId="59" fillId="0" borderId="4" xfId="174" applyFont="1" applyFill="1" applyBorder="1" applyAlignment="1">
      <alignment horizontal="center" vertical="center" wrapText="1"/>
    </xf>
    <xf numFmtId="0" fontId="59" fillId="0" borderId="5" xfId="174" applyFont="1" applyFill="1" applyBorder="1" applyAlignment="1">
      <alignment horizontal="left" vertical="center" wrapText="1"/>
    </xf>
    <xf numFmtId="0" fontId="59" fillId="0" borderId="9" xfId="174" applyFont="1" applyFill="1" applyBorder="1" applyAlignment="1">
      <alignment horizontal="center" vertical="center"/>
    </xf>
    <xf numFmtId="0" fontId="59" fillId="0" borderId="30" xfId="174" applyFont="1" applyFill="1" applyBorder="1" applyAlignment="1">
      <alignment vertical="center" wrapText="1"/>
    </xf>
    <xf numFmtId="49" fontId="114" fillId="0" borderId="1" xfId="174" applyNumberFormat="1" applyFont="1" applyFill="1" applyBorder="1"/>
    <xf numFmtId="0" fontId="61" fillId="0" borderId="2" xfId="174" applyFont="1" applyFill="1" applyBorder="1" applyAlignment="1">
      <alignment vertical="center"/>
    </xf>
    <xf numFmtId="0" fontId="61" fillId="0" borderId="1" xfId="174" applyFont="1" applyFill="1" applyBorder="1" applyAlignment="1">
      <alignment horizontal="center" vertical="center" wrapText="1"/>
    </xf>
    <xf numFmtId="0" fontId="61" fillId="0" borderId="2" xfId="174" applyFont="1" applyFill="1" applyBorder="1" applyAlignment="1">
      <alignment horizontal="center" vertical="center" wrapText="1"/>
    </xf>
    <xf numFmtId="0" fontId="61" fillId="0" borderId="3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center" vertical="center" wrapText="1"/>
    </xf>
    <xf numFmtId="0" fontId="59" fillId="0" borderId="5" xfId="174" applyFont="1" applyFill="1" applyBorder="1" applyAlignment="1">
      <alignment horizontal="center" vertical="center" wrapText="1"/>
    </xf>
    <xf numFmtId="0" fontId="61" fillId="0" borderId="24" xfId="174" applyFont="1" applyFill="1" applyBorder="1" applyAlignment="1">
      <alignment horizontal="center" vertical="center"/>
    </xf>
    <xf numFmtId="0" fontId="61" fillId="0" borderId="6" xfId="174" applyFont="1" applyFill="1" applyBorder="1" applyAlignment="1">
      <alignment horizontal="center" vertical="center"/>
    </xf>
    <xf numFmtId="0" fontId="59" fillId="0" borderId="30" xfId="174" applyFont="1" applyFill="1" applyBorder="1" applyAlignment="1">
      <alignment horizontal="center" vertical="center" wrapText="1"/>
    </xf>
    <xf numFmtId="0" fontId="59" fillId="0" borderId="30" xfId="174" applyFont="1" applyFill="1" applyBorder="1" applyAlignment="1">
      <alignment horizontal="center" vertical="center"/>
    </xf>
    <xf numFmtId="0" fontId="61" fillId="0" borderId="2" xfId="174" applyFont="1" applyFill="1" applyBorder="1" applyAlignment="1">
      <alignment horizontal="center" vertical="center"/>
    </xf>
    <xf numFmtId="0" fontId="61" fillId="0" borderId="3" xfId="174" applyFont="1" applyFill="1" applyBorder="1" applyAlignment="1">
      <alignment horizontal="center" vertical="center"/>
    </xf>
    <xf numFmtId="164" fontId="17" fillId="0" borderId="13" xfId="0" applyNumberFormat="1" applyFont="1" applyFill="1" applyBorder="1" applyAlignment="1" applyProtection="1">
      <alignment horizontal="left" vertical="center" wrapText="1"/>
    </xf>
    <xf numFmtId="164" fontId="17" fillId="0" borderId="13" xfId="0" applyNumberFormat="1" applyFont="1" applyFill="1" applyBorder="1" applyAlignment="1" applyProtection="1">
      <alignment horizontal="right" vertical="center" wrapText="1" indent="1"/>
    </xf>
    <xf numFmtId="0" fontId="59" fillId="0" borderId="0" xfId="51" applyFont="1" applyAlignment="1"/>
    <xf numFmtId="0" fontId="60" fillId="0" borderId="0" xfId="51" applyFont="1" applyAlignment="1"/>
    <xf numFmtId="0" fontId="61" fillId="0" borderId="0" xfId="51" applyFont="1" applyAlignment="1"/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7" fillId="0" borderId="13" xfId="1" applyNumberFormat="1" applyFont="1" applyFill="1" applyBorder="1" applyAlignment="1" applyProtection="1">
      <alignment vertical="center" wrapText="1"/>
      <protection locked="0"/>
    </xf>
    <xf numFmtId="0" fontId="71" fillId="0" borderId="0" xfId="1" applyFont="1" applyFill="1" applyProtection="1"/>
    <xf numFmtId="0" fontId="99" fillId="0" borderId="13" xfId="1" applyFont="1" applyFill="1" applyBorder="1" applyAlignment="1" applyProtection="1">
      <alignment horizontal="left" vertical="center" wrapText="1"/>
    </xf>
    <xf numFmtId="3" fontId="7" fillId="0" borderId="0" xfId="1" applyNumberFormat="1" applyFill="1" applyProtection="1"/>
    <xf numFmtId="3" fontId="17" fillId="0" borderId="13" xfId="1" applyNumberFormat="1" applyFont="1" applyFill="1" applyBorder="1" applyAlignment="1" applyProtection="1">
      <alignment horizontal="center" vertical="center"/>
    </xf>
    <xf numFmtId="3" fontId="17" fillId="0" borderId="13" xfId="1" applyNumberFormat="1" applyFont="1" applyFill="1" applyBorder="1" applyAlignment="1" applyProtection="1">
      <alignment horizontal="center" vertical="center" wrapText="1"/>
    </xf>
    <xf numFmtId="3" fontId="15" fillId="0" borderId="13" xfId="1" applyNumberFormat="1" applyFont="1" applyFill="1" applyBorder="1" applyProtection="1"/>
    <xf numFmtId="3" fontId="7" fillId="0" borderId="0" xfId="1" applyNumberFormat="1" applyFill="1" applyAlignment="1" applyProtection="1"/>
    <xf numFmtId="3" fontId="14" fillId="0" borderId="13" xfId="1" applyNumberFormat="1" applyFont="1" applyFill="1" applyBorder="1" applyAlignment="1" applyProtection="1">
      <alignment horizontal="center" vertical="center"/>
    </xf>
    <xf numFmtId="3" fontId="11" fillId="0" borderId="13" xfId="1" applyNumberFormat="1" applyFont="1" applyFill="1" applyBorder="1" applyProtection="1"/>
    <xf numFmtId="164" fontId="23" fillId="0" borderId="13" xfId="0" applyNumberFormat="1" applyFont="1" applyFill="1" applyBorder="1" applyAlignment="1" applyProtection="1">
      <alignment textRotation="180" wrapText="1"/>
    </xf>
    <xf numFmtId="164" fontId="0" fillId="0" borderId="13" xfId="0" applyNumberFormat="1" applyFont="1" applyFill="1" applyBorder="1" applyAlignment="1" applyProtection="1">
      <alignment horizontal="left" vertical="center" wrapText="1"/>
    </xf>
    <xf numFmtId="164" fontId="0" fillId="0" borderId="13" xfId="0" applyNumberFormat="1" applyFont="1" applyFill="1" applyBorder="1" applyAlignment="1" applyProtection="1">
      <alignment vertical="center" wrapText="1"/>
      <protection locked="0"/>
    </xf>
    <xf numFmtId="164" fontId="0" fillId="0" borderId="13" xfId="0" applyNumberFormat="1" applyFill="1" applyBorder="1" applyAlignment="1" applyProtection="1">
      <alignment vertical="center" wrapText="1"/>
    </xf>
    <xf numFmtId="0" fontId="23" fillId="0" borderId="13" xfId="1" applyFont="1" applyFill="1" applyBorder="1" applyAlignment="1" applyProtection="1">
      <alignment horizontal="left" vertical="center" wrapText="1" indent="4"/>
    </xf>
    <xf numFmtId="164" fontId="23" fillId="0" borderId="13" xfId="0" applyNumberFormat="1" applyFont="1" applyFill="1" applyBorder="1" applyAlignment="1" applyProtection="1">
      <alignment vertical="center" wrapText="1"/>
      <protection locked="0"/>
    </xf>
    <xf numFmtId="0" fontId="23" fillId="0" borderId="13" xfId="1" applyFont="1" applyFill="1" applyBorder="1" applyAlignment="1" applyProtection="1">
      <alignment horizontal="left" vertical="center" wrapText="1" indent="8"/>
    </xf>
    <xf numFmtId="0" fontId="0" fillId="0" borderId="13" xfId="1" applyFont="1" applyFill="1" applyBorder="1" applyAlignment="1" applyProtection="1">
      <alignment horizontal="left" vertical="center" wrapText="1"/>
    </xf>
    <xf numFmtId="0" fontId="11" fillId="0" borderId="13" xfId="1" applyFont="1" applyFill="1" applyBorder="1" applyAlignment="1" applyProtection="1">
      <alignment horizontal="left" vertical="center" wrapText="1"/>
    </xf>
    <xf numFmtId="164" fontId="0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13" xfId="0" applyNumberFormat="1" applyFont="1" applyFill="1" applyBorder="1" applyAlignment="1" applyProtection="1">
      <alignment vertical="center" wrapText="1"/>
    </xf>
    <xf numFmtId="0" fontId="23" fillId="0" borderId="13" xfId="1" applyFont="1" applyFill="1" applyBorder="1" applyAlignment="1" applyProtection="1">
      <alignment horizontal="left" vertical="center" wrapText="1"/>
    </xf>
    <xf numFmtId="49" fontId="0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13" xfId="0" applyNumberFormat="1" applyFont="1" applyFill="1" applyBorder="1" applyAlignment="1" applyProtection="1">
      <alignment wrapText="1"/>
    </xf>
    <xf numFmtId="3" fontId="0" fillId="0" borderId="0" xfId="0" applyNumberFormat="1" applyFill="1" applyAlignment="1" applyProtection="1">
      <alignment vertical="center" wrapText="1"/>
    </xf>
    <xf numFmtId="3" fontId="0" fillId="0" borderId="0" xfId="0" applyNumberFormat="1" applyFont="1" applyFill="1" applyAlignment="1" applyProtection="1">
      <alignment wrapText="1"/>
    </xf>
    <xf numFmtId="3" fontId="0" fillId="0" borderId="0" xfId="0" applyNumberFormat="1" applyFont="1" applyFill="1" applyAlignment="1" applyProtection="1">
      <alignment vertical="center" wrapText="1"/>
    </xf>
    <xf numFmtId="3" fontId="0" fillId="0" borderId="13" xfId="0" applyNumberFormat="1" applyFont="1" applyFill="1" applyBorder="1" applyAlignment="1" applyProtection="1">
      <alignment wrapText="1"/>
    </xf>
    <xf numFmtId="3" fontId="17" fillId="0" borderId="13" xfId="0" applyNumberFormat="1" applyFont="1" applyFill="1" applyBorder="1" applyAlignment="1" applyProtection="1">
      <alignment horizontal="center" vertical="center" wrapText="1"/>
    </xf>
    <xf numFmtId="3" fontId="0" fillId="0" borderId="13" xfId="0" applyNumberFormat="1" applyFill="1" applyBorder="1" applyAlignment="1" applyProtection="1">
      <alignment vertical="center" wrapText="1"/>
    </xf>
    <xf numFmtId="3" fontId="13" fillId="0" borderId="13" xfId="0" applyNumberFormat="1" applyFont="1" applyFill="1" applyBorder="1" applyAlignment="1" applyProtection="1">
      <alignment horizontal="center" vertical="center" wrapText="1"/>
    </xf>
    <xf numFmtId="3" fontId="16" fillId="0" borderId="0" xfId="178" applyNumberFormat="1" applyFont="1" applyFill="1"/>
    <xf numFmtId="3" fontId="20" fillId="0" borderId="13" xfId="178" applyNumberFormat="1" applyFont="1" applyFill="1" applyBorder="1" applyAlignment="1">
      <alignment horizontal="center" vertical="top" wrapText="1"/>
    </xf>
    <xf numFmtId="3" fontId="16" fillId="0" borderId="13" xfId="178" applyNumberFormat="1" applyFont="1" applyFill="1" applyBorder="1" applyAlignment="1">
      <alignment vertical="center"/>
    </xf>
    <xf numFmtId="3" fontId="20" fillId="0" borderId="0" xfId="178" applyNumberFormat="1" applyFont="1" applyFill="1" applyAlignment="1">
      <alignment vertical="center"/>
    </xf>
    <xf numFmtId="3" fontId="16" fillId="0" borderId="13" xfId="178" applyNumberFormat="1" applyFont="1" applyFill="1" applyBorder="1"/>
    <xf numFmtId="0" fontId="16" fillId="0" borderId="13" xfId="178" applyFont="1" applyFill="1" applyBorder="1"/>
    <xf numFmtId="3" fontId="11" fillId="0" borderId="0" xfId="1" applyNumberFormat="1" applyFont="1" applyFill="1" applyAlignment="1" applyProtection="1">
      <alignment horizontal="center" vertical="center"/>
    </xf>
    <xf numFmtId="3" fontId="11" fillId="0" borderId="13" xfId="1" applyNumberFormat="1" applyFont="1" applyFill="1" applyBorder="1" applyAlignment="1" applyProtection="1">
      <alignment horizontal="center" vertical="center"/>
    </xf>
    <xf numFmtId="3" fontId="11" fillId="0" borderId="0" xfId="1" applyNumberFormat="1" applyFont="1" applyFill="1" applyAlignment="1" applyProtection="1">
      <alignment horizontal="right" vertical="center"/>
    </xf>
    <xf numFmtId="3" fontId="17" fillId="0" borderId="13" xfId="1" applyNumberFormat="1" applyFont="1" applyFill="1" applyBorder="1" applyAlignment="1" applyProtection="1">
      <alignment horizontal="right" vertical="center" wrapText="1"/>
    </xf>
    <xf numFmtId="3" fontId="11" fillId="0" borderId="13" xfId="1" applyNumberFormat="1" applyFont="1" applyFill="1" applyBorder="1" applyAlignment="1" applyProtection="1">
      <alignment horizontal="right" vertical="center"/>
    </xf>
    <xf numFmtId="3" fontId="0" fillId="0" borderId="13" xfId="1" applyNumberFormat="1" applyFont="1" applyFill="1" applyBorder="1" applyAlignment="1" applyProtection="1">
      <alignment horizontal="right" vertical="center"/>
    </xf>
    <xf numFmtId="3" fontId="17" fillId="0" borderId="1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center"/>
    </xf>
    <xf numFmtId="3" fontId="0" fillId="0" borderId="13" xfId="0" applyNumberFormat="1" applyFont="1" applyFill="1" applyBorder="1" applyAlignment="1">
      <alignment vertical="center" wrapText="1"/>
    </xf>
    <xf numFmtId="3" fontId="98" fillId="0" borderId="0" xfId="0" applyNumberFormat="1" applyFont="1" applyFill="1" applyAlignment="1">
      <alignment vertical="center" wrapText="1"/>
    </xf>
    <xf numFmtId="3" fontId="23" fillId="0" borderId="13" xfId="0" applyNumberFormat="1" applyFont="1" applyFill="1" applyBorder="1" applyAlignment="1">
      <alignment vertical="center" wrapText="1"/>
    </xf>
    <xf numFmtId="3" fontId="0" fillId="0" borderId="0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0" fontId="63" fillId="0" borderId="13" xfId="178" applyFont="1" applyBorder="1" applyAlignment="1">
      <alignment horizontal="center" vertical="center" wrapText="1"/>
    </xf>
    <xf numFmtId="0" fontId="63" fillId="0" borderId="13" xfId="178" applyFont="1" applyBorder="1" applyAlignment="1">
      <alignment horizontal="center" vertical="center"/>
    </xf>
    <xf numFmtId="0" fontId="49" fillId="0" borderId="13" xfId="178" applyFont="1" applyBorder="1" applyAlignment="1">
      <alignment horizontal="center" vertical="center"/>
    </xf>
    <xf numFmtId="0" fontId="63" fillId="0" borderId="13" xfId="178" applyFont="1" applyBorder="1" applyAlignment="1">
      <alignment vertical="center"/>
    </xf>
    <xf numFmtId="0" fontId="49" fillId="0" borderId="13" xfId="178" applyFont="1" applyBorder="1" applyAlignment="1">
      <alignment vertical="center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6" fillId="0" borderId="13" xfId="0" applyFont="1" applyBorder="1" applyAlignment="1" applyProtection="1">
      <alignment horizontal="left" vertical="center" wrapText="1"/>
    </xf>
    <xf numFmtId="0" fontId="16" fillId="0" borderId="13" xfId="0" applyFont="1" applyBorder="1" applyAlignment="1" applyProtection="1">
      <alignment horizontal="center" vertical="center" wrapText="1"/>
    </xf>
    <xf numFmtId="164" fontId="15" fillId="0" borderId="13" xfId="1" applyNumberFormat="1" applyFont="1" applyFill="1" applyBorder="1" applyAlignment="1" applyProtection="1">
      <alignment vertical="center" wrapText="1"/>
      <protection locked="0"/>
    </xf>
    <xf numFmtId="0" fontId="18" fillId="0" borderId="13" xfId="0" applyFont="1" applyBorder="1" applyAlignment="1" applyProtection="1">
      <alignment horizontal="left" vertical="center" wrapText="1"/>
    </xf>
    <xf numFmtId="164" fontId="19" fillId="0" borderId="13" xfId="1" applyNumberFormat="1" applyFont="1" applyFill="1" applyBorder="1" applyAlignment="1" applyProtection="1">
      <alignment vertical="center" wrapText="1"/>
      <protection locked="0"/>
    </xf>
    <xf numFmtId="0" fontId="18" fillId="0" borderId="13" xfId="0" applyFont="1" applyBorder="1" applyAlignment="1" applyProtection="1">
      <alignment horizontal="left" vertical="center" wrapText="1" indent="6"/>
    </xf>
    <xf numFmtId="49" fontId="13" fillId="0" borderId="13" xfId="1" applyNumberFormat="1" applyFont="1" applyFill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left" vertical="center" wrapText="1"/>
    </xf>
    <xf numFmtId="0" fontId="20" fillId="0" borderId="13" xfId="0" applyFont="1" applyBorder="1" applyAlignment="1" applyProtection="1">
      <alignment horizontal="center" vertical="center" wrapText="1"/>
    </xf>
    <xf numFmtId="164" fontId="13" fillId="0" borderId="13" xfId="1" applyNumberFormat="1" applyFont="1" applyFill="1" applyBorder="1" applyAlignment="1" applyProtection="1">
      <alignment vertical="center" wrapText="1"/>
    </xf>
    <xf numFmtId="0" fontId="16" fillId="0" borderId="13" xfId="0" applyFont="1" applyBorder="1" applyAlignment="1" applyProtection="1">
      <alignment horizontal="left" wrapText="1"/>
    </xf>
    <xf numFmtId="0" fontId="18" fillId="0" borderId="13" xfId="0" applyFont="1" applyBorder="1" applyAlignment="1" applyProtection="1">
      <alignment horizontal="left" vertical="center" wrapText="1" indent="7"/>
    </xf>
    <xf numFmtId="0" fontId="15" fillId="0" borderId="13" xfId="1" applyFont="1" applyFill="1" applyBorder="1" applyAlignment="1" applyProtection="1">
      <alignment horizontal="left" vertical="center" wrapText="1"/>
    </xf>
    <xf numFmtId="0" fontId="15" fillId="0" borderId="13" xfId="1" applyFont="1" applyFill="1" applyBorder="1" applyAlignment="1" applyProtection="1">
      <alignment horizontal="center" vertical="center" wrapText="1"/>
    </xf>
    <xf numFmtId="164" fontId="11" fillId="0" borderId="13" xfId="1" applyNumberFormat="1" applyFont="1" applyFill="1" applyBorder="1" applyAlignment="1" applyProtection="1">
      <alignment vertical="center" wrapText="1"/>
    </xf>
    <xf numFmtId="16" fontId="18" fillId="0" borderId="13" xfId="2" applyNumberFormat="1" applyFont="1" applyFill="1" applyBorder="1" applyAlignment="1">
      <alignment horizontal="left" vertical="center" indent="5"/>
    </xf>
    <xf numFmtId="0" fontId="18" fillId="0" borderId="13" xfId="0" applyFont="1" applyBorder="1" applyAlignment="1" applyProtection="1">
      <alignment horizontal="center" vertical="center" wrapText="1"/>
    </xf>
    <xf numFmtId="164" fontId="23" fillId="0" borderId="13" xfId="1" applyNumberFormat="1" applyFont="1" applyFill="1" applyBorder="1" applyAlignment="1" applyProtection="1">
      <alignment vertical="center" wrapText="1"/>
      <protection locked="0"/>
    </xf>
    <xf numFmtId="0" fontId="18" fillId="0" borderId="13" xfId="2" applyFont="1" applyFill="1" applyBorder="1" applyAlignment="1">
      <alignment horizontal="left" vertical="center" indent="5"/>
    </xf>
    <xf numFmtId="0" fontId="16" fillId="0" borderId="13" xfId="2" applyFont="1" applyFill="1" applyBorder="1" applyAlignment="1">
      <alignment horizontal="left"/>
    </xf>
    <xf numFmtId="0" fontId="18" fillId="0" borderId="13" xfId="2" applyFont="1" applyFill="1" applyBorder="1" applyAlignment="1">
      <alignment horizontal="left" indent="5"/>
    </xf>
    <xf numFmtId="0" fontId="16" fillId="0" borderId="13" xfId="2" applyFont="1" applyFill="1" applyBorder="1" applyAlignment="1">
      <alignment horizontal="left" wrapText="1"/>
    </xf>
    <xf numFmtId="0" fontId="16" fillId="0" borderId="13" xfId="0" applyFont="1" applyBorder="1" applyAlignment="1" applyProtection="1">
      <alignment horizontal="center" wrapText="1"/>
    </xf>
    <xf numFmtId="0" fontId="13" fillId="0" borderId="13" xfId="1" applyFont="1" applyFill="1" applyBorder="1" applyAlignment="1" applyProtection="1">
      <alignment horizontal="left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164" fontId="11" fillId="0" borderId="13" xfId="1" applyNumberFormat="1" applyFont="1" applyFill="1" applyBorder="1" applyAlignment="1" applyProtection="1">
      <alignment vertical="center" wrapText="1"/>
      <protection locked="0"/>
    </xf>
    <xf numFmtId="164" fontId="15" fillId="0" borderId="13" xfId="1" applyNumberFormat="1" applyFont="1" applyFill="1" applyBorder="1" applyAlignment="1" applyProtection="1">
      <alignment vertical="center" wrapText="1"/>
    </xf>
    <xf numFmtId="0" fontId="18" fillId="0" borderId="13" xfId="0" applyFont="1" applyBorder="1" applyAlignment="1" applyProtection="1">
      <alignment horizontal="left" wrapText="1" indent="5"/>
    </xf>
    <xf numFmtId="0" fontId="18" fillId="0" borderId="13" xfId="0" applyFont="1" applyBorder="1" applyAlignment="1" applyProtection="1">
      <alignment horizontal="left" vertical="center" wrapText="1" indent="5"/>
    </xf>
    <xf numFmtId="0" fontId="20" fillId="0" borderId="13" xfId="0" applyFont="1" applyBorder="1" applyAlignment="1" applyProtection="1">
      <alignment wrapText="1"/>
    </xf>
    <xf numFmtId="0" fontId="20" fillId="0" borderId="13" xfId="0" applyFont="1" applyBorder="1" applyAlignment="1" applyProtection="1">
      <alignment horizontal="center" wrapText="1"/>
    </xf>
    <xf numFmtId="0" fontId="23" fillId="0" borderId="13" xfId="1" applyFont="1" applyFill="1" applyBorder="1" applyAlignment="1" applyProtection="1">
      <alignment horizontal="center" vertical="center" wrapText="1"/>
    </xf>
    <xf numFmtId="0" fontId="23" fillId="0" borderId="13" xfId="1" applyFont="1" applyFill="1" applyBorder="1" applyAlignment="1" applyProtection="1">
      <alignment horizontal="left" vertical="center" wrapText="1" indent="5"/>
    </xf>
    <xf numFmtId="0" fontId="23" fillId="0" borderId="13" xfId="1" applyFont="1" applyFill="1" applyBorder="1" applyAlignment="1" applyProtection="1">
      <alignment horizontal="center" vertical="center"/>
    </xf>
    <xf numFmtId="0" fontId="23" fillId="0" borderId="13" xfId="1" applyFont="1" applyFill="1" applyBorder="1" applyAlignment="1" applyProtection="1">
      <alignment horizontal="left" indent="5"/>
    </xf>
    <xf numFmtId="0" fontId="23" fillId="0" borderId="13" xfId="1" applyFont="1" applyFill="1" applyBorder="1" applyAlignment="1" applyProtection="1">
      <alignment horizontal="left" vertical="center" wrapText="1" indent="11"/>
    </xf>
    <xf numFmtId="49" fontId="17" fillId="0" borderId="13" xfId="1" applyNumberFormat="1" applyFont="1" applyFill="1" applyBorder="1" applyAlignment="1" applyProtection="1">
      <alignment horizontal="left" vertical="center" wrapText="1" indent="1"/>
    </xf>
    <xf numFmtId="0" fontId="17" fillId="0" borderId="13" xfId="1" applyFont="1" applyFill="1" applyBorder="1" applyAlignment="1" applyProtection="1">
      <alignment vertical="center" wrapText="1"/>
    </xf>
    <xf numFmtId="0" fontId="19" fillId="0" borderId="13" xfId="1" applyFont="1" applyFill="1" applyBorder="1" applyAlignment="1" applyProtection="1">
      <alignment horizontal="left" vertical="center" wrapText="1"/>
    </xf>
    <xf numFmtId="0" fontId="19" fillId="0" borderId="13" xfId="1" applyFont="1" applyFill="1" applyBorder="1" applyAlignment="1" applyProtection="1">
      <alignment horizontal="left" vertical="center" wrapText="1" indent="5"/>
    </xf>
    <xf numFmtId="0" fontId="0" fillId="0" borderId="13" xfId="1" applyFont="1" applyFill="1" applyBorder="1" applyAlignment="1" applyProtection="1">
      <alignment horizontal="center" vertical="center" wrapText="1"/>
    </xf>
    <xf numFmtId="0" fontId="15" fillId="0" borderId="13" xfId="1" applyFont="1" applyFill="1" applyBorder="1" applyAlignment="1" applyProtection="1">
      <alignment horizontal="left" vertical="center" wrapText="1" indent="1"/>
    </xf>
    <xf numFmtId="49" fontId="13" fillId="0" borderId="13" xfId="1" applyNumberFormat="1" applyFont="1" applyFill="1" applyBorder="1" applyAlignment="1" applyProtection="1">
      <alignment horizontal="left" vertical="center" wrapText="1" indent="1"/>
    </xf>
    <xf numFmtId="164" fontId="20" fillId="0" borderId="13" xfId="0" quotePrefix="1" applyNumberFormat="1" applyFont="1" applyBorder="1" applyAlignment="1" applyProtection="1">
      <alignment vertical="center" wrapText="1"/>
    </xf>
    <xf numFmtId="0" fontId="20" fillId="0" borderId="13" xfId="0" applyFont="1" applyBorder="1" applyAlignment="1" applyProtection="1">
      <alignment horizontal="left" vertical="center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</xf>
    <xf numFmtId="164" fontId="0" fillId="0" borderId="13" xfId="0" applyNumberFormat="1" applyFont="1" applyFill="1" applyBorder="1" applyAlignment="1" applyProtection="1">
      <alignment horizontal="center" vertical="center" wrapText="1"/>
    </xf>
    <xf numFmtId="164" fontId="23" fillId="0" borderId="13" xfId="0" applyNumberFormat="1" applyFont="1" applyFill="1" applyBorder="1" applyAlignment="1" applyProtection="1">
      <alignment horizontal="left" vertical="center" wrapText="1"/>
    </xf>
    <xf numFmtId="164" fontId="0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55" fillId="0" borderId="13" xfId="0" applyNumberFormat="1" applyFont="1" applyFill="1" applyBorder="1" applyAlignment="1" applyProtection="1">
      <alignment horizontal="right" vertical="center" wrapText="1"/>
    </xf>
    <xf numFmtId="164" fontId="17" fillId="0" borderId="13" xfId="0" applyNumberFormat="1" applyFont="1" applyFill="1" applyBorder="1" applyAlignment="1" applyProtection="1">
      <alignment horizontal="right" vertical="center" wrapText="1"/>
    </xf>
    <xf numFmtId="0" fontId="20" fillId="0" borderId="13" xfId="51" applyFont="1" applyBorder="1" applyAlignment="1">
      <alignment horizontal="center" vertical="center"/>
    </xf>
    <xf numFmtId="0" fontId="20" fillId="0" borderId="13" xfId="51" applyFont="1" applyBorder="1" applyAlignment="1">
      <alignment horizontal="center" vertical="center" wrapText="1"/>
    </xf>
    <xf numFmtId="0" fontId="16" fillId="0" borderId="13" xfId="51" applyFont="1" applyFill="1" applyBorder="1" applyAlignment="1">
      <alignment horizontal="center" vertical="center"/>
    </xf>
    <xf numFmtId="0" fontId="16" fillId="0" borderId="13" xfId="51" applyFont="1" applyFill="1" applyBorder="1" applyAlignment="1">
      <alignment vertical="center" wrapText="1"/>
    </xf>
    <xf numFmtId="0" fontId="16" fillId="0" borderId="13" xfId="51" applyFont="1" applyFill="1" applyBorder="1" applyAlignment="1">
      <alignment horizontal="center" vertical="center" wrapText="1"/>
    </xf>
    <xf numFmtId="4" fontId="16" fillId="0" borderId="13" xfId="51" applyNumberFormat="1" applyFont="1" applyFill="1" applyBorder="1" applyAlignment="1">
      <alignment vertical="center"/>
    </xf>
    <xf numFmtId="3" fontId="16" fillId="0" borderId="13" xfId="51" applyNumberFormat="1" applyFont="1" applyFill="1" applyBorder="1" applyAlignment="1">
      <alignment vertical="center"/>
    </xf>
    <xf numFmtId="3" fontId="57" fillId="0" borderId="13" xfId="51" applyNumberFormat="1" applyFont="1" applyFill="1" applyBorder="1" applyAlignment="1">
      <alignment vertical="center"/>
    </xf>
    <xf numFmtId="0" fontId="16" fillId="0" borderId="13" xfId="51" applyFont="1" applyFill="1" applyBorder="1" applyAlignment="1">
      <alignment vertical="center"/>
    </xf>
    <xf numFmtId="0" fontId="18" fillId="0" borderId="13" xfId="51" applyFont="1" applyFill="1" applyBorder="1" applyAlignment="1">
      <alignment horizontal="center" vertical="center"/>
    </xf>
    <xf numFmtId="0" fontId="18" fillId="0" borderId="13" xfId="51" applyFont="1" applyFill="1" applyBorder="1" applyAlignment="1">
      <alignment vertical="center" wrapText="1"/>
    </xf>
    <xf numFmtId="0" fontId="18" fillId="0" borderId="13" xfId="51" applyFont="1" applyFill="1" applyBorder="1" applyAlignment="1">
      <alignment vertical="center"/>
    </xf>
    <xf numFmtId="3" fontId="18" fillId="0" borderId="13" xfId="51" applyNumberFormat="1" applyFont="1" applyFill="1" applyBorder="1" applyAlignment="1">
      <alignment vertical="center"/>
    </xf>
    <xf numFmtId="0" fontId="20" fillId="0" borderId="13" xfId="51" applyFont="1" applyFill="1" applyBorder="1" applyAlignment="1">
      <alignment horizontal="center" vertical="center"/>
    </xf>
    <xf numFmtId="0" fontId="20" fillId="0" borderId="13" xfId="51" applyFont="1" applyFill="1" applyBorder="1" applyAlignment="1">
      <alignment vertical="center" wrapText="1"/>
    </xf>
    <xf numFmtId="0" fontId="20" fillId="0" borderId="13" xfId="51" applyFont="1" applyFill="1" applyBorder="1" applyAlignment="1">
      <alignment vertical="center"/>
    </xf>
    <xf numFmtId="3" fontId="58" fillId="0" borderId="13" xfId="51" applyNumberFormat="1" applyFont="1" applyFill="1" applyBorder="1" applyAlignment="1">
      <alignment vertical="center"/>
    </xf>
    <xf numFmtId="3" fontId="20" fillId="0" borderId="13" xfId="51" applyNumberFormat="1" applyFont="1" applyFill="1" applyBorder="1" applyAlignment="1">
      <alignment vertical="center"/>
    </xf>
    <xf numFmtId="165" fontId="18" fillId="0" borderId="13" xfId="51" applyNumberFormat="1" applyFont="1" applyFill="1" applyBorder="1" applyAlignment="1">
      <alignment vertical="center"/>
    </xf>
    <xf numFmtId="0" fontId="20" fillId="24" borderId="13" xfId="51" applyFont="1" applyFill="1" applyBorder="1" applyAlignment="1">
      <alignment horizontal="center" vertical="center"/>
    </xf>
    <xf numFmtId="0" fontId="20" fillId="24" borderId="13" xfId="51" applyFont="1" applyFill="1" applyBorder="1" applyAlignment="1">
      <alignment vertical="center"/>
    </xf>
    <xf numFmtId="0" fontId="20" fillId="0" borderId="13" xfId="144" applyFont="1" applyFill="1" applyBorder="1" applyAlignment="1">
      <alignment horizontal="center" vertical="center" wrapText="1"/>
    </xf>
    <xf numFmtId="164" fontId="16" fillId="0" borderId="13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/>
    <xf numFmtId="49" fontId="16" fillId="0" borderId="13" xfId="0" applyNumberFormat="1" applyFont="1" applyFill="1" applyBorder="1" applyAlignment="1">
      <alignment horizontal="center" vertical="center"/>
    </xf>
    <xf numFmtId="164" fontId="16" fillId="0" borderId="13" xfId="0" applyNumberFormat="1" applyFont="1" applyFill="1" applyBorder="1" applyAlignment="1">
      <alignment vertical="center" wrapText="1"/>
    </xf>
    <xf numFmtId="164" fontId="16" fillId="0" borderId="13" xfId="0" applyNumberFormat="1" applyFont="1" applyFill="1" applyBorder="1" applyAlignment="1" applyProtection="1">
      <alignment vertical="center" wrapText="1"/>
      <protection locked="0"/>
    </xf>
    <xf numFmtId="164" fontId="20" fillId="0" borderId="13" xfId="0" applyNumberFormat="1" applyFont="1" applyFill="1" applyBorder="1" applyAlignment="1">
      <alignment vertical="center" wrapText="1"/>
    </xf>
    <xf numFmtId="164" fontId="20" fillId="24" borderId="13" xfId="0" applyNumberFormat="1" applyFont="1" applyFill="1" applyBorder="1" applyAlignment="1">
      <alignment horizontal="center" vertical="center" wrapText="1"/>
    </xf>
    <xf numFmtId="164" fontId="20" fillId="24" borderId="13" xfId="0" applyNumberFormat="1" applyFont="1" applyFill="1" applyBorder="1" applyAlignment="1">
      <alignment vertical="center" wrapText="1"/>
    </xf>
    <xf numFmtId="0" fontId="61" fillId="0" borderId="13" xfId="48" applyFont="1" applyBorder="1" applyAlignment="1">
      <alignment horizontal="center" vertical="center" wrapText="1"/>
    </xf>
    <xf numFmtId="166" fontId="61" fillId="0" borderId="13" xfId="35" applyNumberFormat="1" applyFont="1" applyBorder="1" applyAlignment="1">
      <alignment horizontal="center" vertical="center" wrapText="1"/>
    </xf>
    <xf numFmtId="0" fontId="59" fillId="0" borderId="13" xfId="48" applyFont="1" applyBorder="1" applyAlignment="1">
      <alignment horizontal="center" vertical="center"/>
    </xf>
    <xf numFmtId="166" fontId="59" fillId="0" borderId="13" xfId="35" applyNumberFormat="1" applyFont="1" applyFill="1" applyBorder="1" applyAlignment="1">
      <alignment vertical="center"/>
    </xf>
    <xf numFmtId="166" fontId="69" fillId="0" borderId="13" xfId="35" applyNumberFormat="1" applyFont="1" applyFill="1" applyBorder="1" applyAlignment="1">
      <alignment vertical="center"/>
    </xf>
    <xf numFmtId="166" fontId="59" fillId="0" borderId="13" xfId="35" applyNumberFormat="1" applyFont="1" applyBorder="1" applyAlignment="1">
      <alignment vertical="center"/>
    </xf>
    <xf numFmtId="166" fontId="61" fillId="0" borderId="13" xfId="35" applyNumberFormat="1" applyFont="1" applyBorder="1" applyAlignment="1">
      <alignment vertical="center"/>
    </xf>
    <xf numFmtId="0" fontId="61" fillId="0" borderId="13" xfId="178" applyFont="1" applyFill="1" applyBorder="1" applyAlignment="1">
      <alignment horizontal="center" vertical="center" wrapText="1"/>
    </xf>
    <xf numFmtId="0" fontId="59" fillId="0" borderId="13" xfId="178" applyFont="1" applyFill="1" applyBorder="1" applyAlignment="1">
      <alignment horizontal="center"/>
    </xf>
    <xf numFmtId="14" fontId="98" fillId="0" borderId="13" xfId="0" applyNumberFormat="1" applyFont="1" applyFill="1" applyBorder="1" applyAlignment="1"/>
    <xf numFmtId="3" fontId="59" fillId="0" borderId="13" xfId="178" applyNumberFormat="1" applyFont="1" applyFill="1" applyBorder="1" applyAlignment="1">
      <alignment horizontal="right"/>
    </xf>
    <xf numFmtId="0" fontId="61" fillId="0" borderId="13" xfId="178" applyFont="1" applyFill="1" applyBorder="1" applyAlignment="1">
      <alignment horizontal="center"/>
    </xf>
    <xf numFmtId="0" fontId="61" fillId="0" borderId="13" xfId="178" applyFont="1" applyFill="1" applyBorder="1" applyAlignment="1">
      <alignment horizontal="left"/>
    </xf>
    <xf numFmtId="3" fontId="61" fillId="0" borderId="13" xfId="178" applyNumberFormat="1" applyFont="1" applyFill="1" applyBorder="1" applyAlignment="1">
      <alignment horizontal="right"/>
    </xf>
    <xf numFmtId="164" fontId="16" fillId="0" borderId="13" xfId="67" applyNumberFormat="1" applyFont="1" applyBorder="1" applyAlignment="1">
      <alignment horizontal="center" vertical="center" wrapText="1"/>
    </xf>
    <xf numFmtId="164" fontId="16" fillId="0" borderId="13" xfId="67" applyNumberFormat="1" applyFont="1" applyFill="1" applyBorder="1" applyAlignment="1">
      <alignment horizontal="center" vertical="center" wrapText="1"/>
    </xf>
    <xf numFmtId="164" fontId="61" fillId="0" borderId="13" xfId="67" applyNumberFormat="1" applyFont="1" applyBorder="1" applyAlignment="1">
      <alignment vertical="center" wrapText="1"/>
    </xf>
    <xf numFmtId="164" fontId="20" fillId="0" borderId="13" xfId="67" applyNumberFormat="1" applyFont="1" applyBorder="1" applyAlignment="1">
      <alignment vertical="center"/>
    </xf>
    <xf numFmtId="164" fontId="20" fillId="0" borderId="13" xfId="160" applyNumberFormat="1" applyFont="1" applyFill="1" applyBorder="1" applyAlignment="1">
      <alignment horizontal="right" vertical="center"/>
    </xf>
    <xf numFmtId="164" fontId="16" fillId="0" borderId="13" xfId="160" applyNumberFormat="1" applyFont="1" applyFill="1" applyBorder="1" applyAlignment="1">
      <alignment vertical="center" wrapText="1"/>
    </xf>
    <xf numFmtId="164" fontId="16" fillId="0" borderId="13" xfId="160" applyNumberFormat="1" applyFont="1" applyFill="1" applyBorder="1" applyAlignment="1">
      <alignment horizontal="right" vertical="center"/>
    </xf>
    <xf numFmtId="164" fontId="20" fillId="0" borderId="13" xfId="160" applyNumberFormat="1" applyFont="1" applyFill="1" applyBorder="1" applyAlignment="1">
      <alignment vertical="center" wrapText="1"/>
    </xf>
    <xf numFmtId="164" fontId="16" fillId="0" borderId="13" xfId="160" applyNumberFormat="1" applyFont="1" applyFill="1" applyBorder="1" applyAlignment="1">
      <alignment horizontal="right" vertical="center" wrapText="1"/>
    </xf>
    <xf numFmtId="164" fontId="95" fillId="0" borderId="13" xfId="160" applyNumberFormat="1" applyFont="1" applyFill="1" applyBorder="1" applyAlignment="1">
      <alignment horizontal="right" vertical="center" wrapText="1"/>
    </xf>
    <xf numFmtId="3" fontId="16" fillId="0" borderId="13" xfId="0" applyNumberFormat="1" applyFont="1" applyBorder="1" applyAlignment="1" applyProtection="1">
      <alignment horizontal="right" vertical="center" wrapText="1"/>
    </xf>
    <xf numFmtId="164" fontId="15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13" xfId="1" applyNumberFormat="1" applyFont="1" applyFill="1" applyBorder="1" applyAlignment="1" applyProtection="1">
      <alignment horizontal="right" vertical="center" wrapText="1"/>
    </xf>
    <xf numFmtId="3" fontId="16" fillId="0" borderId="13" xfId="0" applyNumberFormat="1" applyFont="1" applyBorder="1" applyAlignment="1" applyProtection="1">
      <alignment horizontal="center" vertical="center" wrapText="1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3" xfId="1" applyNumberFormat="1" applyFont="1" applyFill="1" applyBorder="1" applyAlignment="1" applyProtection="1">
      <alignment horizontal="center" vertical="center" wrapText="1"/>
    </xf>
    <xf numFmtId="3" fontId="18" fillId="0" borderId="13" xfId="0" applyNumberFormat="1" applyFont="1" applyBorder="1" applyAlignment="1" applyProtection="1">
      <alignment horizontal="right" vertical="center" wrapText="1"/>
    </xf>
    <xf numFmtId="3" fontId="16" fillId="0" borderId="13" xfId="0" applyNumberFormat="1" applyFont="1" applyBorder="1" applyAlignment="1" applyProtection="1">
      <alignment horizontal="right" wrapText="1"/>
    </xf>
    <xf numFmtId="164" fontId="11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13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3" xfId="0" applyFont="1" applyBorder="1" applyAlignment="1" applyProtection="1">
      <alignment vertical="center" wrapText="1"/>
    </xf>
    <xf numFmtId="3" fontId="15" fillId="0" borderId="13" xfId="1" applyNumberFormat="1" applyFont="1" applyFill="1" applyBorder="1" applyAlignment="1" applyProtection="1">
      <alignment horizontal="right" vertical="center" wrapText="1"/>
    </xf>
    <xf numFmtId="3" fontId="23" fillId="0" borderId="13" xfId="1" applyNumberFormat="1" applyFont="1" applyFill="1" applyBorder="1" applyAlignment="1" applyProtection="1">
      <alignment horizontal="right" vertical="center"/>
    </xf>
    <xf numFmtId="164" fontId="23" fillId="0" borderId="13" xfId="1" applyNumberFormat="1" applyFont="1" applyFill="1" applyBorder="1" applyAlignment="1" applyProtection="1">
      <alignment vertical="center"/>
      <protection locked="0"/>
    </xf>
    <xf numFmtId="3" fontId="0" fillId="0" borderId="13" xfId="1" applyNumberFormat="1" applyFont="1" applyFill="1" applyBorder="1" applyAlignment="1" applyProtection="1">
      <alignment horizontal="right" vertical="center" wrapText="1"/>
    </xf>
    <xf numFmtId="3" fontId="20" fillId="0" borderId="13" xfId="0" applyNumberFormat="1" applyFont="1" applyBorder="1" applyAlignment="1" applyProtection="1">
      <alignment vertical="center" wrapText="1"/>
    </xf>
    <xf numFmtId="3" fontId="11" fillId="25" borderId="13" xfId="1" applyNumberFormat="1" applyFont="1" applyFill="1" applyBorder="1" applyAlignment="1" applyProtection="1">
      <alignment horizontal="right" vertical="center"/>
    </xf>
    <xf numFmtId="164" fontId="20" fillId="0" borderId="13" xfId="161" applyNumberFormat="1" applyFont="1" applyFill="1" applyBorder="1" applyAlignment="1" applyProtection="1">
      <alignment horizontal="center" vertical="center" wrapText="1"/>
    </xf>
    <xf numFmtId="164" fontId="20" fillId="0" borderId="13" xfId="159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164" fontId="16" fillId="0" borderId="13" xfId="161" applyNumberFormat="1" applyFont="1" applyFill="1" applyBorder="1" applyAlignment="1" applyProtection="1">
      <alignment horizontal="center" vertical="center" wrapText="1"/>
    </xf>
    <xf numFmtId="164" fontId="16" fillId="0" borderId="13" xfId="161" applyNumberFormat="1" applyFont="1" applyFill="1" applyBorder="1" applyAlignment="1" applyProtection="1">
      <alignment vertical="center" wrapText="1"/>
    </xf>
    <xf numFmtId="49" fontId="16" fillId="0" borderId="13" xfId="161" applyNumberFormat="1" applyFont="1" applyFill="1" applyBorder="1" applyAlignment="1" applyProtection="1">
      <alignment horizontal="left" vertical="center" wrapText="1" indent="2"/>
    </xf>
    <xf numFmtId="3" fontId="16" fillId="0" borderId="13" xfId="161" applyNumberFormat="1" applyFont="1" applyFill="1" applyBorder="1" applyAlignment="1" applyProtection="1">
      <alignment horizontal="right" vertical="center"/>
    </xf>
    <xf numFmtId="3" fontId="16" fillId="0" borderId="13" xfId="0" applyNumberFormat="1" applyFont="1" applyFill="1" applyBorder="1" applyAlignment="1">
      <alignment horizontal="right" vertical="center"/>
    </xf>
    <xf numFmtId="3" fontId="16" fillId="0" borderId="13" xfId="159" applyNumberFormat="1" applyFont="1" applyBorder="1" applyAlignment="1">
      <alignment horizontal="right" vertical="center"/>
    </xf>
    <xf numFmtId="3" fontId="0" fillId="0" borderId="13" xfId="0" applyNumberFormat="1" applyFont="1" applyBorder="1" applyAlignment="1">
      <alignment horizontal="right" vertical="center"/>
    </xf>
    <xf numFmtId="164" fontId="20" fillId="0" borderId="13" xfId="161" applyNumberFormat="1" applyFont="1" applyFill="1" applyBorder="1" applyAlignment="1" applyProtection="1">
      <alignment vertical="center" wrapText="1"/>
    </xf>
    <xf numFmtId="49" fontId="20" fillId="0" borderId="13" xfId="161" applyNumberFormat="1" applyFont="1" applyFill="1" applyBorder="1" applyAlignment="1" applyProtection="1">
      <alignment horizontal="left" vertical="center" wrapText="1" indent="2"/>
    </xf>
    <xf numFmtId="3" fontId="20" fillId="0" borderId="13" xfId="161" applyNumberFormat="1" applyFont="1" applyFill="1" applyBorder="1" applyAlignment="1" applyProtection="1">
      <alignment horizontal="right" vertical="center"/>
    </xf>
    <xf numFmtId="3" fontId="20" fillId="0" borderId="13" xfId="0" applyNumberFormat="1" applyFont="1" applyFill="1" applyBorder="1" applyAlignment="1">
      <alignment horizontal="right" vertical="center"/>
    </xf>
    <xf numFmtId="3" fontId="20" fillId="0" borderId="13" xfId="159" applyNumberFormat="1" applyFont="1" applyBorder="1" applyAlignment="1">
      <alignment horizontal="right" vertical="center"/>
    </xf>
    <xf numFmtId="3" fontId="17" fillId="0" borderId="13" xfId="0" applyNumberFormat="1" applyFont="1" applyBorder="1" applyAlignment="1">
      <alignment horizontal="right" vertical="center"/>
    </xf>
    <xf numFmtId="164" fontId="20" fillId="0" borderId="13" xfId="161" applyNumberFormat="1" applyFont="1" applyFill="1" applyBorder="1" applyAlignment="1" applyProtection="1">
      <alignment vertical="center"/>
    </xf>
    <xf numFmtId="49" fontId="20" fillId="24" borderId="13" xfId="161" applyNumberFormat="1" applyFont="1" applyFill="1" applyBorder="1" applyAlignment="1" applyProtection="1">
      <alignment horizontal="left" vertical="center" wrapText="1" indent="2"/>
    </xf>
    <xf numFmtId="0" fontId="103" fillId="0" borderId="0" xfId="48" applyFont="1"/>
    <xf numFmtId="3" fontId="103" fillId="0" borderId="13" xfId="48" applyNumberFormat="1" applyFont="1" applyBorder="1" applyAlignment="1">
      <alignment wrapText="1"/>
    </xf>
    <xf numFmtId="3" fontId="62" fillId="0" borderId="13" xfId="48" applyNumberFormat="1" applyFont="1" applyBorder="1"/>
    <xf numFmtId="164" fontId="16" fillId="0" borderId="13" xfId="161" applyNumberFormat="1" applyFont="1" applyFill="1" applyBorder="1" applyAlignment="1" applyProtection="1">
      <alignment horizontal="right" vertical="center"/>
    </xf>
    <xf numFmtId="164" fontId="16" fillId="0" borderId="13" xfId="0" applyNumberFormat="1" applyFont="1" applyFill="1" applyBorder="1" applyAlignment="1">
      <alignment horizontal="right" vertical="center"/>
    </xf>
    <xf numFmtId="164" fontId="16" fillId="0" borderId="13" xfId="159" applyNumberFormat="1" applyFont="1" applyBorder="1" applyAlignment="1">
      <alignment horizontal="right" vertical="center"/>
    </xf>
    <xf numFmtId="164" fontId="20" fillId="0" borderId="13" xfId="161" applyNumberFormat="1" applyFont="1" applyFill="1" applyBorder="1" applyAlignment="1" applyProtection="1">
      <alignment horizontal="right" vertical="center"/>
    </xf>
    <xf numFmtId="164" fontId="20" fillId="0" borderId="13" xfId="0" applyNumberFormat="1" applyFont="1" applyFill="1" applyBorder="1" applyAlignment="1">
      <alignment horizontal="right" vertical="center"/>
    </xf>
    <xf numFmtId="164" fontId="20" fillId="0" borderId="13" xfId="159" applyNumberFormat="1" applyFont="1" applyBorder="1" applyAlignment="1">
      <alignment horizontal="right" vertical="center"/>
    </xf>
    <xf numFmtId="0" fontId="0" fillId="0" borderId="13" xfId="0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164" fontId="15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3" xfId="0" applyFont="1" applyBorder="1" applyAlignment="1">
      <alignment horizontal="left" vertical="center" indent="2"/>
    </xf>
    <xf numFmtId="0" fontId="18" fillId="0" borderId="13" xfId="0" applyFont="1" applyBorder="1" applyAlignment="1">
      <alignment horizontal="center" vertical="center"/>
    </xf>
    <xf numFmtId="164" fontId="19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3" xfId="0" applyFont="1" applyBorder="1" applyAlignment="1">
      <alignment horizontal="left" vertical="center"/>
    </xf>
    <xf numFmtId="0" fontId="16" fillId="0" borderId="13" xfId="0" applyFont="1" applyFill="1" applyBorder="1" applyAlignment="1">
      <alignment vertical="center"/>
    </xf>
    <xf numFmtId="0" fontId="23" fillId="0" borderId="13" xfId="1" applyFont="1" applyFill="1" applyBorder="1" applyAlignment="1" applyProtection="1">
      <alignment horizontal="left" vertical="center" wrapText="1" indent="1"/>
    </xf>
    <xf numFmtId="0" fontId="23" fillId="0" borderId="13" xfId="1" applyFont="1" applyFill="1" applyBorder="1" applyAlignment="1" applyProtection="1">
      <alignment horizontal="left" vertical="center" wrapText="1" indent="6"/>
    </xf>
    <xf numFmtId="0" fontId="99" fillId="0" borderId="0" xfId="0" applyFont="1" applyFill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11" fillId="0" borderId="13" xfId="1" applyFont="1" applyFill="1" applyBorder="1" applyAlignment="1" applyProtection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11" fillId="0" borderId="13" xfId="1" applyFont="1" applyFill="1" applyBorder="1" applyAlignment="1" applyProtection="1">
      <alignment horizontal="left" vertical="center" wrapText="1" indent="1"/>
    </xf>
    <xf numFmtId="0" fontId="0" fillId="0" borderId="13" xfId="0" applyFont="1" applyBorder="1" applyAlignment="1">
      <alignment horizontal="right" vertical="center"/>
    </xf>
    <xf numFmtId="164" fontId="0" fillId="0" borderId="13" xfId="0" applyNumberFormat="1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164" fontId="17" fillId="0" borderId="13" xfId="0" applyNumberFormat="1" applyFont="1" applyBorder="1" applyAlignment="1">
      <alignment horizontal="right" vertical="center"/>
    </xf>
    <xf numFmtId="164" fontId="23" fillId="25" borderId="13" xfId="1" applyNumberFormat="1" applyFont="1" applyFill="1" applyBorder="1" applyAlignment="1" applyProtection="1">
      <alignment horizontal="right" vertical="center" wrapText="1"/>
      <protection locked="0"/>
    </xf>
    <xf numFmtId="49" fontId="16" fillId="0" borderId="13" xfId="161" applyNumberFormat="1" applyFont="1" applyFill="1" applyBorder="1" applyAlignment="1" applyProtection="1">
      <alignment horizontal="center" vertical="center" wrapText="1"/>
    </xf>
    <xf numFmtId="49" fontId="20" fillId="0" borderId="13" xfId="161" applyNumberFormat="1" applyFont="1" applyFill="1" applyBorder="1" applyAlignment="1" applyProtection="1">
      <alignment horizontal="center" vertical="center" wrapText="1"/>
    </xf>
    <xf numFmtId="0" fontId="91" fillId="0" borderId="13" xfId="171" applyFont="1" applyFill="1" applyBorder="1" applyAlignment="1" applyProtection="1">
      <alignment horizontal="center" vertical="center" wrapText="1"/>
    </xf>
    <xf numFmtId="0" fontId="91" fillId="0" borderId="13" xfId="171" applyFont="1" applyFill="1" applyBorder="1" applyAlignment="1" applyProtection="1">
      <alignment horizontal="center" vertical="center"/>
    </xf>
    <xf numFmtId="0" fontId="14" fillId="0" borderId="13" xfId="171" applyFont="1" applyFill="1" applyBorder="1" applyAlignment="1" applyProtection="1">
      <alignment horizontal="left" vertical="center" indent="1"/>
    </xf>
    <xf numFmtId="164" fontId="14" fillId="0" borderId="13" xfId="171" applyNumberFormat="1" applyFont="1" applyFill="1" applyBorder="1" applyAlignment="1" applyProtection="1">
      <alignment vertical="center"/>
      <protection locked="0"/>
    </xf>
    <xf numFmtId="164" fontId="14" fillId="0" borderId="13" xfId="171" applyNumberFormat="1" applyFont="1" applyFill="1" applyBorder="1" applyAlignment="1" applyProtection="1">
      <alignment vertical="center"/>
    </xf>
    <xf numFmtId="0" fontId="14" fillId="0" borderId="13" xfId="171" applyFont="1" applyFill="1" applyBorder="1" applyAlignment="1" applyProtection="1">
      <alignment horizontal="left" vertical="center" wrapText="1" indent="1"/>
    </xf>
    <xf numFmtId="0" fontId="96" fillId="0" borderId="13" xfId="171" applyFont="1" applyFill="1" applyBorder="1" applyAlignment="1" applyProtection="1">
      <alignment horizontal="left" vertical="center" indent="1"/>
    </xf>
    <xf numFmtId="164" fontId="97" fillId="0" borderId="13" xfId="171" applyNumberFormat="1" applyFont="1" applyFill="1" applyBorder="1" applyAlignment="1" applyProtection="1">
      <alignment vertical="center"/>
    </xf>
    <xf numFmtId="0" fontId="97" fillId="0" borderId="13" xfId="171" applyFont="1" applyFill="1" applyBorder="1" applyAlignment="1" applyProtection="1">
      <alignment horizontal="left" vertical="center" indent="1"/>
    </xf>
    <xf numFmtId="164" fontId="97" fillId="0" borderId="13" xfId="171" applyNumberFormat="1" applyFont="1" applyFill="1" applyBorder="1" applyProtection="1"/>
    <xf numFmtId="0" fontId="20" fillId="0" borderId="13" xfId="2" applyFont="1" applyBorder="1" applyAlignment="1">
      <alignment horizontal="center" vertical="center" wrapText="1"/>
    </xf>
    <xf numFmtId="0" fontId="16" fillId="0" borderId="13" xfId="2" applyFont="1" applyBorder="1" applyAlignment="1">
      <alignment horizontal="center" vertical="center"/>
    </xf>
    <xf numFmtId="0" fontId="16" fillId="0" borderId="13" xfId="2" applyFont="1" applyBorder="1" applyAlignment="1">
      <alignment vertical="center"/>
    </xf>
    <xf numFmtId="0" fontId="16" fillId="0" borderId="13" xfId="2" applyFont="1" applyBorder="1" applyAlignment="1">
      <alignment vertical="center" wrapText="1"/>
    </xf>
    <xf numFmtId="0" fontId="16" fillId="0" borderId="13" xfId="2" applyFont="1" applyBorder="1" applyAlignment="1">
      <alignment horizontal="right" vertical="center"/>
    </xf>
    <xf numFmtId="3" fontId="16" fillId="0" borderId="13" xfId="2" applyNumberFormat="1" applyFont="1" applyBorder="1" applyAlignment="1">
      <alignment horizontal="right" vertical="center"/>
    </xf>
    <xf numFmtId="9" fontId="16" fillId="0" borderId="13" xfId="2" applyNumberFormat="1" applyFont="1" applyBorder="1" applyAlignment="1">
      <alignment vertical="center" wrapText="1"/>
    </xf>
    <xf numFmtId="0" fontId="16" fillId="0" borderId="13" xfId="2" applyFont="1" applyBorder="1" applyAlignment="1">
      <alignment wrapText="1"/>
    </xf>
    <xf numFmtId="0" fontId="16" fillId="0" borderId="13" xfId="2" applyFont="1" applyBorder="1"/>
    <xf numFmtId="3" fontId="16" fillId="0" borderId="13" xfId="2" applyNumberFormat="1" applyFont="1" applyBorder="1" applyAlignment="1">
      <alignment horizontal="right"/>
    </xf>
    <xf numFmtId="0" fontId="16" fillId="0" borderId="13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 wrapText="1"/>
    </xf>
    <xf numFmtId="0" fontId="20" fillId="0" borderId="13" xfId="2" applyFont="1" applyBorder="1"/>
    <xf numFmtId="3" fontId="20" fillId="0" borderId="13" xfId="2" applyNumberFormat="1" applyFont="1" applyBorder="1" applyAlignment="1">
      <alignment horizontal="right"/>
    </xf>
    <xf numFmtId="0" fontId="20" fillId="0" borderId="13" xfId="2" applyFont="1" applyBorder="1" applyAlignment="1">
      <alignment horizontal="right"/>
    </xf>
    <xf numFmtId="0" fontId="103" fillId="0" borderId="13" xfId="173" applyFont="1" applyBorder="1" applyAlignment="1">
      <alignment horizontal="center" vertical="center"/>
    </xf>
    <xf numFmtId="0" fontId="103" fillId="0" borderId="13" xfId="173" applyFont="1" applyFill="1" applyBorder="1" applyAlignment="1">
      <alignment horizontal="center" vertical="center" wrapText="1"/>
    </xf>
    <xf numFmtId="0" fontId="62" fillId="0" borderId="13" xfId="173" applyFont="1" applyBorder="1" applyAlignment="1">
      <alignment horizontal="center" vertical="center"/>
    </xf>
    <xf numFmtId="0" fontId="62" fillId="0" borderId="13" xfId="173" applyFont="1" applyBorder="1" applyAlignment="1">
      <alignment vertical="center" wrapText="1"/>
    </xf>
    <xf numFmtId="3" fontId="62" fillId="0" borderId="13" xfId="173" applyNumberFormat="1" applyFont="1" applyFill="1" applyBorder="1" applyAlignment="1">
      <alignment vertical="center"/>
    </xf>
    <xf numFmtId="0" fontId="62" fillId="0" borderId="13" xfId="173" applyFont="1" applyBorder="1" applyAlignment="1">
      <alignment vertical="center"/>
    </xf>
    <xf numFmtId="0" fontId="61" fillId="0" borderId="13" xfId="173" applyFont="1" applyBorder="1" applyAlignment="1">
      <alignment vertical="center"/>
    </xf>
    <xf numFmtId="3" fontId="61" fillId="0" borderId="13" xfId="173" applyNumberFormat="1" applyFont="1" applyFill="1" applyBorder="1" applyAlignment="1">
      <alignment vertical="center"/>
    </xf>
    <xf numFmtId="0" fontId="62" fillId="0" borderId="13" xfId="173" applyFont="1" applyBorder="1" applyAlignment="1">
      <alignment horizontal="left" vertical="center" wrapText="1"/>
    </xf>
    <xf numFmtId="0" fontId="103" fillId="0" borderId="13" xfId="173" applyFont="1" applyBorder="1" applyAlignment="1">
      <alignment horizontal="left" vertical="center"/>
    </xf>
    <xf numFmtId="3" fontId="103" fillId="0" borderId="13" xfId="173" applyNumberFormat="1" applyFont="1" applyBorder="1" applyAlignment="1">
      <alignment vertical="center"/>
    </xf>
    <xf numFmtId="0" fontId="103" fillId="0" borderId="13" xfId="173" applyFont="1" applyBorder="1" applyAlignment="1">
      <alignment vertical="center"/>
    </xf>
    <xf numFmtId="0" fontId="14" fillId="0" borderId="13" xfId="1" applyFont="1" applyFill="1" applyBorder="1" applyAlignment="1" applyProtection="1">
      <alignment horizontal="center" vertical="center" wrapText="1"/>
    </xf>
    <xf numFmtId="0" fontId="98" fillId="0" borderId="13" xfId="1" applyFont="1" applyFill="1" applyBorder="1" applyAlignment="1" applyProtection="1">
      <alignment horizontal="center" vertical="center" wrapText="1"/>
    </xf>
    <xf numFmtId="0" fontId="59" fillId="0" borderId="13" xfId="0" applyFont="1" applyBorder="1" applyAlignment="1" applyProtection="1">
      <alignment horizontal="left" vertical="center" wrapText="1" indent="1"/>
    </xf>
    <xf numFmtId="164" fontId="71" fillId="0" borderId="13" xfId="1" applyNumberFormat="1" applyFont="1" applyFill="1" applyBorder="1" applyAlignment="1" applyProtection="1">
      <alignment vertical="center" wrapText="1"/>
      <protection locked="0"/>
    </xf>
    <xf numFmtId="0" fontId="71" fillId="0" borderId="13" xfId="1" applyFont="1" applyFill="1" applyBorder="1" applyAlignment="1" applyProtection="1">
      <alignment horizontal="left" vertical="center" wrapText="1" indent="1"/>
    </xf>
    <xf numFmtId="164" fontId="98" fillId="0" borderId="13" xfId="1" applyNumberFormat="1" applyFont="1" applyFill="1" applyBorder="1" applyAlignment="1" applyProtection="1">
      <alignment vertical="center" wrapText="1"/>
    </xf>
    <xf numFmtId="164" fontId="98" fillId="0" borderId="13" xfId="1" applyNumberFormat="1" applyFont="1" applyFill="1" applyBorder="1" applyAlignment="1" applyProtection="1">
      <alignment vertical="center" wrapText="1"/>
      <protection locked="0"/>
    </xf>
    <xf numFmtId="0" fontId="15" fillId="0" borderId="13" xfId="1" applyFont="1" applyFill="1" applyBorder="1" applyAlignment="1" applyProtection="1">
      <alignment vertical="center" wrapText="1"/>
    </xf>
    <xf numFmtId="0" fontId="16" fillId="0" borderId="13" xfId="0" applyFont="1" applyBorder="1" applyAlignment="1" applyProtection="1">
      <alignment horizontal="left" vertical="center" wrapText="1" indent="1"/>
    </xf>
    <xf numFmtId="164" fontId="16" fillId="0" borderId="13" xfId="0" quotePrefix="1" applyNumberFormat="1" applyFont="1" applyBorder="1" applyAlignment="1" applyProtection="1">
      <alignment vertical="center" wrapText="1"/>
      <protection locked="0"/>
    </xf>
    <xf numFmtId="0" fontId="61" fillId="0" borderId="13" xfId="172" applyFont="1" applyBorder="1" applyAlignment="1">
      <alignment horizontal="center"/>
    </xf>
    <xf numFmtId="0" fontId="59" fillId="0" borderId="13" xfId="172" applyFont="1" applyBorder="1" applyAlignment="1">
      <alignment horizontal="left" vertical="center" wrapText="1"/>
    </xf>
    <xf numFmtId="3" fontId="59" fillId="0" borderId="13" xfId="172" applyNumberFormat="1" applyFont="1" applyBorder="1" applyAlignment="1">
      <alignment horizontal="center" vertical="center"/>
    </xf>
    <xf numFmtId="0" fontId="59" fillId="0" borderId="13" xfId="172" applyFont="1" applyBorder="1" applyAlignment="1">
      <alignment horizontal="center" vertical="center" wrapText="1"/>
    </xf>
    <xf numFmtId="3" fontId="61" fillId="0" borderId="13" xfId="172" applyNumberFormat="1" applyFont="1" applyBorder="1" applyAlignment="1">
      <alignment horizontal="center" vertical="center"/>
    </xf>
    <xf numFmtId="0" fontId="103" fillId="0" borderId="13" xfId="175" applyFont="1" applyBorder="1" applyAlignment="1">
      <alignment horizontal="center" vertical="center" wrapText="1"/>
    </xf>
    <xf numFmtId="0" fontId="62" fillId="0" borderId="13" xfId="175" applyFont="1" applyBorder="1" applyAlignment="1">
      <alignment horizontal="center" vertical="center"/>
    </xf>
    <xf numFmtId="0" fontId="111" fillId="0" borderId="13" xfId="0" applyFont="1" applyBorder="1" applyAlignment="1">
      <alignment horizontal="left" vertical="center" wrapText="1"/>
    </xf>
    <xf numFmtId="164" fontId="67" fillId="0" borderId="13" xfId="35" applyNumberFormat="1" applyFont="1" applyBorder="1" applyAlignment="1">
      <alignment horizontal="right" vertical="center"/>
    </xf>
    <xf numFmtId="0" fontId="112" fillId="0" borderId="13" xfId="0" applyFont="1" applyBorder="1" applyAlignment="1">
      <alignment horizontal="left" vertical="center" wrapText="1"/>
    </xf>
    <xf numFmtId="164" fontId="108" fillId="0" borderId="13" xfId="35" applyNumberFormat="1" applyFont="1" applyBorder="1" applyAlignment="1">
      <alignment horizontal="right" vertical="center"/>
    </xf>
    <xf numFmtId="164" fontId="103" fillId="0" borderId="13" xfId="175" applyNumberFormat="1" applyFont="1" applyBorder="1" applyAlignment="1">
      <alignment horizontal="right" vertical="center"/>
    </xf>
    <xf numFmtId="0" fontId="99" fillId="0" borderId="13" xfId="1" applyFont="1" applyFill="1" applyBorder="1" applyAlignment="1" applyProtection="1">
      <alignment horizontal="center" vertical="center" wrapText="1"/>
    </xf>
    <xf numFmtId="166" fontId="99" fillId="0" borderId="13" xfId="177" applyNumberFormat="1" applyFont="1" applyFill="1" applyBorder="1" applyAlignment="1" applyProtection="1">
      <alignment horizontal="center" vertical="center" wrapText="1"/>
    </xf>
    <xf numFmtId="1" fontId="98" fillId="0" borderId="13" xfId="1" applyNumberFormat="1" applyFont="1" applyFill="1" applyBorder="1" applyAlignment="1" applyProtection="1">
      <alignment horizontal="center" vertical="center"/>
    </xf>
    <xf numFmtId="1" fontId="98" fillId="0" borderId="13" xfId="177" applyNumberFormat="1" applyFont="1" applyFill="1" applyBorder="1" applyAlignment="1" applyProtection="1">
      <alignment horizontal="center" vertical="center"/>
    </xf>
    <xf numFmtId="0" fontId="98" fillId="0" borderId="13" xfId="1" applyFont="1" applyFill="1" applyBorder="1" applyAlignment="1" applyProtection="1">
      <alignment horizontal="center" vertical="center"/>
    </xf>
    <xf numFmtId="0" fontId="67" fillId="0" borderId="13" xfId="176" applyFont="1" applyFill="1" applyBorder="1" applyAlignment="1">
      <alignment wrapText="1"/>
    </xf>
    <xf numFmtId="166" fontId="67" fillId="0" borderId="13" xfId="177" applyNumberFormat="1" applyFont="1" applyFill="1" applyBorder="1" applyAlignment="1">
      <alignment horizontal="center" vertical="center"/>
    </xf>
    <xf numFmtId="166" fontId="98" fillId="0" borderId="13" xfId="177" applyNumberFormat="1" applyFont="1" applyFill="1" applyBorder="1" applyAlignment="1" applyProtection="1">
      <alignment vertical="center"/>
      <protection locked="0"/>
    </xf>
    <xf numFmtId="0" fontId="67" fillId="0" borderId="13" xfId="176" applyFont="1" applyBorder="1" applyAlignment="1">
      <alignment wrapText="1"/>
    </xf>
    <xf numFmtId="166" fontId="67" fillId="0" borderId="13" xfId="177" applyNumberFormat="1" applyFont="1" applyBorder="1" applyAlignment="1">
      <alignment vertical="center"/>
    </xf>
    <xf numFmtId="0" fontId="67" fillId="0" borderId="13" xfId="176" applyFont="1" applyBorder="1" applyAlignment="1">
      <alignment vertical="center" wrapText="1"/>
    </xf>
    <xf numFmtId="166" fontId="67" fillId="0" borderId="13" xfId="177" applyNumberFormat="1" applyFont="1" applyBorder="1" applyAlignment="1">
      <alignment horizontal="center" vertical="center"/>
    </xf>
    <xf numFmtId="0" fontId="67" fillId="0" borderId="13" xfId="176" applyFont="1" applyBorder="1" applyAlignment="1">
      <alignment vertical="center" wrapText="1" shrinkToFit="1"/>
    </xf>
    <xf numFmtId="0" fontId="99" fillId="0" borderId="13" xfId="1" applyFont="1" applyFill="1" applyBorder="1" applyAlignment="1" applyProtection="1">
      <alignment horizontal="center" vertical="center"/>
    </xf>
    <xf numFmtId="0" fontId="99" fillId="0" borderId="13" xfId="1" applyFont="1" applyFill="1" applyBorder="1" applyAlignment="1" applyProtection="1">
      <alignment vertical="center" wrapText="1"/>
      <protection locked="0"/>
    </xf>
    <xf numFmtId="166" fontId="99" fillId="0" borderId="13" xfId="177" applyNumberFormat="1" applyFont="1" applyFill="1" applyBorder="1" applyAlignment="1" applyProtection="1">
      <alignment vertical="center"/>
      <protection locked="0"/>
    </xf>
    <xf numFmtId="0" fontId="59" fillId="0" borderId="13" xfId="176" applyFont="1" applyFill="1" applyBorder="1" applyAlignment="1">
      <alignment wrapText="1"/>
    </xf>
    <xf numFmtId="166" fontId="59" fillId="0" borderId="13" xfId="177" applyNumberFormat="1" applyFont="1" applyBorder="1" applyAlignment="1">
      <alignment horizontal="center"/>
    </xf>
    <xf numFmtId="0" fontId="59" fillId="0" borderId="13" xfId="176" applyFont="1" applyBorder="1" applyAlignment="1">
      <alignment wrapText="1"/>
    </xf>
    <xf numFmtId="166" fontId="59" fillId="0" borderId="13" xfId="177" applyNumberFormat="1" applyFont="1" applyFill="1" applyBorder="1" applyAlignment="1">
      <alignment horizontal="center"/>
    </xf>
    <xf numFmtId="166" fontId="116" fillId="0" borderId="13" xfId="177" applyNumberFormat="1" applyFont="1" applyFill="1" applyBorder="1" applyAlignment="1"/>
    <xf numFmtId="166" fontId="99" fillId="0" borderId="13" xfId="177" applyNumberFormat="1" applyFont="1" applyFill="1" applyBorder="1" applyAlignment="1" applyProtection="1">
      <alignment vertical="center"/>
    </xf>
    <xf numFmtId="3" fontId="68" fillId="0" borderId="0" xfId="35" applyNumberFormat="1" applyFont="1" applyFill="1" applyBorder="1" applyAlignment="1">
      <alignment horizontal="right"/>
    </xf>
    <xf numFmtId="3" fontId="61" fillId="0" borderId="13" xfId="35" applyNumberFormat="1" applyFont="1" applyBorder="1" applyAlignment="1">
      <alignment vertical="center"/>
    </xf>
    <xf numFmtId="0" fontId="17" fillId="0" borderId="0" xfId="1" applyFont="1" applyFill="1" applyProtection="1"/>
    <xf numFmtId="0" fontId="13" fillId="0" borderId="0" xfId="1" applyFont="1" applyFill="1" applyProtection="1"/>
    <xf numFmtId="164" fontId="18" fillId="0" borderId="13" xfId="67" applyNumberFormat="1" applyFont="1" applyBorder="1" applyAlignment="1">
      <alignment horizontal="left" vertical="center" wrapText="1"/>
    </xf>
    <xf numFmtId="164" fontId="18" fillId="0" borderId="13" xfId="67" applyNumberFormat="1" applyFont="1" applyBorder="1" applyAlignment="1">
      <alignment vertical="center"/>
    </xf>
    <xf numFmtId="165" fontId="18" fillId="0" borderId="13" xfId="67" applyNumberFormat="1" applyFont="1" applyBorder="1" applyAlignment="1">
      <alignment vertical="center"/>
    </xf>
    <xf numFmtId="0" fontId="119" fillId="0" borderId="0" xfId="0" applyFont="1"/>
    <xf numFmtId="0" fontId="63" fillId="0" borderId="0" xfId="0" applyFont="1"/>
    <xf numFmtId="3" fontId="20" fillId="0" borderId="14" xfId="51" applyNumberFormat="1" applyFont="1" applyBorder="1" applyAlignment="1">
      <alignment horizontal="center" vertical="center"/>
    </xf>
    <xf numFmtId="0" fontId="20" fillId="0" borderId="0" xfId="51" applyFont="1" applyFill="1"/>
    <xf numFmtId="3" fontId="16" fillId="0" borderId="13" xfId="51" applyNumberFormat="1" applyFont="1" applyBorder="1" applyAlignment="1">
      <alignment horizontal="center" vertical="center"/>
    </xf>
    <xf numFmtId="3" fontId="20" fillId="0" borderId="13" xfId="51" applyNumberFormat="1" applyFont="1" applyFill="1" applyBorder="1" applyAlignment="1">
      <alignment horizontal="center" vertical="center"/>
    </xf>
    <xf numFmtId="3" fontId="16" fillId="0" borderId="0" xfId="51" applyNumberFormat="1" applyFont="1" applyAlignment="1">
      <alignment horizontal="center" vertical="center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13" fillId="0" borderId="13" xfId="0" applyNumberFormat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7" fillId="0" borderId="1" xfId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0" fontId="17" fillId="0" borderId="3" xfId="1" applyFont="1" applyFill="1" applyBorder="1" applyAlignment="1" applyProtection="1">
      <alignment horizontal="center" vertical="center" wrapText="1"/>
    </xf>
    <xf numFmtId="3" fontId="92" fillId="0" borderId="13" xfId="1" applyNumberFormat="1" applyFont="1" applyFill="1" applyBorder="1" applyAlignment="1" applyProtection="1">
      <alignment horizontal="center"/>
    </xf>
    <xf numFmtId="0" fontId="92" fillId="0" borderId="0" xfId="1" applyFont="1" applyFill="1" applyProtection="1"/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0" fontId="27" fillId="0" borderId="12" xfId="0" applyFont="1" applyFill="1" applyBorder="1" applyAlignment="1" applyProtection="1"/>
    <xf numFmtId="3" fontId="20" fillId="0" borderId="25" xfId="51" applyNumberFormat="1" applyFont="1" applyBorder="1" applyAlignment="1">
      <alignment horizontal="center" vertical="center"/>
    </xf>
    <xf numFmtId="3" fontId="16" fillId="0" borderId="10" xfId="51" applyNumberFormat="1" applyFont="1" applyBorder="1" applyAlignment="1">
      <alignment horizontal="center" vertical="center"/>
    </xf>
    <xf numFmtId="3" fontId="20" fillId="0" borderId="10" xfId="51" applyNumberFormat="1" applyFont="1" applyBorder="1" applyAlignment="1">
      <alignment horizontal="center" vertical="center"/>
    </xf>
    <xf numFmtId="0" fontId="20" fillId="0" borderId="13" xfId="51" applyFont="1" applyBorder="1"/>
    <xf numFmtId="0" fontId="66" fillId="0" borderId="12" xfId="51" applyFont="1" applyBorder="1" applyAlignment="1">
      <alignment vertical="center"/>
    </xf>
    <xf numFmtId="3" fontId="20" fillId="0" borderId="13" xfId="178" applyNumberFormat="1" applyFont="1" applyFill="1" applyBorder="1" applyAlignment="1">
      <alignment horizontal="center" vertical="center" wrapText="1"/>
    </xf>
    <xf numFmtId="0" fontId="20" fillId="0" borderId="0" xfId="178" applyFont="1" applyFill="1" applyAlignment="1">
      <alignment horizontal="center" vertical="top" wrapText="1"/>
    </xf>
    <xf numFmtId="0" fontId="16" fillId="0" borderId="13" xfId="178" applyFont="1" applyFill="1" applyBorder="1" applyAlignment="1">
      <alignment vertical="center"/>
    </xf>
    <xf numFmtId="0" fontId="20" fillId="0" borderId="13" xfId="178" applyFont="1" applyFill="1" applyBorder="1" applyAlignment="1">
      <alignment vertical="center"/>
    </xf>
    <xf numFmtId="0" fontId="20" fillId="0" borderId="13" xfId="178" applyFont="1" applyFill="1" applyBorder="1" applyAlignment="1">
      <alignment horizontal="center" vertical="center" wrapText="1"/>
    </xf>
    <xf numFmtId="0" fontId="17" fillId="0" borderId="26" xfId="1" applyFont="1" applyFill="1" applyBorder="1" applyAlignment="1" applyProtection="1">
      <alignment horizontal="center" vertical="center" wrapText="1"/>
    </xf>
    <xf numFmtId="0" fontId="28" fillId="0" borderId="0" xfId="1" applyFont="1" applyFill="1" applyProtection="1"/>
    <xf numFmtId="3" fontId="17" fillId="0" borderId="13" xfId="1" applyNumberFormat="1" applyFont="1" applyFill="1" applyBorder="1" applyAlignment="1" applyProtection="1">
      <alignment horizontal="center"/>
    </xf>
    <xf numFmtId="0" fontId="97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7" fillId="0" borderId="0" xfId="0" applyFont="1" applyBorder="1"/>
    <xf numFmtId="164" fontId="20" fillId="0" borderId="13" xfId="159" applyNumberFormat="1" applyFont="1" applyBorder="1" applyAlignment="1">
      <alignment vertical="center"/>
    </xf>
    <xf numFmtId="164" fontId="20" fillId="0" borderId="13" xfId="159" applyNumberFormat="1" applyFont="1" applyBorder="1" applyAlignment="1">
      <alignment horizontal="center" vertical="center"/>
    </xf>
    <xf numFmtId="0" fontId="17" fillId="0" borderId="14" xfId="1" applyFont="1" applyFill="1" applyBorder="1" applyAlignment="1" applyProtection="1">
      <alignment horizontal="center" vertical="center" wrapText="1"/>
    </xf>
    <xf numFmtId="3" fontId="0" fillId="0" borderId="13" xfId="1" applyNumberFormat="1" applyFont="1" applyFill="1" applyBorder="1" applyProtection="1"/>
    <xf numFmtId="164" fontId="0" fillId="0" borderId="0" xfId="0" applyNumberFormat="1" applyFont="1" applyFill="1" applyAlignment="1" applyProtection="1">
      <alignment textRotation="180" wrapText="1"/>
    </xf>
    <xf numFmtId="164" fontId="0" fillId="0" borderId="13" xfId="0" applyNumberFormat="1" applyFont="1" applyFill="1" applyBorder="1" applyAlignment="1" applyProtection="1">
      <alignment wrapText="1"/>
    </xf>
    <xf numFmtId="164" fontId="0" fillId="0" borderId="13" xfId="0" applyNumberFormat="1" applyFont="1" applyFill="1" applyBorder="1" applyAlignment="1" applyProtection="1">
      <alignment textRotation="180" wrapText="1"/>
    </xf>
    <xf numFmtId="164" fontId="0" fillId="0" borderId="0" xfId="0" applyNumberFormat="1" applyFont="1" applyFill="1" applyAlignment="1" applyProtection="1">
      <alignment vertical="center" wrapText="1"/>
    </xf>
    <xf numFmtId="3" fontId="0" fillId="0" borderId="13" xfId="1" applyNumberFormat="1" applyFont="1" applyFill="1" applyBorder="1" applyAlignment="1" applyProtection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vertical="center" wrapText="1"/>
    </xf>
    <xf numFmtId="164" fontId="13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13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3" fontId="17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 applyProtection="1">
      <alignment horizontal="right"/>
    </xf>
    <xf numFmtId="10" fontId="0" fillId="0" borderId="0" xfId="0" applyNumberFormat="1" applyFont="1" applyFill="1" applyAlignment="1">
      <alignment vertical="center"/>
    </xf>
    <xf numFmtId="10" fontId="17" fillId="0" borderId="13" xfId="0" applyNumberFormat="1" applyFont="1" applyFill="1" applyBorder="1" applyAlignment="1">
      <alignment vertical="center" wrapText="1"/>
    </xf>
    <xf numFmtId="3" fontId="17" fillId="0" borderId="13" xfId="0" applyNumberFormat="1" applyFont="1" applyFill="1" applyBorder="1" applyAlignment="1">
      <alignment horizontal="center" vertical="center" wrapText="1"/>
    </xf>
    <xf numFmtId="10" fontId="17" fillId="0" borderId="13" xfId="0" applyNumberFormat="1" applyFont="1" applyFill="1" applyBorder="1" applyAlignment="1">
      <alignment horizontal="center" vertical="center" wrapText="1"/>
    </xf>
    <xf numFmtId="10" fontId="0" fillId="0" borderId="13" xfId="0" applyNumberFormat="1" applyFont="1" applyFill="1" applyBorder="1" applyAlignment="1">
      <alignment vertical="center" wrapText="1"/>
    </xf>
    <xf numFmtId="3" fontId="17" fillId="0" borderId="13" xfId="0" applyNumberFormat="1" applyFont="1" applyFill="1" applyBorder="1" applyAlignment="1" applyProtection="1">
      <alignment horizontal="right" vertical="center" wrapText="1"/>
      <protection locked="0"/>
    </xf>
    <xf numFmtId="10" fontId="0" fillId="0" borderId="0" xfId="0" applyNumberFormat="1" applyFont="1" applyFill="1" applyAlignment="1">
      <alignment vertical="center" wrapText="1"/>
    </xf>
    <xf numFmtId="10" fontId="0" fillId="0" borderId="0" xfId="0" applyNumberFormat="1" applyFont="1" applyFill="1" applyBorder="1" applyAlignment="1">
      <alignment vertical="center" wrapText="1"/>
    </xf>
    <xf numFmtId="3" fontId="0" fillId="0" borderId="13" xfId="0" applyNumberFormat="1" applyFont="1" applyFill="1" applyBorder="1" applyAlignment="1">
      <alignment horizontal="center" vertical="center" wrapText="1"/>
    </xf>
    <xf numFmtId="10" fontId="93" fillId="0" borderId="0" xfId="0" applyNumberFormat="1" applyFont="1" applyFill="1" applyAlignment="1">
      <alignment vertical="center"/>
    </xf>
    <xf numFmtId="10" fontId="98" fillId="0" borderId="0" xfId="0" applyNumberFormat="1" applyFont="1" applyFill="1" applyAlignment="1">
      <alignment vertical="center" wrapText="1"/>
    </xf>
    <xf numFmtId="10" fontId="11" fillId="0" borderId="0" xfId="1" applyNumberFormat="1" applyFont="1" applyFill="1" applyProtection="1"/>
    <xf numFmtId="10" fontId="93" fillId="0" borderId="0" xfId="0" applyNumberFormat="1" applyFont="1" applyFill="1" applyBorder="1" applyAlignment="1" applyProtection="1">
      <alignment horizontal="right" vertical="center"/>
    </xf>
    <xf numFmtId="10" fontId="17" fillId="0" borderId="13" xfId="1" applyNumberFormat="1" applyFont="1" applyFill="1" applyBorder="1" applyAlignment="1" applyProtection="1">
      <alignment horizontal="center" vertical="center"/>
    </xf>
    <xf numFmtId="10" fontId="0" fillId="0" borderId="13" xfId="1" applyNumberFormat="1" applyFont="1" applyFill="1" applyBorder="1" applyProtection="1"/>
    <xf numFmtId="10" fontId="11" fillId="0" borderId="0" xfId="1" applyNumberFormat="1" applyFont="1" applyFill="1" applyAlignment="1" applyProtection="1"/>
    <xf numFmtId="10" fontId="0" fillId="0" borderId="13" xfId="1" applyNumberFormat="1" applyFont="1" applyFill="1" applyBorder="1" applyAlignment="1" applyProtection="1">
      <alignment horizontal="center" vertical="center"/>
    </xf>
    <xf numFmtId="10" fontId="0" fillId="0" borderId="13" xfId="1" applyNumberFormat="1" applyFont="1" applyFill="1" applyBorder="1" applyAlignment="1" applyProtection="1">
      <alignment horizontal="center"/>
    </xf>
    <xf numFmtId="10" fontId="13" fillId="0" borderId="13" xfId="1" applyNumberFormat="1" applyFont="1" applyFill="1" applyBorder="1" applyAlignment="1" applyProtection="1">
      <alignment horizontal="right" vertical="center" wrapText="1" indent="1"/>
    </xf>
    <xf numFmtId="3" fontId="11" fillId="0" borderId="0" xfId="1" applyNumberFormat="1" applyFont="1" applyFill="1" applyProtection="1"/>
    <xf numFmtId="3" fontId="17" fillId="0" borderId="13" xfId="1" applyNumberFormat="1" applyFont="1" applyFill="1" applyBorder="1" applyAlignment="1" applyProtection="1">
      <alignment vertical="center" wrapText="1"/>
    </xf>
    <xf numFmtId="3" fontId="13" fillId="0" borderId="13" xfId="1" applyNumberFormat="1" applyFont="1" applyFill="1" applyBorder="1" applyAlignment="1" applyProtection="1">
      <alignment vertical="center" wrapText="1"/>
    </xf>
    <xf numFmtId="3" fontId="17" fillId="0" borderId="13" xfId="1" applyNumberFormat="1" applyFont="1" applyFill="1" applyBorder="1" applyAlignment="1" applyProtection="1">
      <alignment vertical="center" wrapText="1"/>
      <protection locked="0"/>
    </xf>
    <xf numFmtId="3" fontId="11" fillId="0" borderId="0" xfId="1" applyNumberFormat="1" applyFont="1" applyFill="1" applyAlignment="1" applyProtection="1"/>
    <xf numFmtId="3" fontId="0" fillId="0" borderId="13" xfId="1" applyNumberFormat="1" applyFont="1" applyFill="1" applyBorder="1" applyAlignment="1" applyProtection="1">
      <alignment horizontal="center"/>
    </xf>
    <xf numFmtId="3" fontId="13" fillId="0" borderId="13" xfId="1" applyNumberFormat="1" applyFont="1" applyFill="1" applyBorder="1" applyAlignment="1" applyProtection="1">
      <alignment horizontal="right" vertical="center" wrapText="1" indent="1"/>
    </xf>
    <xf numFmtId="10" fontId="0" fillId="0" borderId="0" xfId="0" applyNumberFormat="1" applyFill="1" applyAlignment="1" applyProtection="1">
      <alignment vertical="center" wrapText="1"/>
    </xf>
    <xf numFmtId="10" fontId="17" fillId="0" borderId="13" xfId="0" applyNumberFormat="1" applyFont="1" applyFill="1" applyBorder="1" applyAlignment="1" applyProtection="1">
      <alignment horizontal="center" vertical="center" wrapText="1"/>
    </xf>
    <xf numFmtId="10" fontId="0" fillId="0" borderId="13" xfId="0" applyNumberFormat="1" applyFont="1" applyFill="1" applyBorder="1" applyAlignment="1" applyProtection="1">
      <alignment vertical="center" wrapText="1"/>
      <protection locked="0"/>
    </xf>
    <xf numFmtId="10" fontId="27" fillId="0" borderId="12" xfId="0" applyNumberFormat="1" applyFont="1" applyFill="1" applyBorder="1" applyAlignment="1" applyProtection="1"/>
    <xf numFmtId="10" fontId="13" fillId="0" borderId="13" xfId="0" applyNumberFormat="1" applyFont="1" applyFill="1" applyBorder="1" applyAlignment="1" applyProtection="1">
      <alignment horizontal="center" vertical="center" wrapText="1"/>
    </xf>
    <xf numFmtId="10" fontId="28" fillId="0" borderId="13" xfId="0" applyNumberFormat="1" applyFont="1" applyFill="1" applyBorder="1" applyAlignment="1" applyProtection="1">
      <alignment horizontal="center" vertical="center" wrapText="1"/>
    </xf>
    <xf numFmtId="10" fontId="0" fillId="0" borderId="13" xfId="0" applyNumberFormat="1" applyFill="1" applyBorder="1" applyAlignment="1" applyProtection="1">
      <alignment vertical="center" wrapText="1"/>
    </xf>
    <xf numFmtId="9" fontId="0" fillId="0" borderId="0" xfId="0" applyNumberFormat="1" applyFill="1" applyAlignment="1" applyProtection="1">
      <alignment vertical="center" wrapText="1"/>
    </xf>
    <xf numFmtId="9" fontId="17" fillId="0" borderId="13" xfId="0" applyNumberFormat="1" applyFont="1" applyFill="1" applyBorder="1" applyAlignment="1" applyProtection="1">
      <alignment horizontal="center" vertical="center" wrapText="1"/>
    </xf>
    <xf numFmtId="9" fontId="28" fillId="0" borderId="13" xfId="0" applyNumberFormat="1" applyFont="1" applyFill="1" applyBorder="1" applyAlignment="1" applyProtection="1">
      <alignment horizontal="center" vertical="center" wrapText="1"/>
    </xf>
    <xf numFmtId="9" fontId="0" fillId="0" borderId="13" xfId="0" applyNumberFormat="1" applyFont="1" applyFill="1" applyBorder="1" applyAlignment="1" applyProtection="1">
      <alignment vertical="center" wrapText="1"/>
      <protection locked="0"/>
    </xf>
    <xf numFmtId="9" fontId="17" fillId="0" borderId="13" xfId="0" applyNumberFormat="1" applyFont="1" applyFill="1" applyBorder="1" applyAlignment="1" applyProtection="1">
      <alignment vertical="center" wrapText="1"/>
    </xf>
    <xf numFmtId="10" fontId="93" fillId="0" borderId="0" xfId="0" applyNumberFormat="1" applyFont="1" applyFill="1" applyAlignment="1" applyProtection="1">
      <alignment vertical="center" wrapText="1"/>
    </xf>
    <xf numFmtId="10" fontId="94" fillId="0" borderId="0" xfId="51" applyNumberFormat="1" applyFont="1"/>
    <xf numFmtId="10" fontId="20" fillId="0" borderId="13" xfId="51" applyNumberFormat="1" applyFont="1" applyBorder="1"/>
    <xf numFmtId="10" fontId="20" fillId="0" borderId="13" xfId="51" applyNumberFormat="1" applyFont="1" applyBorder="1" applyAlignment="1">
      <alignment horizontal="center" vertical="center"/>
    </xf>
    <xf numFmtId="10" fontId="16" fillId="0" borderId="13" xfId="51" applyNumberFormat="1" applyFont="1" applyBorder="1"/>
    <xf numFmtId="10" fontId="16" fillId="0" borderId="0" xfId="51" applyNumberFormat="1" applyFont="1"/>
    <xf numFmtId="10" fontId="94" fillId="0" borderId="0" xfId="178" applyNumberFormat="1" applyFont="1" applyFill="1"/>
    <xf numFmtId="10" fontId="20" fillId="0" borderId="13" xfId="178" applyNumberFormat="1" applyFont="1" applyFill="1" applyBorder="1" applyAlignment="1">
      <alignment horizontal="center" vertical="center" wrapText="1"/>
    </xf>
    <xf numFmtId="10" fontId="16" fillId="0" borderId="13" xfId="178" applyNumberFormat="1" applyFont="1" applyFill="1" applyBorder="1" applyAlignment="1">
      <alignment vertical="center"/>
    </xf>
    <xf numFmtId="10" fontId="20" fillId="0" borderId="13" xfId="178" applyNumberFormat="1" applyFont="1" applyFill="1" applyBorder="1" applyAlignment="1">
      <alignment vertical="center"/>
    </xf>
    <xf numFmtId="10" fontId="20" fillId="0" borderId="0" xfId="178" applyNumberFormat="1" applyFont="1" applyFill="1" applyAlignment="1">
      <alignment vertical="center"/>
    </xf>
    <xf numFmtId="10" fontId="16" fillId="0" borderId="13" xfId="178" applyNumberFormat="1" applyFont="1" applyFill="1" applyBorder="1"/>
    <xf numFmtId="10" fontId="16" fillId="0" borderId="0" xfId="178" applyNumberFormat="1" applyFont="1" applyFill="1"/>
    <xf numFmtId="166" fontId="61" fillId="0" borderId="13" xfId="35" applyNumberFormat="1" applyFont="1" applyFill="1" applyBorder="1" applyAlignment="1">
      <alignment vertical="center"/>
    </xf>
    <xf numFmtId="49" fontId="103" fillId="0" borderId="0" xfId="48" applyNumberFormat="1" applyFont="1"/>
    <xf numFmtId="0" fontId="106" fillId="0" borderId="0" xfId="48" applyFont="1"/>
    <xf numFmtId="10" fontId="20" fillId="0" borderId="13" xfId="51" applyNumberFormat="1" applyFont="1" applyFill="1" applyBorder="1" applyAlignment="1">
      <alignment horizontal="center" vertical="center"/>
    </xf>
    <xf numFmtId="3" fontId="20" fillId="25" borderId="10" xfId="51" applyNumberFormat="1" applyFont="1" applyFill="1" applyBorder="1" applyAlignment="1">
      <alignment horizontal="right" vertical="center"/>
    </xf>
    <xf numFmtId="10" fontId="16" fillId="0" borderId="13" xfId="51" applyNumberFormat="1" applyFont="1" applyBorder="1" applyAlignment="1">
      <alignment vertical="center"/>
    </xf>
    <xf numFmtId="168" fontId="61" fillId="0" borderId="13" xfId="35" applyNumberFormat="1" applyFont="1" applyFill="1" applyBorder="1" applyAlignment="1">
      <alignment horizontal="right" vertical="center"/>
    </xf>
    <xf numFmtId="164" fontId="20" fillId="0" borderId="13" xfId="67" applyNumberFormat="1" applyFont="1" applyFill="1" applyBorder="1" applyAlignment="1">
      <alignment horizontal="left" vertical="center"/>
    </xf>
    <xf numFmtId="164" fontId="114" fillId="0" borderId="13" xfId="67" applyNumberFormat="1" applyFont="1" applyBorder="1" applyAlignment="1">
      <alignment vertical="center" wrapText="1"/>
    </xf>
    <xf numFmtId="164" fontId="95" fillId="0" borderId="13" xfId="67" applyNumberFormat="1" applyFont="1" applyBorder="1" applyAlignment="1">
      <alignment vertical="center"/>
    </xf>
    <xf numFmtId="164" fontId="95" fillId="0" borderId="13" xfId="67" applyNumberFormat="1" applyFont="1" applyFill="1" applyBorder="1" applyAlignment="1">
      <alignment vertical="center"/>
    </xf>
    <xf numFmtId="0" fontId="120" fillId="0" borderId="0" xfId="0" applyFont="1"/>
    <xf numFmtId="164" fontId="18" fillId="25" borderId="13" xfId="67" applyNumberFormat="1" applyFont="1" applyFill="1" applyBorder="1" applyAlignment="1">
      <alignment vertical="center"/>
    </xf>
    <xf numFmtId="10" fontId="93" fillId="0" borderId="0" xfId="1" applyNumberFormat="1" applyFont="1" applyFill="1" applyProtection="1"/>
    <xf numFmtId="10" fontId="28" fillId="0" borderId="13" xfId="1" applyNumberFormat="1" applyFont="1" applyFill="1" applyBorder="1" applyAlignment="1" applyProtection="1">
      <alignment horizontal="center"/>
    </xf>
    <xf numFmtId="10" fontId="28" fillId="0" borderId="13" xfId="1" applyNumberFormat="1" applyFont="1" applyFill="1" applyBorder="1" applyAlignment="1" applyProtection="1">
      <alignment horizontal="center" vertical="center"/>
    </xf>
    <xf numFmtId="10" fontId="92" fillId="0" borderId="13" xfId="1" applyNumberFormat="1" applyFont="1" applyFill="1" applyBorder="1" applyProtection="1"/>
    <xf numFmtId="10" fontId="92" fillId="0" borderId="13" xfId="1" applyNumberFormat="1" applyFont="1" applyFill="1" applyBorder="1" applyAlignment="1" applyProtection="1">
      <alignment horizontal="right" vertical="center"/>
    </xf>
    <xf numFmtId="10" fontId="92" fillId="0" borderId="0" xfId="1" applyNumberFormat="1" applyFont="1" applyFill="1" applyProtection="1"/>
    <xf numFmtId="10" fontId="0" fillId="0" borderId="0" xfId="1" applyNumberFormat="1" applyFont="1" applyFill="1" applyBorder="1" applyProtection="1"/>
    <xf numFmtId="3" fontId="15" fillId="0" borderId="0" xfId="0" applyNumberFormat="1" applyFont="1" applyFill="1" applyAlignment="1">
      <alignment vertical="center"/>
    </xf>
    <xf numFmtId="3" fontId="15" fillId="0" borderId="1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Alignment="1">
      <alignment vertical="center" wrapText="1"/>
    </xf>
    <xf numFmtId="3" fontId="13" fillId="0" borderId="1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vertical="center" wrapText="1"/>
    </xf>
    <xf numFmtId="164" fontId="20" fillId="25" borderId="13" xfId="67" applyNumberFormat="1" applyFont="1" applyFill="1" applyBorder="1" applyAlignment="1">
      <alignment vertical="center"/>
    </xf>
    <xf numFmtId="164" fontId="20" fillId="0" borderId="13" xfId="67" applyNumberFormat="1" applyFont="1" applyBorder="1" applyAlignment="1">
      <alignment horizontal="left" vertical="center" wrapText="1"/>
    </xf>
    <xf numFmtId="164" fontId="95" fillId="0" borderId="13" xfId="67" applyNumberFormat="1" applyFont="1" applyBorder="1" applyAlignment="1">
      <alignment horizontal="left" vertical="center" wrapText="1"/>
    </xf>
    <xf numFmtId="164" fontId="95" fillId="25" borderId="13" xfId="67" applyNumberFormat="1" applyFont="1" applyFill="1" applyBorder="1" applyAlignment="1">
      <alignment vertical="center"/>
    </xf>
    <xf numFmtId="164" fontId="18" fillId="0" borderId="13" xfId="67" applyNumberFormat="1" applyFont="1" applyFill="1" applyBorder="1" applyAlignment="1">
      <alignment horizontal="left" vertical="center"/>
    </xf>
    <xf numFmtId="3" fontId="20" fillId="25" borderId="13" xfId="67" applyNumberFormat="1" applyFont="1" applyFill="1" applyBorder="1" applyAlignment="1">
      <alignment vertical="center"/>
    </xf>
    <xf numFmtId="164" fontId="69" fillId="0" borderId="13" xfId="67" applyNumberFormat="1" applyFont="1" applyBorder="1" applyAlignment="1">
      <alignment vertical="center" wrapText="1"/>
    </xf>
    <xf numFmtId="3" fontId="16" fillId="0" borderId="13" xfId="51" applyNumberFormat="1" applyFont="1" applyFill="1" applyBorder="1" applyAlignment="1">
      <alignment horizontal="center" vertical="center"/>
    </xf>
    <xf numFmtId="3" fontId="58" fillId="0" borderId="13" xfId="51" applyNumberFormat="1" applyFont="1" applyFill="1" applyBorder="1" applyAlignment="1">
      <alignment horizontal="center" vertical="center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3" fontId="15" fillId="0" borderId="0" xfId="1" applyNumberFormat="1" applyFont="1" applyFill="1" applyBorder="1" applyProtection="1"/>
    <xf numFmtId="3" fontId="15" fillId="0" borderId="28" xfId="1" applyNumberFormat="1" applyFont="1" applyFill="1" applyBorder="1" applyProtection="1"/>
    <xf numFmtId="3" fontId="15" fillId="0" borderId="33" xfId="1" applyNumberFormat="1" applyFont="1" applyFill="1" applyBorder="1" applyProtection="1"/>
    <xf numFmtId="164" fontId="0" fillId="0" borderId="13" xfId="0" applyNumberFormat="1" applyFill="1" applyBorder="1" applyAlignment="1" applyProtection="1">
      <alignment horizontal="center" wrapText="1"/>
    </xf>
    <xf numFmtId="3" fontId="0" fillId="0" borderId="13" xfId="0" applyNumberFormat="1" applyFill="1" applyBorder="1" applyAlignment="1" applyProtection="1">
      <alignment horizontal="center" wrapText="1"/>
    </xf>
    <xf numFmtId="0" fontId="66" fillId="0" borderId="0" xfId="51" applyFont="1" applyBorder="1" applyAlignment="1">
      <alignment vertical="center"/>
    </xf>
    <xf numFmtId="0" fontId="55" fillId="0" borderId="12" xfId="0" applyFont="1" applyBorder="1" applyAlignment="1">
      <alignment horizontal="right"/>
    </xf>
    <xf numFmtId="0" fontId="55" fillId="0" borderId="0" xfId="0" applyFont="1" applyFill="1" applyBorder="1"/>
    <xf numFmtId="10" fontId="8" fillId="0" borderId="0" xfId="1" applyNumberFormat="1" applyFont="1" applyFill="1" applyAlignment="1" applyProtection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3" fontId="11" fillId="0" borderId="13" xfId="1" applyNumberFormat="1" applyFont="1" applyFill="1" applyBorder="1" applyAlignment="1" applyProtection="1">
      <alignment horizontal="right" vertical="center" wrapText="1"/>
    </xf>
    <xf numFmtId="10" fontId="8" fillId="0" borderId="0" xfId="1" applyNumberFormat="1" applyFont="1" applyFill="1" applyAlignment="1" applyProtection="1">
      <alignment vertical="center" wrapText="1"/>
    </xf>
    <xf numFmtId="0" fontId="0" fillId="0" borderId="0" xfId="0" applyAlignment="1">
      <alignment horizontal="center"/>
    </xf>
    <xf numFmtId="3" fontId="8" fillId="0" borderId="0" xfId="1" applyNumberFormat="1" applyFont="1" applyFill="1" applyAlignment="1" applyProtection="1">
      <alignment vertical="center" wrapText="1"/>
    </xf>
    <xf numFmtId="49" fontId="0" fillId="0" borderId="0" xfId="0" applyNumberFormat="1" applyAlignment="1">
      <alignment horizontal="center"/>
    </xf>
    <xf numFmtId="49" fontId="8" fillId="0" borderId="0" xfId="1" applyNumberFormat="1" applyFont="1" applyFill="1" applyAlignment="1" applyProtection="1">
      <alignment horizontal="center" wrapText="1"/>
    </xf>
    <xf numFmtId="49" fontId="20" fillId="0" borderId="13" xfId="161" applyNumberFormat="1" applyFont="1" applyFill="1" applyBorder="1" applyAlignment="1" applyProtection="1">
      <alignment horizontal="center" wrapText="1"/>
    </xf>
    <xf numFmtId="3" fontId="0" fillId="0" borderId="0" xfId="0" applyNumberFormat="1" applyAlignment="1">
      <alignment vertical="center"/>
    </xf>
    <xf numFmtId="3" fontId="20" fillId="0" borderId="13" xfId="161" applyNumberFormat="1" applyFont="1" applyFill="1" applyBorder="1" applyAlignment="1" applyProtection="1">
      <alignment horizontal="center" vertical="center" wrapText="1"/>
    </xf>
    <xf numFmtId="3" fontId="0" fillId="0" borderId="13" xfId="0" applyNumberForma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49" fontId="0" fillId="0" borderId="13" xfId="0" applyNumberForma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49" fontId="17" fillId="0" borderId="13" xfId="0" applyNumberFormat="1" applyFont="1" applyBorder="1" applyAlignment="1">
      <alignment horizontal="center" vertical="center"/>
    </xf>
    <xf numFmtId="3" fontId="17" fillId="0" borderId="13" xfId="0" applyNumberFormat="1" applyFont="1" applyBorder="1" applyAlignment="1">
      <alignment vertical="center"/>
    </xf>
    <xf numFmtId="0" fontId="17" fillId="0" borderId="0" xfId="0" applyFont="1"/>
    <xf numFmtId="0" fontId="16" fillId="0" borderId="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0" fontId="24" fillId="0" borderId="37" xfId="213" applyFont="1" applyFill="1" applyBorder="1" applyProtection="1"/>
    <xf numFmtId="0" fontId="11" fillId="0" borderId="0" xfId="213" applyFill="1" applyBorder="1" applyAlignment="1" applyProtection="1"/>
    <xf numFmtId="0" fontId="11" fillId="0" borderId="38" xfId="213" applyFill="1" applyBorder="1" applyAlignment="1" applyProtection="1"/>
    <xf numFmtId="164" fontId="20" fillId="0" borderId="37" xfId="160" applyNumberFormat="1" applyFont="1" applyFill="1" applyBorder="1" applyAlignment="1">
      <alignment horizontal="left" vertical="center"/>
    </xf>
    <xf numFmtId="164" fontId="49" fillId="0" borderId="38" xfId="160" applyNumberFormat="1" applyFont="1" applyBorder="1" applyAlignment="1">
      <alignment vertical="center"/>
    </xf>
    <xf numFmtId="3" fontId="16" fillId="0" borderId="0" xfId="160" applyNumberFormat="1" applyFont="1" applyFill="1" applyBorder="1" applyAlignment="1">
      <alignment horizontal="right" vertical="center" wrapText="1"/>
    </xf>
    <xf numFmtId="164" fontId="16" fillId="0" borderId="39" xfId="160" applyNumberFormat="1" applyFont="1" applyFill="1" applyBorder="1" applyAlignment="1">
      <alignment vertical="center"/>
    </xf>
    <xf numFmtId="164" fontId="16" fillId="0" borderId="33" xfId="160" applyNumberFormat="1" applyFont="1" applyFill="1" applyBorder="1" applyAlignment="1">
      <alignment vertical="center"/>
    </xf>
    <xf numFmtId="3" fontId="94" fillId="0" borderId="40" xfId="76" applyNumberFormat="1" applyFont="1" applyFill="1" applyBorder="1" applyAlignment="1">
      <alignment horizontal="right" vertical="center"/>
    </xf>
    <xf numFmtId="164" fontId="20" fillId="0" borderId="41" xfId="160" applyNumberFormat="1" applyFont="1" applyFill="1" applyBorder="1" applyAlignment="1">
      <alignment horizontal="center" vertical="center"/>
    </xf>
    <xf numFmtId="164" fontId="20" fillId="0" borderId="42" xfId="160" applyNumberFormat="1" applyFont="1" applyFill="1" applyBorder="1" applyAlignment="1">
      <alignment horizontal="center" vertical="center" wrapText="1"/>
    </xf>
    <xf numFmtId="164" fontId="20" fillId="0" borderId="42" xfId="160" applyNumberFormat="1" applyFont="1" applyFill="1" applyBorder="1" applyAlignment="1">
      <alignment horizontal="center" vertical="center"/>
    </xf>
    <xf numFmtId="164" fontId="20" fillId="0" borderId="43" xfId="160" applyNumberFormat="1" applyFont="1" applyFill="1" applyBorder="1" applyAlignment="1">
      <alignment horizontal="center" vertical="center"/>
    </xf>
    <xf numFmtId="164" fontId="20" fillId="0" borderId="44" xfId="160" applyNumberFormat="1" applyFont="1" applyFill="1" applyBorder="1" applyAlignment="1">
      <alignment horizontal="center" vertical="center" wrapText="1"/>
    </xf>
    <xf numFmtId="164" fontId="20" fillId="0" borderId="45" xfId="160" applyNumberFormat="1" applyFont="1" applyFill="1" applyBorder="1" applyAlignment="1">
      <alignment horizontal="right" vertical="center"/>
    </xf>
    <xf numFmtId="164" fontId="16" fillId="0" borderId="44" xfId="160" applyNumberFormat="1" applyFont="1" applyFill="1" applyBorder="1" applyAlignment="1">
      <alignment vertical="center" wrapText="1"/>
    </xf>
    <xf numFmtId="164" fontId="16" fillId="0" borderId="45" xfId="160" applyNumberFormat="1" applyFont="1" applyFill="1" applyBorder="1" applyAlignment="1">
      <alignment vertical="center" wrapText="1"/>
    </xf>
    <xf numFmtId="164" fontId="16" fillId="0" borderId="44" xfId="160" applyNumberFormat="1" applyFont="1" applyFill="1" applyBorder="1" applyAlignment="1">
      <alignment horizontal="left" vertical="center" wrapText="1"/>
    </xf>
    <xf numFmtId="164" fontId="16" fillId="0" borderId="45" xfId="160" applyNumberFormat="1" applyFont="1" applyFill="1" applyBorder="1" applyAlignment="1">
      <alignment horizontal="right" vertical="center"/>
    </xf>
    <xf numFmtId="164" fontId="20" fillId="0" borderId="45" xfId="160" applyNumberFormat="1" applyFont="1" applyFill="1" applyBorder="1" applyAlignment="1">
      <alignment vertical="center" wrapText="1"/>
    </xf>
    <xf numFmtId="164" fontId="20" fillId="0" borderId="44" xfId="160" applyNumberFormat="1" applyFont="1" applyFill="1" applyBorder="1" applyAlignment="1">
      <alignment horizontal="left" vertical="center" wrapText="1"/>
    </xf>
    <xf numFmtId="164" fontId="95" fillId="0" borderId="44" xfId="160" applyNumberFormat="1" applyFont="1" applyFill="1" applyBorder="1" applyAlignment="1">
      <alignment vertical="center" wrapText="1"/>
    </xf>
    <xf numFmtId="164" fontId="95" fillId="0" borderId="45" xfId="160" applyNumberFormat="1" applyFont="1" applyFill="1" applyBorder="1" applyAlignment="1">
      <alignment horizontal="right" vertical="center" wrapText="1"/>
    </xf>
    <xf numFmtId="164" fontId="95" fillId="0" borderId="46" xfId="160" applyNumberFormat="1" applyFont="1" applyFill="1" applyBorder="1" applyAlignment="1">
      <alignment vertical="center" wrapText="1"/>
    </xf>
    <xf numFmtId="164" fontId="95" fillId="0" borderId="47" xfId="160" applyNumberFormat="1" applyFont="1" applyFill="1" applyBorder="1" applyAlignment="1">
      <alignment horizontal="right" vertical="center" wrapText="1"/>
    </xf>
    <xf numFmtId="164" fontId="95" fillId="0" borderId="48" xfId="160" applyNumberFormat="1" applyFont="1" applyFill="1" applyBorder="1" applyAlignment="1">
      <alignment horizontal="right" vertical="center"/>
    </xf>
    <xf numFmtId="0" fontId="11" fillId="0" borderId="0" xfId="213" applyFont="1" applyFill="1" applyBorder="1" applyAlignment="1" applyProtection="1"/>
    <xf numFmtId="0" fontId="11" fillId="0" borderId="38" xfId="213" applyFont="1" applyFill="1" applyBorder="1" applyAlignment="1" applyProtection="1"/>
    <xf numFmtId="164" fontId="20" fillId="0" borderId="32" xfId="160" applyNumberFormat="1" applyFont="1" applyFill="1" applyBorder="1" applyAlignment="1">
      <alignment horizontal="center" vertical="center"/>
    </xf>
    <xf numFmtId="164" fontId="20" fillId="0" borderId="10" xfId="160" applyNumberFormat="1" applyFont="1" applyFill="1" applyBorder="1" applyAlignment="1">
      <alignment horizontal="right" vertical="center"/>
    </xf>
    <xf numFmtId="164" fontId="16" fillId="0" borderId="10" xfId="160" applyNumberFormat="1" applyFont="1" applyFill="1" applyBorder="1" applyAlignment="1">
      <alignment vertical="center" wrapText="1"/>
    </xf>
    <xf numFmtId="164" fontId="16" fillId="0" borderId="10" xfId="160" applyNumberFormat="1" applyFont="1" applyFill="1" applyBorder="1" applyAlignment="1">
      <alignment horizontal="right" vertical="center"/>
    </xf>
    <xf numFmtId="164" fontId="20" fillId="0" borderId="10" xfId="160" applyNumberFormat="1" applyFont="1" applyFill="1" applyBorder="1" applyAlignment="1">
      <alignment vertical="center" wrapText="1"/>
    </xf>
    <xf numFmtId="164" fontId="16" fillId="0" borderId="10" xfId="16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/>
    <xf numFmtId="164" fontId="95" fillId="0" borderId="10" xfId="160" applyNumberFormat="1" applyFont="1" applyFill="1" applyBorder="1" applyAlignment="1">
      <alignment horizontal="right" vertical="center" wrapText="1"/>
    </xf>
    <xf numFmtId="164" fontId="95" fillId="0" borderId="49" xfId="160" applyNumberFormat="1" applyFont="1" applyFill="1" applyBorder="1" applyAlignment="1">
      <alignment horizontal="right" vertical="center" wrapText="1"/>
    </xf>
    <xf numFmtId="164" fontId="95" fillId="0" borderId="0" xfId="160" applyNumberFormat="1" applyFont="1" applyFill="1" applyBorder="1" applyAlignment="1">
      <alignment horizontal="left" vertical="center" wrapText="1" indent="1"/>
    </xf>
    <xf numFmtId="164" fontId="95" fillId="0" borderId="0" xfId="160" applyNumberFormat="1" applyFont="1" applyFill="1" applyBorder="1" applyAlignment="1">
      <alignment horizontal="right" vertical="center" wrapText="1"/>
    </xf>
    <xf numFmtId="164" fontId="95" fillId="0" borderId="0" xfId="160" applyNumberFormat="1" applyFont="1" applyFill="1" applyBorder="1" applyAlignment="1">
      <alignment horizontal="right" vertical="center"/>
    </xf>
    <xf numFmtId="164" fontId="95" fillId="0" borderId="50" xfId="160" applyNumberFormat="1" applyFont="1" applyFill="1" applyBorder="1" applyAlignment="1">
      <alignment vertical="center" wrapText="1"/>
    </xf>
    <xf numFmtId="164" fontId="95" fillId="0" borderId="14" xfId="160" applyNumberFormat="1" applyFont="1" applyFill="1" applyBorder="1" applyAlignment="1">
      <alignment horizontal="right" vertical="center" wrapText="1"/>
    </xf>
    <xf numFmtId="164" fontId="95" fillId="0" borderId="51" xfId="160" applyNumberFormat="1" applyFont="1" applyFill="1" applyBorder="1" applyAlignment="1">
      <alignment horizontal="right" vertical="center" wrapText="1"/>
    </xf>
    <xf numFmtId="165" fontId="18" fillId="25" borderId="13" xfId="67" applyNumberFormat="1" applyFont="1" applyFill="1" applyBorder="1" applyAlignment="1">
      <alignment vertical="center"/>
    </xf>
    <xf numFmtId="4" fontId="18" fillId="25" borderId="13" xfId="67" applyNumberFormat="1" applyFont="1" applyFill="1" applyBorder="1" applyAlignment="1">
      <alignment vertical="center"/>
    </xf>
    <xf numFmtId="3" fontId="95" fillId="25" borderId="13" xfId="67" applyNumberFormat="1" applyFont="1" applyFill="1" applyBorder="1" applyAlignment="1">
      <alignment vertical="center"/>
    </xf>
    <xf numFmtId="164" fontId="20" fillId="25" borderId="0" xfId="67" applyNumberFormat="1" applyFont="1" applyFill="1" applyBorder="1" applyAlignment="1">
      <alignment vertical="center"/>
    </xf>
    <xf numFmtId="3" fontId="18" fillId="25" borderId="13" xfId="67" applyNumberFormat="1" applyFont="1" applyFill="1" applyBorder="1" applyAlignment="1">
      <alignment vertical="center"/>
    </xf>
    <xf numFmtId="0" fontId="13" fillId="0" borderId="13" xfId="1" applyFont="1" applyFill="1" applyBorder="1" applyAlignment="1" applyProtection="1">
      <alignment horizontal="center" vertical="center" wrapText="1"/>
    </xf>
    <xf numFmtId="41" fontId="17" fillId="0" borderId="0" xfId="1" applyNumberFormat="1" applyFont="1" applyFill="1" applyProtection="1"/>
    <xf numFmtId="41" fontId="17" fillId="0" borderId="0" xfId="1" applyNumberFormat="1" applyFont="1" applyFill="1" applyAlignment="1" applyProtection="1"/>
    <xf numFmtId="164" fontId="20" fillId="0" borderId="13" xfId="0" quotePrefix="1" applyNumberFormat="1" applyFont="1" applyBorder="1" applyAlignment="1" applyProtection="1">
      <alignment horizontal="right" vertical="center" wrapText="1"/>
    </xf>
    <xf numFmtId="10" fontId="0" fillId="0" borderId="13" xfId="0" applyNumberFormat="1" applyFont="1" applyFill="1" applyBorder="1" applyAlignment="1">
      <alignment horizontal="center" vertical="center" wrapText="1"/>
    </xf>
    <xf numFmtId="164" fontId="0" fillId="0" borderId="13" xfId="0" applyNumberFormat="1" applyFont="1" applyFill="1" applyBorder="1" applyAlignment="1" applyProtection="1">
      <alignment horizontal="right" vertical="center" wrapText="1"/>
    </xf>
    <xf numFmtId="164" fontId="13" fillId="0" borderId="13" xfId="0" applyNumberFormat="1" applyFont="1" applyFill="1" applyBorder="1" applyAlignment="1" applyProtection="1">
      <alignment horizontal="right" vertical="center" wrapText="1"/>
    </xf>
    <xf numFmtId="164" fontId="1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3" xfId="1" applyNumberFormat="1" applyFont="1" applyFill="1" applyBorder="1" applyAlignment="1" applyProtection="1">
      <alignment horizontal="right" vertical="center" wrapText="1"/>
      <protection locked="0"/>
    </xf>
    <xf numFmtId="3" fontId="0" fillId="25" borderId="13" xfId="0" applyNumberFormat="1" applyFont="1" applyFill="1" applyBorder="1" applyAlignment="1">
      <alignment vertical="center" wrapText="1"/>
    </xf>
    <xf numFmtId="3" fontId="11" fillId="0" borderId="13" xfId="0" applyNumberFormat="1" applyFont="1" applyFill="1" applyBorder="1" applyAlignment="1">
      <alignment horizontal="center" vertical="center" wrapText="1"/>
    </xf>
    <xf numFmtId="10" fontId="11" fillId="0" borderId="13" xfId="0" applyNumberFormat="1" applyFont="1" applyFill="1" applyBorder="1" applyAlignment="1">
      <alignment horizontal="center" vertical="center" wrapText="1"/>
    </xf>
    <xf numFmtId="49" fontId="11" fillId="0" borderId="13" xfId="1" applyNumberFormat="1" applyFont="1" applyFill="1" applyBorder="1" applyAlignment="1" applyProtection="1">
      <alignment horizontal="center" vertical="center" wrapText="1"/>
    </xf>
    <xf numFmtId="3" fontId="11" fillId="0" borderId="13" xfId="0" applyNumberFormat="1" applyFont="1" applyFill="1" applyBorder="1" applyAlignment="1">
      <alignment vertical="center" wrapText="1"/>
    </xf>
    <xf numFmtId="10" fontId="11" fillId="0" borderId="13" xfId="0" applyNumberFormat="1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horizontal="center" vertical="center" wrapText="1"/>
    </xf>
    <xf numFmtId="164" fontId="11" fillId="0" borderId="13" xfId="0" applyNumberFormat="1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49" fontId="15" fillId="25" borderId="13" xfId="1" applyNumberFormat="1" applyFont="1" applyFill="1" applyBorder="1" applyAlignment="1" applyProtection="1">
      <alignment horizontal="left" vertical="center" wrapText="1" indent="1"/>
    </xf>
    <xf numFmtId="0" fontId="23" fillId="25" borderId="13" xfId="1" applyFont="1" applyFill="1" applyBorder="1" applyAlignment="1" applyProtection="1">
      <alignment horizontal="left" vertical="center" wrapText="1" indent="5"/>
    </xf>
    <xf numFmtId="0" fontId="23" fillId="25" borderId="13" xfId="1" applyFont="1" applyFill="1" applyBorder="1" applyAlignment="1" applyProtection="1">
      <alignment horizontal="center" vertical="center"/>
    </xf>
    <xf numFmtId="3" fontId="23" fillId="25" borderId="13" xfId="1" applyNumberFormat="1" applyFont="1" applyFill="1" applyBorder="1" applyAlignment="1" applyProtection="1">
      <alignment horizontal="right" vertical="center"/>
    </xf>
    <xf numFmtId="164" fontId="23" fillId="25" borderId="13" xfId="1" applyNumberFormat="1" applyFont="1" applyFill="1" applyBorder="1" applyAlignment="1" applyProtection="1">
      <alignment vertical="center" wrapText="1"/>
      <protection locked="0"/>
    </xf>
    <xf numFmtId="3" fontId="11" fillId="25" borderId="13" xfId="1" applyNumberFormat="1" applyFont="1" applyFill="1" applyBorder="1" applyAlignment="1" applyProtection="1">
      <alignment horizontal="right" vertical="center" wrapText="1"/>
    </xf>
    <xf numFmtId="3" fontId="11" fillId="25" borderId="13" xfId="1" applyNumberFormat="1" applyFont="1" applyFill="1" applyBorder="1" applyProtection="1"/>
    <xf numFmtId="10" fontId="92" fillId="25" borderId="13" xfId="1" applyNumberFormat="1" applyFont="1" applyFill="1" applyBorder="1" applyAlignment="1" applyProtection="1">
      <alignment horizontal="right" vertical="center"/>
    </xf>
    <xf numFmtId="0" fontId="23" fillId="25" borderId="13" xfId="1" applyFont="1" applyFill="1" applyBorder="1" applyAlignment="1" applyProtection="1">
      <alignment horizontal="center" vertical="center" wrapText="1"/>
    </xf>
    <xf numFmtId="3" fontId="23" fillId="25" borderId="13" xfId="1" applyNumberFormat="1" applyFont="1" applyFill="1" applyBorder="1" applyAlignment="1" applyProtection="1">
      <alignment horizontal="right" vertical="center" wrapText="1"/>
    </xf>
    <xf numFmtId="0" fontId="23" fillId="25" borderId="13" xfId="1" applyFont="1" applyFill="1" applyBorder="1" applyAlignment="1" applyProtection="1">
      <alignment horizontal="left" vertical="center" wrapText="1" indent="11"/>
    </xf>
    <xf numFmtId="0" fontId="16" fillId="25" borderId="13" xfId="0" applyFont="1" applyFill="1" applyBorder="1" applyAlignment="1" applyProtection="1">
      <alignment horizontal="left" vertical="center" wrapText="1"/>
    </xf>
    <xf numFmtId="0" fontId="16" fillId="25" borderId="13" xfId="0" applyFont="1" applyFill="1" applyBorder="1" applyAlignment="1" applyProtection="1">
      <alignment horizontal="center" vertical="center" wrapText="1"/>
    </xf>
    <xf numFmtId="164" fontId="15" fillId="25" borderId="13" xfId="1" applyNumberFormat="1" applyFont="1" applyFill="1" applyBorder="1" applyAlignment="1" applyProtection="1">
      <alignment vertical="center" wrapText="1"/>
    </xf>
    <xf numFmtId="3" fontId="15" fillId="25" borderId="13" xfId="1" applyNumberFormat="1" applyFont="1" applyFill="1" applyBorder="1" applyProtection="1"/>
    <xf numFmtId="0" fontId="18" fillId="25" borderId="13" xfId="0" applyFont="1" applyFill="1" applyBorder="1" applyAlignment="1" applyProtection="1">
      <alignment horizontal="left" wrapText="1" indent="5"/>
    </xf>
    <xf numFmtId="164" fontId="11" fillId="25" borderId="13" xfId="1" applyNumberFormat="1" applyFont="1" applyFill="1" applyBorder="1" applyAlignment="1" applyProtection="1">
      <alignment vertical="center" wrapText="1"/>
      <protection locked="0"/>
    </xf>
    <xf numFmtId="0" fontId="18" fillId="25" borderId="13" xfId="0" applyFont="1" applyFill="1" applyBorder="1" applyAlignment="1" applyProtection="1">
      <alignment horizontal="left" vertical="center" wrapText="1" indent="5"/>
    </xf>
    <xf numFmtId="0" fontId="16" fillId="25" borderId="13" xfId="0" applyFont="1" applyFill="1" applyBorder="1" applyAlignment="1" applyProtection="1">
      <alignment vertical="center" wrapText="1"/>
    </xf>
    <xf numFmtId="10" fontId="20" fillId="0" borderId="13" xfId="0" quotePrefix="1" applyNumberFormat="1" applyFont="1" applyBorder="1" applyAlignment="1" applyProtection="1">
      <alignment vertical="center" wrapText="1"/>
    </xf>
    <xf numFmtId="0" fontId="23" fillId="25" borderId="13" xfId="1" applyFont="1" applyFill="1" applyBorder="1" applyAlignment="1" applyProtection="1">
      <alignment horizontal="left" vertical="center" wrapText="1"/>
    </xf>
    <xf numFmtId="164" fontId="117" fillId="25" borderId="13" xfId="0" applyNumberFormat="1" applyFont="1" applyFill="1" applyBorder="1" applyAlignment="1" applyProtection="1">
      <alignment vertical="center" wrapText="1"/>
      <protection locked="0"/>
    </xf>
    <xf numFmtId="164" fontId="0" fillId="25" borderId="13" xfId="0" applyNumberFormat="1" applyFont="1" applyFill="1" applyBorder="1" applyAlignment="1" applyProtection="1">
      <alignment vertical="center" wrapText="1"/>
      <protection locked="0"/>
    </xf>
    <xf numFmtId="0" fontId="23" fillId="25" borderId="13" xfId="1" applyFont="1" applyFill="1" applyBorder="1" applyAlignment="1" applyProtection="1">
      <alignment horizontal="left" vertical="center" wrapText="1" indent="3"/>
    </xf>
    <xf numFmtId="164" fontId="118" fillId="25" borderId="13" xfId="0" applyNumberFormat="1" applyFont="1" applyFill="1" applyBorder="1" applyAlignment="1" applyProtection="1">
      <alignment vertical="center" wrapText="1"/>
      <protection locked="0"/>
    </xf>
    <xf numFmtId="0" fontId="23" fillId="25" borderId="13" xfId="1" applyFont="1" applyFill="1" applyBorder="1" applyAlignment="1" applyProtection="1">
      <alignment horizontal="left" vertical="center" wrapText="1" indent="4"/>
    </xf>
    <xf numFmtId="164" fontId="23" fillId="25" borderId="13" xfId="0" applyNumberFormat="1" applyFont="1" applyFill="1" applyBorder="1" applyAlignment="1" applyProtection="1">
      <alignment vertical="center" wrapText="1"/>
      <protection locked="0"/>
    </xf>
    <xf numFmtId="164" fontId="0" fillId="25" borderId="13" xfId="0" applyNumberFormat="1" applyFont="1" applyFill="1" applyBorder="1" applyAlignment="1" applyProtection="1">
      <alignment wrapText="1"/>
    </xf>
    <xf numFmtId="164" fontId="23" fillId="25" borderId="13" xfId="0" applyNumberFormat="1" applyFont="1" applyFill="1" applyBorder="1" applyAlignment="1" applyProtection="1">
      <alignment wrapText="1"/>
    </xf>
    <xf numFmtId="164" fontId="0" fillId="25" borderId="13" xfId="0" applyNumberFormat="1" applyFill="1" applyBorder="1" applyAlignment="1" applyProtection="1">
      <alignment vertical="center" wrapText="1"/>
    </xf>
    <xf numFmtId="10" fontId="0" fillId="25" borderId="13" xfId="0" applyNumberFormat="1" applyFill="1" applyBorder="1" applyAlignment="1" applyProtection="1">
      <alignment vertical="center" wrapText="1"/>
    </xf>
    <xf numFmtId="0" fontId="23" fillId="25" borderId="13" xfId="1" applyFont="1" applyFill="1" applyBorder="1" applyAlignment="1" applyProtection="1">
      <alignment horizontal="left" vertical="center" wrapText="1" indent="8"/>
    </xf>
    <xf numFmtId="164" fontId="0" fillId="25" borderId="13" xfId="0" applyNumberFormat="1" applyFont="1" applyFill="1" applyBorder="1" applyAlignment="1" applyProtection="1">
      <alignment horizontal="right" vertical="center" wrapText="1"/>
      <protection locked="0"/>
    </xf>
    <xf numFmtId="164" fontId="17" fillId="25" borderId="13" xfId="0" applyNumberFormat="1" applyFont="1" applyFill="1" applyBorder="1" applyAlignment="1" applyProtection="1">
      <alignment horizontal="center" vertical="center" wrapText="1"/>
    </xf>
    <xf numFmtId="0" fontId="23" fillId="25" borderId="13" xfId="1" applyFont="1" applyFill="1" applyBorder="1" applyAlignment="1" applyProtection="1">
      <alignment horizontal="left" vertical="center" wrapText="1" indent="2"/>
    </xf>
    <xf numFmtId="164" fontId="23" fillId="25" borderId="13" xfId="0" applyNumberFormat="1" applyFont="1" applyFill="1" applyBorder="1" applyAlignment="1" applyProtection="1">
      <alignment horizontal="right" vertical="center" wrapText="1"/>
      <protection locked="0"/>
    </xf>
    <xf numFmtId="164" fontId="17" fillId="25" borderId="13" xfId="0" applyNumberFormat="1" applyFont="1" applyFill="1" applyBorder="1" applyAlignment="1" applyProtection="1">
      <alignment horizontal="left" vertical="center" wrapText="1"/>
    </xf>
    <xf numFmtId="164" fontId="17" fillId="25" borderId="13" xfId="0" applyNumberFormat="1" applyFont="1" applyFill="1" applyBorder="1" applyAlignment="1" applyProtection="1">
      <alignment horizontal="right" vertical="center" wrapText="1"/>
    </xf>
    <xf numFmtId="164" fontId="15" fillId="0" borderId="0" xfId="1" applyNumberFormat="1" applyFont="1" applyFill="1" applyProtection="1"/>
    <xf numFmtId="0" fontId="0" fillId="25" borderId="13" xfId="1" applyFont="1" applyFill="1" applyBorder="1" applyAlignment="1" applyProtection="1">
      <alignment horizontal="left" vertical="center" wrapText="1"/>
    </xf>
    <xf numFmtId="0" fontId="63" fillId="0" borderId="13" xfId="178" applyFont="1" applyFill="1" applyBorder="1" applyAlignment="1">
      <alignment horizontal="center"/>
    </xf>
    <xf numFmtId="0" fontId="63" fillId="0" borderId="13" xfId="178" applyFont="1" applyFill="1" applyBorder="1"/>
    <xf numFmtId="3" fontId="61" fillId="0" borderId="13" xfId="178" applyNumberFormat="1" applyFont="1" applyFill="1" applyBorder="1"/>
    <xf numFmtId="0" fontId="65" fillId="0" borderId="25" xfId="178" applyFont="1" applyBorder="1" applyAlignment="1">
      <alignment horizontal="center" vertical="center" wrapText="1"/>
    </xf>
    <xf numFmtId="0" fontId="110" fillId="0" borderId="28" xfId="0" applyFont="1" applyBorder="1" applyAlignment="1">
      <alignment horizontal="center" vertical="center" wrapText="1"/>
    </xf>
    <xf numFmtId="0" fontId="110" fillId="0" borderId="29" xfId="0" applyFont="1" applyBorder="1" applyAlignment="1">
      <alignment horizontal="center" vertical="center" wrapText="1"/>
    </xf>
    <xf numFmtId="0" fontId="110" fillId="0" borderId="32" xfId="0" applyFont="1" applyBorder="1" applyAlignment="1">
      <alignment horizontal="center" vertical="center" wrapText="1"/>
    </xf>
    <xf numFmtId="0" fontId="110" fillId="0" borderId="12" xfId="0" applyFont="1" applyBorder="1" applyAlignment="1">
      <alignment horizontal="center" vertical="center" wrapText="1"/>
    </xf>
    <xf numFmtId="0" fontId="110" fillId="0" borderId="31" xfId="0" applyFont="1" applyBorder="1" applyAlignment="1">
      <alignment horizontal="center" vertical="center" wrapText="1"/>
    </xf>
    <xf numFmtId="3" fontId="8" fillId="0" borderId="0" xfId="1" applyNumberFormat="1" applyFont="1" applyFill="1" applyAlignment="1" applyProtection="1">
      <alignment horizontal="center" vertical="center" wrapText="1"/>
    </xf>
    <xf numFmtId="0" fontId="13" fillId="0" borderId="13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24" fillId="0" borderId="0" xfId="1" applyFont="1" applyFill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24" fillId="0" borderId="10" xfId="0" applyNumberFormat="1" applyFont="1" applyFill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1" xfId="0" applyNumberFormat="1" applyFont="1" applyFill="1" applyBorder="1" applyAlignment="1" applyProtection="1">
      <alignment horizontal="center" vertical="center" wrapText="1"/>
    </xf>
    <xf numFmtId="44" fontId="64" fillId="0" borderId="0" xfId="212" applyFont="1" applyFill="1" applyAlignment="1" applyProtection="1">
      <alignment horizontal="center" vertical="center" wrapText="1"/>
    </xf>
    <xf numFmtId="164" fontId="64" fillId="0" borderId="0" xfId="0" applyNumberFormat="1" applyFont="1" applyFill="1" applyAlignment="1" applyProtection="1">
      <alignment horizontal="center" vertical="center" wrapText="1"/>
    </xf>
    <xf numFmtId="0" fontId="20" fillId="0" borderId="13" xfId="51" applyFont="1" applyBorder="1" applyAlignment="1">
      <alignment horizontal="center" vertical="center" wrapText="1"/>
    </xf>
    <xf numFmtId="0" fontId="20" fillId="0" borderId="10" xfId="51" applyFont="1" applyBorder="1" applyAlignment="1">
      <alignment horizontal="center" vertical="center"/>
    </xf>
    <xf numFmtId="0" fontId="20" fillId="0" borderId="27" xfId="51" applyFont="1" applyBorder="1" applyAlignment="1">
      <alignment horizontal="center" vertical="center"/>
    </xf>
    <xf numFmtId="0" fontId="63" fillId="0" borderId="0" xfId="51" applyFont="1" applyBorder="1" applyAlignment="1">
      <alignment horizontal="center" vertical="center" wrapText="1"/>
    </xf>
    <xf numFmtId="0" fontId="20" fillId="0" borderId="13" xfId="144" applyFont="1" applyFill="1" applyBorder="1" applyAlignment="1">
      <alignment horizontal="center" vertical="center" wrapText="1"/>
    </xf>
    <xf numFmtId="164" fontId="63" fillId="0" borderId="0" xfId="0" applyNumberFormat="1" applyFont="1" applyFill="1" applyAlignment="1">
      <alignment horizontal="center" vertical="center" wrapText="1"/>
    </xf>
    <xf numFmtId="164" fontId="18" fillId="0" borderId="12" xfId="0" applyNumberFormat="1" applyFont="1" applyFill="1" applyBorder="1" applyAlignment="1" applyProtection="1">
      <alignment horizontal="right" wrapText="1"/>
    </xf>
    <xf numFmtId="0" fontId="20" fillId="0" borderId="13" xfId="144" applyFont="1" applyFill="1" applyBorder="1" applyAlignment="1">
      <alignment horizontal="center" vertical="center"/>
    </xf>
    <xf numFmtId="0" fontId="115" fillId="0" borderId="0" xfId="48" applyFont="1" applyAlignment="1">
      <alignment horizontal="center" vertical="center" wrapText="1"/>
    </xf>
    <xf numFmtId="0" fontId="59" fillId="0" borderId="13" xfId="48" applyFont="1" applyBorder="1" applyAlignment="1">
      <alignment horizontal="left" vertical="center" wrapText="1"/>
    </xf>
    <xf numFmtId="0" fontId="61" fillId="0" borderId="13" xfId="48" applyFont="1" applyBorder="1" applyAlignment="1">
      <alignment horizontal="center" vertical="center" wrapText="1"/>
    </xf>
    <xf numFmtId="0" fontId="69" fillId="0" borderId="13" xfId="48" applyFont="1" applyBorder="1" applyAlignment="1">
      <alignment horizontal="left" vertical="center" wrapText="1"/>
    </xf>
    <xf numFmtId="0" fontId="63" fillId="0" borderId="13" xfId="48" applyFont="1" applyBorder="1" applyAlignment="1">
      <alignment horizontal="center" vertical="center"/>
    </xf>
    <xf numFmtId="0" fontId="67" fillId="0" borderId="0" xfId="48" applyFont="1" applyBorder="1"/>
    <xf numFmtId="0" fontId="61" fillId="0" borderId="13" xfId="48" applyFont="1" applyBorder="1" applyAlignment="1">
      <alignment horizontal="left" vertical="center"/>
    </xf>
    <xf numFmtId="0" fontId="61" fillId="0" borderId="13" xfId="48" applyFont="1" applyBorder="1" applyAlignment="1">
      <alignment vertical="center"/>
    </xf>
    <xf numFmtId="0" fontId="59" fillId="0" borderId="13" xfId="48" applyFont="1" applyBorder="1" applyAlignment="1">
      <alignment horizontal="left" vertical="center"/>
    </xf>
    <xf numFmtId="0" fontId="59" fillId="0" borderId="10" xfId="48" applyFont="1" applyBorder="1" applyAlignment="1">
      <alignment horizontal="left" vertical="top"/>
    </xf>
    <xf numFmtId="0" fontId="59" fillId="0" borderId="27" xfId="48" applyFont="1" applyBorder="1" applyAlignment="1">
      <alignment horizontal="left" vertical="top"/>
    </xf>
    <xf numFmtId="0" fontId="59" fillId="0" borderId="11" xfId="48" applyFont="1" applyBorder="1" applyAlignment="1">
      <alignment horizontal="left" vertical="top"/>
    </xf>
    <xf numFmtId="0" fontId="63" fillId="0" borderId="0" xfId="178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6" fillId="0" borderId="0" xfId="0" applyFont="1" applyBorder="1" applyAlignment="1">
      <alignment horizontal="right"/>
    </xf>
    <xf numFmtId="164" fontId="61" fillId="0" borderId="13" xfId="67" applyNumberFormat="1" applyFont="1" applyBorder="1" applyAlignment="1">
      <alignment horizontal="center" vertical="center"/>
    </xf>
    <xf numFmtId="164" fontId="61" fillId="0" borderId="13" xfId="67" applyNumberFormat="1" applyFont="1" applyBorder="1" applyAlignment="1">
      <alignment vertical="center"/>
    </xf>
    <xf numFmtId="164" fontId="20" fillId="0" borderId="13" xfId="67" applyNumberFormat="1" applyFont="1" applyFill="1" applyBorder="1" applyAlignment="1">
      <alignment horizontal="center" vertical="center"/>
    </xf>
    <xf numFmtId="164" fontId="20" fillId="0" borderId="13" xfId="67" applyNumberFormat="1" applyFont="1" applyBorder="1" applyAlignment="1">
      <alignment horizontal="center" vertical="center"/>
    </xf>
    <xf numFmtId="164" fontId="20" fillId="0" borderId="13" xfId="67" applyNumberFormat="1" applyFont="1" applyBorder="1" applyAlignment="1">
      <alignment horizontal="center" vertical="center" wrapText="1"/>
    </xf>
    <xf numFmtId="164" fontId="20" fillId="0" borderId="13" xfId="67" applyNumberFormat="1" applyFont="1" applyBorder="1" applyAlignment="1">
      <alignment vertical="center" wrapText="1"/>
    </xf>
    <xf numFmtId="164" fontId="20" fillId="0" borderId="0" xfId="160" applyNumberFormat="1" applyFont="1" applyFill="1" applyBorder="1" applyAlignment="1">
      <alignment horizontal="left" vertical="center" wrapText="1"/>
    </xf>
    <xf numFmtId="164" fontId="20" fillId="0" borderId="38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14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164" fontId="16" fillId="0" borderId="38" xfId="160" applyNumberFormat="1" applyFont="1" applyFill="1" applyBorder="1" applyAlignment="1">
      <alignment horizontal="left" vertical="center" wrapText="1"/>
    </xf>
    <xf numFmtId="0" fontId="8" fillId="0" borderId="34" xfId="213" applyFont="1" applyFill="1" applyBorder="1" applyAlignment="1" applyProtection="1">
      <alignment horizontal="center" vertical="center" wrapText="1"/>
    </xf>
    <xf numFmtId="0" fontId="8" fillId="0" borderId="35" xfId="213" applyFont="1" applyFill="1" applyBorder="1" applyAlignment="1" applyProtection="1">
      <alignment horizontal="center" vertical="center" wrapText="1"/>
    </xf>
    <xf numFmtId="0" fontId="8" fillId="0" borderId="36" xfId="213" applyFont="1" applyFill="1" applyBorder="1" applyAlignment="1" applyProtection="1">
      <alignment horizontal="center" vertical="center" wrapText="1"/>
    </xf>
    <xf numFmtId="0" fontId="24" fillId="0" borderId="0" xfId="213" applyFont="1" applyFill="1" applyBorder="1" applyAlignment="1" applyProtection="1">
      <alignment horizontal="center" vertical="center"/>
    </xf>
    <xf numFmtId="10" fontId="8" fillId="0" borderId="0" xfId="1" applyNumberFormat="1" applyFont="1" applyFill="1" applyAlignment="1" applyProtection="1">
      <alignment horizontal="center" vertical="center" wrapText="1"/>
    </xf>
    <xf numFmtId="164" fontId="10" fillId="0" borderId="12" xfId="1" applyNumberFormat="1" applyFont="1" applyFill="1" applyBorder="1" applyAlignment="1" applyProtection="1">
      <alignment horizontal="left" vertical="center"/>
    </xf>
    <xf numFmtId="164" fontId="9" fillId="0" borderId="28" xfId="1" applyNumberFormat="1" applyFont="1" applyFill="1" applyBorder="1" applyAlignment="1" applyProtection="1">
      <alignment horizontal="center" vertical="center"/>
    </xf>
    <xf numFmtId="164" fontId="9" fillId="0" borderId="12" xfId="1" applyNumberFormat="1" applyFont="1" applyFill="1" applyBorder="1" applyAlignment="1" applyProtection="1">
      <alignment horizontal="center" vertical="center"/>
    </xf>
    <xf numFmtId="164" fontId="99" fillId="0" borderId="12" xfId="1" applyNumberFormat="1" applyFont="1" applyFill="1" applyBorder="1" applyAlignment="1" applyProtection="1">
      <alignment horizontal="center" vertical="center"/>
    </xf>
    <xf numFmtId="3" fontId="6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27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3" fontId="65" fillId="0" borderId="0" xfId="0" applyNumberFormat="1" applyFont="1" applyBorder="1" applyAlignment="1">
      <alignment horizontal="center" vertical="center" wrapText="1"/>
    </xf>
    <xf numFmtId="3" fontId="65" fillId="0" borderId="0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right"/>
    </xf>
    <xf numFmtId="0" fontId="64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171" applyFont="1" applyFill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/>
    </xf>
    <xf numFmtId="0" fontId="102" fillId="0" borderId="13" xfId="171" applyFont="1" applyFill="1" applyBorder="1" applyAlignment="1" applyProtection="1">
      <alignment horizontal="left" vertical="center" indent="1"/>
    </xf>
    <xf numFmtId="0" fontId="16" fillId="0" borderId="13" xfId="2" applyFont="1" applyBorder="1" applyAlignment="1">
      <alignment horizontal="center" vertical="center"/>
    </xf>
    <xf numFmtId="0" fontId="62" fillId="0" borderId="13" xfId="0" applyFont="1" applyBorder="1" applyAlignment="1">
      <alignment horizontal="center" vertical="center"/>
    </xf>
    <xf numFmtId="0" fontId="16" fillId="0" borderId="13" xfId="2" applyFont="1" applyBorder="1" applyAlignment="1">
      <alignment vertical="center"/>
    </xf>
    <xf numFmtId="0" fontId="62" fillId="0" borderId="13" xfId="0" applyFont="1" applyBorder="1" applyAlignment="1">
      <alignment vertical="center"/>
    </xf>
    <xf numFmtId="0" fontId="16" fillId="0" borderId="13" xfId="2" applyFont="1" applyBorder="1" applyAlignment="1"/>
    <xf numFmtId="0" fontId="62" fillId="0" borderId="13" xfId="0" applyFont="1" applyBorder="1" applyAlignment="1"/>
    <xf numFmtId="0" fontId="8" fillId="0" borderId="0" xfId="0" applyFont="1" applyFill="1" applyAlignment="1">
      <alignment horizontal="center" vertical="center" wrapText="1"/>
    </xf>
    <xf numFmtId="0" fontId="66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13" xfId="2" applyFont="1" applyBorder="1" applyAlignment="1">
      <alignment horizontal="center" vertical="center"/>
    </xf>
    <xf numFmtId="0" fontId="65" fillId="0" borderId="0" xfId="174" applyFont="1" applyFill="1" applyBorder="1" applyAlignment="1">
      <alignment horizontal="center" vertical="center" wrapText="1"/>
    </xf>
    <xf numFmtId="0" fontId="109" fillId="0" borderId="0" xfId="174" applyFont="1" applyFill="1" applyBorder="1" applyAlignment="1">
      <alignment horizontal="center" vertical="center" wrapText="1"/>
    </xf>
    <xf numFmtId="0" fontId="106" fillId="0" borderId="0" xfId="173" applyFont="1" applyAlignment="1">
      <alignment horizontal="center" vertical="center" wrapText="1"/>
    </xf>
    <xf numFmtId="0" fontId="106" fillId="0" borderId="0" xfId="173" applyFont="1" applyAlignment="1">
      <alignment horizontal="center" vertical="center"/>
    </xf>
    <xf numFmtId="0" fontId="106" fillId="0" borderId="0" xfId="173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5" fillId="0" borderId="0" xfId="172" applyFont="1" applyAlignment="1">
      <alignment horizontal="center" vertical="center" wrapText="1"/>
    </xf>
    <xf numFmtId="0" fontId="18" fillId="0" borderId="0" xfId="172" applyFont="1" applyBorder="1" applyAlignment="1">
      <alignment horizontal="right"/>
    </xf>
    <xf numFmtId="0" fontId="61" fillId="0" borderId="13" xfId="172" applyFont="1" applyBorder="1" applyAlignment="1">
      <alignment horizontal="center" vertical="center" wrapText="1"/>
    </xf>
    <xf numFmtId="0" fontId="106" fillId="0" borderId="0" xfId="175" applyFont="1" applyAlignment="1">
      <alignment horizontal="center" vertical="center" wrapText="1"/>
    </xf>
    <xf numFmtId="164" fontId="64" fillId="0" borderId="0" xfId="1" applyNumberFormat="1" applyFont="1" applyFill="1" applyBorder="1" applyAlignment="1" applyProtection="1">
      <alignment horizontal="center" vertical="center" wrapText="1"/>
    </xf>
  </cellXfs>
  <cellStyles count="214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 3" xfId="184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Munka1" xfId="213"/>
    <cellStyle name="Normál_SEGEDLETEK" xfId="171"/>
    <cellStyle name="Normal_tanusitv" xfId="69"/>
    <cellStyle name="Note" xfId="70"/>
    <cellStyle name="Output" xfId="71"/>
    <cellStyle name="Összesen 2" xfId="162"/>
    <cellStyle name="Pénznem" xfId="212" builtinId="4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externalLink" Target="externalLinks/externalLink15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13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yalne/Documents/2017/K&#214;LTS&#201;GVET&#201;S%20TERVEZ&#201;S/2017.%20&#233;vi%20&#246;nkorm&#225;nyzati%20k&#246;lts&#233;gvet&#233;s%20minta/rendelet%20mell&#233;klet%20mint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2017.&#233;vi%20k&#246;lts&#233;gvet&#233;s/K&#214;LTS&#201;GVET&#201;S%20TERVEZ&#201;S/&#214;NKORM&#193;NYZAT/Test&#252;leti%20anyag%20II/Test&#252;leti%20t&#225;bl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1.sz.mell."/>
      <sheetName val="1.2.sz.mell."/>
      <sheetName val="1.3.sz.mell."/>
      <sheetName val="1.4.sz.mell."/>
      <sheetName val="2.1.sz.mell  "/>
      <sheetName val="2.2.sz.mell  "/>
      <sheetName val="3.sz.mell"/>
      <sheetName val="4. sz.mell "/>
      <sheetName val="5.sz.mell"/>
      <sheetName val="6.sz.mell"/>
      <sheetName val="7.sz.mell."/>
      <sheetName val="8.sz.mell. "/>
      <sheetName val="9.sz.mell."/>
      <sheetName val="9.1.sz.mell"/>
      <sheetName val="9.2.sz.mell"/>
      <sheetName val="10.sz.mell"/>
      <sheetName val="10.1.sz.mell"/>
      <sheetName val="10.2.sz.mell"/>
      <sheetName val="11.sz.mell"/>
      <sheetName val="11.1.sz.mell"/>
      <sheetName val="11.2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 sz.mel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sz.mell."/>
      <sheetName val="2.1.sz.mell  "/>
      <sheetName val="2.2.sz.mell  "/>
      <sheetName val="3.sz.mell"/>
      <sheetName val="4. sz.mell"/>
      <sheetName val="5.sz.mell"/>
      <sheetName val="6.sz.mell"/>
      <sheetName val="7.sz.mell."/>
      <sheetName val="8.sz.mell. "/>
      <sheetName val="9.sz.mell."/>
      <sheetName val="9.1.sz.mell"/>
      <sheetName val="9.2.sz.mell"/>
      <sheetName val="10.sz.mell"/>
      <sheetName val="10.1.sz.mell"/>
      <sheetName val="10.2.sz.mell"/>
      <sheetName val="11.sz.mell"/>
      <sheetName val="11.1.sz.mell"/>
      <sheetName val="11.2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 sz.mell"/>
      <sheetName val="Munka1"/>
    </sheetNames>
    <sheetDataSet>
      <sheetData sheetId="0"/>
      <sheetData sheetId="1"/>
      <sheetData sheetId="2"/>
      <sheetData sheetId="3"/>
      <sheetData sheetId="4"/>
      <sheetData sheetId="5">
        <row r="13">
          <cell r="G13">
            <v>58440500</v>
          </cell>
        </row>
        <row r="19">
          <cell r="G19">
            <v>123810571</v>
          </cell>
        </row>
      </sheetData>
      <sheetData sheetId="6">
        <row r="20">
          <cell r="E20">
            <v>431297184</v>
          </cell>
        </row>
      </sheetData>
      <sheetData sheetId="7"/>
      <sheetData sheetId="8"/>
      <sheetData sheetId="9">
        <row r="13">
          <cell r="F13">
            <v>55826180</v>
          </cell>
        </row>
        <row r="22">
          <cell r="D22">
            <v>8696669</v>
          </cell>
          <cell r="E22">
            <v>8449674</v>
          </cell>
        </row>
        <row r="24">
          <cell r="C24">
            <v>2840025</v>
          </cell>
        </row>
        <row r="25">
          <cell r="C25">
            <v>712800</v>
          </cell>
        </row>
        <row r="26">
          <cell r="C26">
            <v>31149012</v>
          </cell>
        </row>
      </sheetData>
      <sheetData sheetId="10"/>
      <sheetData sheetId="11"/>
      <sheetData sheetId="12"/>
      <sheetData sheetId="13">
        <row r="37">
          <cell r="G37">
            <v>273351171</v>
          </cell>
        </row>
      </sheetData>
      <sheetData sheetId="14"/>
      <sheetData sheetId="15"/>
      <sheetData sheetId="16">
        <row r="37">
          <cell r="F37">
            <v>27195291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>
        <row r="8">
          <cell r="D8">
            <v>23997938</v>
          </cell>
        </row>
      </sheetData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view="pageLayout" topLeftCell="D1" zoomScaleNormal="100" workbookViewId="0">
      <selection activeCell="D4" sqref="D4"/>
    </sheetView>
  </sheetViews>
  <sheetFormatPr defaultColWidth="10.69921875" defaultRowHeight="13" x14ac:dyDescent="0.3"/>
  <cols>
    <col min="1" max="2" width="8.796875" style="174" customWidth="1"/>
    <col min="3" max="3" width="73.5" style="163" customWidth="1"/>
    <col min="4" max="256" width="10.69921875" style="163"/>
    <col min="257" max="258" width="8.796875" style="163" customWidth="1"/>
    <col min="259" max="259" width="73.5" style="163" customWidth="1"/>
    <col min="260" max="512" width="10.69921875" style="163"/>
    <col min="513" max="514" width="8.796875" style="163" customWidth="1"/>
    <col min="515" max="515" width="73.5" style="163" customWidth="1"/>
    <col min="516" max="768" width="10.69921875" style="163"/>
    <col min="769" max="770" width="8.796875" style="163" customWidth="1"/>
    <col min="771" max="771" width="73.5" style="163" customWidth="1"/>
    <col min="772" max="1024" width="10.69921875" style="163"/>
    <col min="1025" max="1026" width="8.796875" style="163" customWidth="1"/>
    <col min="1027" max="1027" width="73.5" style="163" customWidth="1"/>
    <col min="1028" max="1280" width="10.69921875" style="163"/>
    <col min="1281" max="1282" width="8.796875" style="163" customWidth="1"/>
    <col min="1283" max="1283" width="73.5" style="163" customWidth="1"/>
    <col min="1284" max="1536" width="10.69921875" style="163"/>
    <col min="1537" max="1538" width="8.796875" style="163" customWidth="1"/>
    <col min="1539" max="1539" width="73.5" style="163" customWidth="1"/>
    <col min="1540" max="1792" width="10.69921875" style="163"/>
    <col min="1793" max="1794" width="8.796875" style="163" customWidth="1"/>
    <col min="1795" max="1795" width="73.5" style="163" customWidth="1"/>
    <col min="1796" max="2048" width="10.69921875" style="163"/>
    <col min="2049" max="2050" width="8.796875" style="163" customWidth="1"/>
    <col min="2051" max="2051" width="73.5" style="163" customWidth="1"/>
    <col min="2052" max="2304" width="10.69921875" style="163"/>
    <col min="2305" max="2306" width="8.796875" style="163" customWidth="1"/>
    <col min="2307" max="2307" width="73.5" style="163" customWidth="1"/>
    <col min="2308" max="2560" width="10.69921875" style="163"/>
    <col min="2561" max="2562" width="8.796875" style="163" customWidth="1"/>
    <col min="2563" max="2563" width="73.5" style="163" customWidth="1"/>
    <col min="2564" max="2816" width="10.69921875" style="163"/>
    <col min="2817" max="2818" width="8.796875" style="163" customWidth="1"/>
    <col min="2819" max="2819" width="73.5" style="163" customWidth="1"/>
    <col min="2820" max="3072" width="10.69921875" style="163"/>
    <col min="3073" max="3074" width="8.796875" style="163" customWidth="1"/>
    <col min="3075" max="3075" width="73.5" style="163" customWidth="1"/>
    <col min="3076" max="3328" width="10.69921875" style="163"/>
    <col min="3329" max="3330" width="8.796875" style="163" customWidth="1"/>
    <col min="3331" max="3331" width="73.5" style="163" customWidth="1"/>
    <col min="3332" max="3584" width="10.69921875" style="163"/>
    <col min="3585" max="3586" width="8.796875" style="163" customWidth="1"/>
    <col min="3587" max="3587" width="73.5" style="163" customWidth="1"/>
    <col min="3588" max="3840" width="10.69921875" style="163"/>
    <col min="3841" max="3842" width="8.796875" style="163" customWidth="1"/>
    <col min="3843" max="3843" width="73.5" style="163" customWidth="1"/>
    <col min="3844" max="4096" width="10.69921875" style="163"/>
    <col min="4097" max="4098" width="8.796875" style="163" customWidth="1"/>
    <col min="4099" max="4099" width="73.5" style="163" customWidth="1"/>
    <col min="4100" max="4352" width="10.69921875" style="163"/>
    <col min="4353" max="4354" width="8.796875" style="163" customWidth="1"/>
    <col min="4355" max="4355" width="73.5" style="163" customWidth="1"/>
    <col min="4356" max="4608" width="10.69921875" style="163"/>
    <col min="4609" max="4610" width="8.796875" style="163" customWidth="1"/>
    <col min="4611" max="4611" width="73.5" style="163" customWidth="1"/>
    <col min="4612" max="4864" width="10.69921875" style="163"/>
    <col min="4865" max="4866" width="8.796875" style="163" customWidth="1"/>
    <col min="4867" max="4867" width="73.5" style="163" customWidth="1"/>
    <col min="4868" max="5120" width="10.69921875" style="163"/>
    <col min="5121" max="5122" width="8.796875" style="163" customWidth="1"/>
    <col min="5123" max="5123" width="73.5" style="163" customWidth="1"/>
    <col min="5124" max="5376" width="10.69921875" style="163"/>
    <col min="5377" max="5378" width="8.796875" style="163" customWidth="1"/>
    <col min="5379" max="5379" width="73.5" style="163" customWidth="1"/>
    <col min="5380" max="5632" width="10.69921875" style="163"/>
    <col min="5633" max="5634" width="8.796875" style="163" customWidth="1"/>
    <col min="5635" max="5635" width="73.5" style="163" customWidth="1"/>
    <col min="5636" max="5888" width="10.69921875" style="163"/>
    <col min="5889" max="5890" width="8.796875" style="163" customWidth="1"/>
    <col min="5891" max="5891" width="73.5" style="163" customWidth="1"/>
    <col min="5892" max="6144" width="10.69921875" style="163"/>
    <col min="6145" max="6146" width="8.796875" style="163" customWidth="1"/>
    <col min="6147" max="6147" width="73.5" style="163" customWidth="1"/>
    <col min="6148" max="6400" width="10.69921875" style="163"/>
    <col min="6401" max="6402" width="8.796875" style="163" customWidth="1"/>
    <col min="6403" max="6403" width="73.5" style="163" customWidth="1"/>
    <col min="6404" max="6656" width="10.69921875" style="163"/>
    <col min="6657" max="6658" width="8.796875" style="163" customWidth="1"/>
    <col min="6659" max="6659" width="73.5" style="163" customWidth="1"/>
    <col min="6660" max="6912" width="10.69921875" style="163"/>
    <col min="6913" max="6914" width="8.796875" style="163" customWidth="1"/>
    <col min="6915" max="6915" width="73.5" style="163" customWidth="1"/>
    <col min="6916" max="7168" width="10.69921875" style="163"/>
    <col min="7169" max="7170" width="8.796875" style="163" customWidth="1"/>
    <col min="7171" max="7171" width="73.5" style="163" customWidth="1"/>
    <col min="7172" max="7424" width="10.69921875" style="163"/>
    <col min="7425" max="7426" width="8.796875" style="163" customWidth="1"/>
    <col min="7427" max="7427" width="73.5" style="163" customWidth="1"/>
    <col min="7428" max="7680" width="10.69921875" style="163"/>
    <col min="7681" max="7682" width="8.796875" style="163" customWidth="1"/>
    <col min="7683" max="7683" width="73.5" style="163" customWidth="1"/>
    <col min="7684" max="7936" width="10.69921875" style="163"/>
    <col min="7937" max="7938" width="8.796875" style="163" customWidth="1"/>
    <col min="7939" max="7939" width="73.5" style="163" customWidth="1"/>
    <col min="7940" max="8192" width="10.69921875" style="163"/>
    <col min="8193" max="8194" width="8.796875" style="163" customWidth="1"/>
    <col min="8195" max="8195" width="73.5" style="163" customWidth="1"/>
    <col min="8196" max="8448" width="10.69921875" style="163"/>
    <col min="8449" max="8450" width="8.796875" style="163" customWidth="1"/>
    <col min="8451" max="8451" width="73.5" style="163" customWidth="1"/>
    <col min="8452" max="8704" width="10.69921875" style="163"/>
    <col min="8705" max="8706" width="8.796875" style="163" customWidth="1"/>
    <col min="8707" max="8707" width="73.5" style="163" customWidth="1"/>
    <col min="8708" max="8960" width="10.69921875" style="163"/>
    <col min="8961" max="8962" width="8.796875" style="163" customWidth="1"/>
    <col min="8963" max="8963" width="73.5" style="163" customWidth="1"/>
    <col min="8964" max="9216" width="10.69921875" style="163"/>
    <col min="9217" max="9218" width="8.796875" style="163" customWidth="1"/>
    <col min="9219" max="9219" width="73.5" style="163" customWidth="1"/>
    <col min="9220" max="9472" width="10.69921875" style="163"/>
    <col min="9473" max="9474" width="8.796875" style="163" customWidth="1"/>
    <col min="9475" max="9475" width="73.5" style="163" customWidth="1"/>
    <col min="9476" max="9728" width="10.69921875" style="163"/>
    <col min="9729" max="9730" width="8.796875" style="163" customWidth="1"/>
    <col min="9731" max="9731" width="73.5" style="163" customWidth="1"/>
    <col min="9732" max="9984" width="10.69921875" style="163"/>
    <col min="9985" max="9986" width="8.796875" style="163" customWidth="1"/>
    <col min="9987" max="9987" width="73.5" style="163" customWidth="1"/>
    <col min="9988" max="10240" width="10.69921875" style="163"/>
    <col min="10241" max="10242" width="8.796875" style="163" customWidth="1"/>
    <col min="10243" max="10243" width="73.5" style="163" customWidth="1"/>
    <col min="10244" max="10496" width="10.69921875" style="163"/>
    <col min="10497" max="10498" width="8.796875" style="163" customWidth="1"/>
    <col min="10499" max="10499" width="73.5" style="163" customWidth="1"/>
    <col min="10500" max="10752" width="10.69921875" style="163"/>
    <col min="10753" max="10754" width="8.796875" style="163" customWidth="1"/>
    <col min="10755" max="10755" width="73.5" style="163" customWidth="1"/>
    <col min="10756" max="11008" width="10.69921875" style="163"/>
    <col min="11009" max="11010" width="8.796875" style="163" customWidth="1"/>
    <col min="11011" max="11011" width="73.5" style="163" customWidth="1"/>
    <col min="11012" max="11264" width="10.69921875" style="163"/>
    <col min="11265" max="11266" width="8.796875" style="163" customWidth="1"/>
    <col min="11267" max="11267" width="73.5" style="163" customWidth="1"/>
    <col min="11268" max="11520" width="10.69921875" style="163"/>
    <col min="11521" max="11522" width="8.796875" style="163" customWidth="1"/>
    <col min="11523" max="11523" width="73.5" style="163" customWidth="1"/>
    <col min="11524" max="11776" width="10.69921875" style="163"/>
    <col min="11777" max="11778" width="8.796875" style="163" customWidth="1"/>
    <col min="11779" max="11779" width="73.5" style="163" customWidth="1"/>
    <col min="11780" max="12032" width="10.69921875" style="163"/>
    <col min="12033" max="12034" width="8.796875" style="163" customWidth="1"/>
    <col min="12035" max="12035" width="73.5" style="163" customWidth="1"/>
    <col min="12036" max="12288" width="10.69921875" style="163"/>
    <col min="12289" max="12290" width="8.796875" style="163" customWidth="1"/>
    <col min="12291" max="12291" width="73.5" style="163" customWidth="1"/>
    <col min="12292" max="12544" width="10.69921875" style="163"/>
    <col min="12545" max="12546" width="8.796875" style="163" customWidth="1"/>
    <col min="12547" max="12547" width="73.5" style="163" customWidth="1"/>
    <col min="12548" max="12800" width="10.69921875" style="163"/>
    <col min="12801" max="12802" width="8.796875" style="163" customWidth="1"/>
    <col min="12803" max="12803" width="73.5" style="163" customWidth="1"/>
    <col min="12804" max="13056" width="10.69921875" style="163"/>
    <col min="13057" max="13058" width="8.796875" style="163" customWidth="1"/>
    <col min="13059" max="13059" width="73.5" style="163" customWidth="1"/>
    <col min="13060" max="13312" width="10.69921875" style="163"/>
    <col min="13313" max="13314" width="8.796875" style="163" customWidth="1"/>
    <col min="13315" max="13315" width="73.5" style="163" customWidth="1"/>
    <col min="13316" max="13568" width="10.69921875" style="163"/>
    <col min="13569" max="13570" width="8.796875" style="163" customWidth="1"/>
    <col min="13571" max="13571" width="73.5" style="163" customWidth="1"/>
    <col min="13572" max="13824" width="10.69921875" style="163"/>
    <col min="13825" max="13826" width="8.796875" style="163" customWidth="1"/>
    <col min="13827" max="13827" width="73.5" style="163" customWidth="1"/>
    <col min="13828" max="14080" width="10.69921875" style="163"/>
    <col min="14081" max="14082" width="8.796875" style="163" customWidth="1"/>
    <col min="14083" max="14083" width="73.5" style="163" customWidth="1"/>
    <col min="14084" max="14336" width="10.69921875" style="163"/>
    <col min="14337" max="14338" width="8.796875" style="163" customWidth="1"/>
    <col min="14339" max="14339" width="73.5" style="163" customWidth="1"/>
    <col min="14340" max="14592" width="10.69921875" style="163"/>
    <col min="14593" max="14594" width="8.796875" style="163" customWidth="1"/>
    <col min="14595" max="14595" width="73.5" style="163" customWidth="1"/>
    <col min="14596" max="14848" width="10.69921875" style="163"/>
    <col min="14849" max="14850" width="8.796875" style="163" customWidth="1"/>
    <col min="14851" max="14851" width="73.5" style="163" customWidth="1"/>
    <col min="14852" max="15104" width="10.69921875" style="163"/>
    <col min="15105" max="15106" width="8.796875" style="163" customWidth="1"/>
    <col min="15107" max="15107" width="73.5" style="163" customWidth="1"/>
    <col min="15108" max="15360" width="10.69921875" style="163"/>
    <col min="15361" max="15362" width="8.796875" style="163" customWidth="1"/>
    <col min="15363" max="15363" width="73.5" style="163" customWidth="1"/>
    <col min="15364" max="15616" width="10.69921875" style="163"/>
    <col min="15617" max="15618" width="8.796875" style="163" customWidth="1"/>
    <col min="15619" max="15619" width="73.5" style="163" customWidth="1"/>
    <col min="15620" max="15872" width="10.69921875" style="163"/>
    <col min="15873" max="15874" width="8.796875" style="163" customWidth="1"/>
    <col min="15875" max="15875" width="73.5" style="163" customWidth="1"/>
    <col min="15876" max="16128" width="10.69921875" style="163"/>
    <col min="16129" max="16130" width="8.796875" style="163" customWidth="1"/>
    <col min="16131" max="16131" width="73.5" style="163" customWidth="1"/>
    <col min="16132" max="16384" width="10.69921875" style="163"/>
  </cols>
  <sheetData>
    <row r="1" spans="1:3" x14ac:dyDescent="0.3">
      <c r="A1" s="819" t="s">
        <v>631</v>
      </c>
      <c r="B1" s="820"/>
      <c r="C1" s="821"/>
    </row>
    <row r="2" spans="1:3" ht="41.25" customHeight="1" x14ac:dyDescent="0.3">
      <c r="A2" s="822"/>
      <c r="B2" s="823"/>
      <c r="C2" s="824"/>
    </row>
    <row r="4" spans="1:3" s="175" customFormat="1" ht="30" x14ac:dyDescent="0.3">
      <c r="A4" s="267" t="s">
        <v>626</v>
      </c>
      <c r="B4" s="267" t="s">
        <v>627</v>
      </c>
      <c r="C4" s="267" t="s">
        <v>628</v>
      </c>
    </row>
    <row r="5" spans="1:3" s="164" customFormat="1" ht="24" customHeight="1" x14ac:dyDescent="0.3">
      <c r="A5" s="268" t="s">
        <v>629</v>
      </c>
      <c r="B5" s="269"/>
      <c r="C5" s="270" t="s">
        <v>381</v>
      </c>
    </row>
    <row r="6" spans="1:3" s="164" customFormat="1" ht="24" customHeight="1" x14ac:dyDescent="0.3">
      <c r="A6" s="268" t="s">
        <v>630</v>
      </c>
      <c r="B6" s="269"/>
      <c r="C6" s="270" t="s">
        <v>632</v>
      </c>
    </row>
    <row r="7" spans="1:3" s="164" customFormat="1" ht="24" customHeight="1" x14ac:dyDescent="0.3">
      <c r="A7" s="268"/>
      <c r="B7" s="269" t="s">
        <v>10</v>
      </c>
      <c r="C7" s="271" t="s">
        <v>400</v>
      </c>
    </row>
    <row r="8" spans="1:3" s="164" customFormat="1" ht="24" customHeight="1" x14ac:dyDescent="0.3">
      <c r="A8" s="268" t="s">
        <v>388</v>
      </c>
      <c r="B8" s="269"/>
      <c r="C8" s="270" t="s">
        <v>633</v>
      </c>
    </row>
    <row r="9" spans="1:3" s="164" customFormat="1" ht="24" customHeight="1" x14ac:dyDescent="0.3">
      <c r="A9" s="269"/>
      <c r="B9" s="269" t="s">
        <v>10</v>
      </c>
      <c r="C9" s="271" t="s">
        <v>427</v>
      </c>
    </row>
    <row r="10" spans="1:3" s="164" customFormat="1" ht="19.5" customHeight="1" x14ac:dyDescent="0.3">
      <c r="A10" s="176"/>
      <c r="B10" s="176"/>
      <c r="C10" s="177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5"/>
  <sheetViews>
    <sheetView view="pageLayout" zoomScaleNormal="100" workbookViewId="0">
      <selection activeCell="B4" sqref="B4:G4"/>
    </sheetView>
  </sheetViews>
  <sheetFormatPr defaultRowHeight="13" x14ac:dyDescent="0.3"/>
  <cols>
    <col min="1" max="1" width="32.19921875" style="45" customWidth="1"/>
    <col min="2" max="6" width="16.5" style="45" customWidth="1"/>
    <col min="7" max="7" width="13.796875" style="45" customWidth="1"/>
    <col min="8" max="257" width="9.296875" style="45"/>
    <col min="258" max="258" width="34.796875" style="45" customWidth="1"/>
    <col min="259" max="262" width="16.5" style="45" customWidth="1"/>
    <col min="263" max="263" width="13.796875" style="45" customWidth="1"/>
    <col min="264" max="513" width="9.296875" style="45"/>
    <col min="514" max="514" width="34.796875" style="45" customWidth="1"/>
    <col min="515" max="518" width="16.5" style="45" customWidth="1"/>
    <col min="519" max="519" width="13.796875" style="45" customWidth="1"/>
    <col min="520" max="769" width="9.296875" style="45"/>
    <col min="770" max="770" width="34.796875" style="45" customWidth="1"/>
    <col min="771" max="774" width="16.5" style="45" customWidth="1"/>
    <col min="775" max="775" width="13.796875" style="45" customWidth="1"/>
    <col min="776" max="1025" width="9.296875" style="45"/>
    <col min="1026" max="1026" width="34.796875" style="45" customWidth="1"/>
    <col min="1027" max="1030" width="16.5" style="45" customWidth="1"/>
    <col min="1031" max="1031" width="13.796875" style="45" customWidth="1"/>
    <col min="1032" max="1281" width="9.296875" style="45"/>
    <col min="1282" max="1282" width="34.796875" style="45" customWidth="1"/>
    <col min="1283" max="1286" width="16.5" style="45" customWidth="1"/>
    <col min="1287" max="1287" width="13.796875" style="45" customWidth="1"/>
    <col min="1288" max="1537" width="9.296875" style="45"/>
    <col min="1538" max="1538" width="34.796875" style="45" customWidth="1"/>
    <col min="1539" max="1542" width="16.5" style="45" customWidth="1"/>
    <col min="1543" max="1543" width="13.796875" style="45" customWidth="1"/>
    <col min="1544" max="1793" width="9.296875" style="45"/>
    <col min="1794" max="1794" width="34.796875" style="45" customWidth="1"/>
    <col min="1795" max="1798" width="16.5" style="45" customWidth="1"/>
    <col min="1799" max="1799" width="13.796875" style="45" customWidth="1"/>
    <col min="1800" max="2049" width="9.296875" style="45"/>
    <col min="2050" max="2050" width="34.796875" style="45" customWidth="1"/>
    <col min="2051" max="2054" width="16.5" style="45" customWidth="1"/>
    <col min="2055" max="2055" width="13.796875" style="45" customWidth="1"/>
    <col min="2056" max="2305" width="9.296875" style="45"/>
    <col min="2306" max="2306" width="34.796875" style="45" customWidth="1"/>
    <col min="2307" max="2310" width="16.5" style="45" customWidth="1"/>
    <col min="2311" max="2311" width="13.796875" style="45" customWidth="1"/>
    <col min="2312" max="2561" width="9.296875" style="45"/>
    <col min="2562" max="2562" width="34.796875" style="45" customWidth="1"/>
    <col min="2563" max="2566" width="16.5" style="45" customWidth="1"/>
    <col min="2567" max="2567" width="13.796875" style="45" customWidth="1"/>
    <col min="2568" max="2817" width="9.296875" style="45"/>
    <col min="2818" max="2818" width="34.796875" style="45" customWidth="1"/>
    <col min="2819" max="2822" width="16.5" style="45" customWidth="1"/>
    <col min="2823" max="2823" width="13.796875" style="45" customWidth="1"/>
    <col min="2824" max="3073" width="9.296875" style="45"/>
    <col min="3074" max="3074" width="34.796875" style="45" customWidth="1"/>
    <col min="3075" max="3078" width="16.5" style="45" customWidth="1"/>
    <col min="3079" max="3079" width="13.796875" style="45" customWidth="1"/>
    <col min="3080" max="3329" width="9.296875" style="45"/>
    <col min="3330" max="3330" width="34.796875" style="45" customWidth="1"/>
    <col min="3331" max="3334" width="16.5" style="45" customWidth="1"/>
    <col min="3335" max="3335" width="13.796875" style="45" customWidth="1"/>
    <col min="3336" max="3585" width="9.296875" style="45"/>
    <col min="3586" max="3586" width="34.796875" style="45" customWidth="1"/>
    <col min="3587" max="3590" width="16.5" style="45" customWidth="1"/>
    <col min="3591" max="3591" width="13.796875" style="45" customWidth="1"/>
    <col min="3592" max="3841" width="9.296875" style="45"/>
    <col min="3842" max="3842" width="34.796875" style="45" customWidth="1"/>
    <col min="3843" max="3846" width="16.5" style="45" customWidth="1"/>
    <col min="3847" max="3847" width="13.796875" style="45" customWidth="1"/>
    <col min="3848" max="4097" width="9.296875" style="45"/>
    <col min="4098" max="4098" width="34.796875" style="45" customWidth="1"/>
    <col min="4099" max="4102" width="16.5" style="45" customWidth="1"/>
    <col min="4103" max="4103" width="13.796875" style="45" customWidth="1"/>
    <col min="4104" max="4353" width="9.296875" style="45"/>
    <col min="4354" max="4354" width="34.796875" style="45" customWidth="1"/>
    <col min="4355" max="4358" width="16.5" style="45" customWidth="1"/>
    <col min="4359" max="4359" width="13.796875" style="45" customWidth="1"/>
    <col min="4360" max="4609" width="9.296875" style="45"/>
    <col min="4610" max="4610" width="34.796875" style="45" customWidth="1"/>
    <col min="4611" max="4614" width="16.5" style="45" customWidth="1"/>
    <col min="4615" max="4615" width="13.796875" style="45" customWidth="1"/>
    <col min="4616" max="4865" width="9.296875" style="45"/>
    <col min="4866" max="4866" width="34.796875" style="45" customWidth="1"/>
    <col min="4867" max="4870" width="16.5" style="45" customWidth="1"/>
    <col min="4871" max="4871" width="13.796875" style="45" customWidth="1"/>
    <col min="4872" max="5121" width="9.296875" style="45"/>
    <col min="5122" max="5122" width="34.796875" style="45" customWidth="1"/>
    <col min="5123" max="5126" width="16.5" style="45" customWidth="1"/>
    <col min="5127" max="5127" width="13.796875" style="45" customWidth="1"/>
    <col min="5128" max="5377" width="9.296875" style="45"/>
    <col min="5378" max="5378" width="34.796875" style="45" customWidth="1"/>
    <col min="5379" max="5382" width="16.5" style="45" customWidth="1"/>
    <col min="5383" max="5383" width="13.796875" style="45" customWidth="1"/>
    <col min="5384" max="5633" width="9.296875" style="45"/>
    <col min="5634" max="5634" width="34.796875" style="45" customWidth="1"/>
    <col min="5635" max="5638" width="16.5" style="45" customWidth="1"/>
    <col min="5639" max="5639" width="13.796875" style="45" customWidth="1"/>
    <col min="5640" max="5889" width="9.296875" style="45"/>
    <col min="5890" max="5890" width="34.796875" style="45" customWidth="1"/>
    <col min="5891" max="5894" width="16.5" style="45" customWidth="1"/>
    <col min="5895" max="5895" width="13.796875" style="45" customWidth="1"/>
    <col min="5896" max="6145" width="9.296875" style="45"/>
    <col min="6146" max="6146" width="34.796875" style="45" customWidth="1"/>
    <col min="6147" max="6150" width="16.5" style="45" customWidth="1"/>
    <col min="6151" max="6151" width="13.796875" style="45" customWidth="1"/>
    <col min="6152" max="6401" width="9.296875" style="45"/>
    <col min="6402" max="6402" width="34.796875" style="45" customWidth="1"/>
    <col min="6403" max="6406" width="16.5" style="45" customWidth="1"/>
    <col min="6407" max="6407" width="13.796875" style="45" customWidth="1"/>
    <col min="6408" max="6657" width="9.296875" style="45"/>
    <col min="6658" max="6658" width="34.796875" style="45" customWidth="1"/>
    <col min="6659" max="6662" width="16.5" style="45" customWidth="1"/>
    <col min="6663" max="6663" width="13.796875" style="45" customWidth="1"/>
    <col min="6664" max="6913" width="9.296875" style="45"/>
    <col min="6914" max="6914" width="34.796875" style="45" customWidth="1"/>
    <col min="6915" max="6918" width="16.5" style="45" customWidth="1"/>
    <col min="6919" max="6919" width="13.796875" style="45" customWidth="1"/>
    <col min="6920" max="7169" width="9.296875" style="45"/>
    <col min="7170" max="7170" width="34.796875" style="45" customWidth="1"/>
    <col min="7171" max="7174" width="16.5" style="45" customWidth="1"/>
    <col min="7175" max="7175" width="13.796875" style="45" customWidth="1"/>
    <col min="7176" max="7425" width="9.296875" style="45"/>
    <col min="7426" max="7426" width="34.796875" style="45" customWidth="1"/>
    <col min="7427" max="7430" width="16.5" style="45" customWidth="1"/>
    <col min="7431" max="7431" width="13.796875" style="45" customWidth="1"/>
    <col min="7432" max="7681" width="9.296875" style="45"/>
    <col min="7682" max="7682" width="34.796875" style="45" customWidth="1"/>
    <col min="7683" max="7686" width="16.5" style="45" customWidth="1"/>
    <col min="7687" max="7687" width="13.796875" style="45" customWidth="1"/>
    <col min="7688" max="7937" width="9.296875" style="45"/>
    <col min="7938" max="7938" width="34.796875" style="45" customWidth="1"/>
    <col min="7939" max="7942" width="16.5" style="45" customWidth="1"/>
    <col min="7943" max="7943" width="13.796875" style="45" customWidth="1"/>
    <col min="7944" max="8193" width="9.296875" style="45"/>
    <col min="8194" max="8194" width="34.796875" style="45" customWidth="1"/>
    <col min="8195" max="8198" width="16.5" style="45" customWidth="1"/>
    <col min="8199" max="8199" width="13.796875" style="45" customWidth="1"/>
    <col min="8200" max="8449" width="9.296875" style="45"/>
    <col min="8450" max="8450" width="34.796875" style="45" customWidth="1"/>
    <col min="8451" max="8454" width="16.5" style="45" customWidth="1"/>
    <col min="8455" max="8455" width="13.796875" style="45" customWidth="1"/>
    <col min="8456" max="8705" width="9.296875" style="45"/>
    <col min="8706" max="8706" width="34.796875" style="45" customWidth="1"/>
    <col min="8707" max="8710" width="16.5" style="45" customWidth="1"/>
    <col min="8711" max="8711" width="13.796875" style="45" customWidth="1"/>
    <col min="8712" max="8961" width="9.296875" style="45"/>
    <col min="8962" max="8962" width="34.796875" style="45" customWidth="1"/>
    <col min="8963" max="8966" width="16.5" style="45" customWidth="1"/>
    <col min="8967" max="8967" width="13.796875" style="45" customWidth="1"/>
    <col min="8968" max="9217" width="9.296875" style="45"/>
    <col min="9218" max="9218" width="34.796875" style="45" customWidth="1"/>
    <col min="9219" max="9222" width="16.5" style="45" customWidth="1"/>
    <col min="9223" max="9223" width="13.796875" style="45" customWidth="1"/>
    <col min="9224" max="9473" width="9.296875" style="45"/>
    <col min="9474" max="9474" width="34.796875" style="45" customWidth="1"/>
    <col min="9475" max="9478" width="16.5" style="45" customWidth="1"/>
    <col min="9479" max="9479" width="13.796875" style="45" customWidth="1"/>
    <col min="9480" max="9729" width="9.296875" style="45"/>
    <col min="9730" max="9730" width="34.796875" style="45" customWidth="1"/>
    <col min="9731" max="9734" width="16.5" style="45" customWidth="1"/>
    <col min="9735" max="9735" width="13.796875" style="45" customWidth="1"/>
    <col min="9736" max="9985" width="9.296875" style="45"/>
    <col min="9986" max="9986" width="34.796875" style="45" customWidth="1"/>
    <col min="9987" max="9990" width="16.5" style="45" customWidth="1"/>
    <col min="9991" max="9991" width="13.796875" style="45" customWidth="1"/>
    <col min="9992" max="10241" width="9.296875" style="45"/>
    <col min="10242" max="10242" width="34.796875" style="45" customWidth="1"/>
    <col min="10243" max="10246" width="16.5" style="45" customWidth="1"/>
    <col min="10247" max="10247" width="13.796875" style="45" customWidth="1"/>
    <col min="10248" max="10497" width="9.296875" style="45"/>
    <col min="10498" max="10498" width="34.796875" style="45" customWidth="1"/>
    <col min="10499" max="10502" width="16.5" style="45" customWidth="1"/>
    <col min="10503" max="10503" width="13.796875" style="45" customWidth="1"/>
    <col min="10504" max="10753" width="9.296875" style="45"/>
    <col min="10754" max="10754" width="34.796875" style="45" customWidth="1"/>
    <col min="10755" max="10758" width="16.5" style="45" customWidth="1"/>
    <col min="10759" max="10759" width="13.796875" style="45" customWidth="1"/>
    <col min="10760" max="11009" width="9.296875" style="45"/>
    <col min="11010" max="11010" width="34.796875" style="45" customWidth="1"/>
    <col min="11011" max="11014" width="16.5" style="45" customWidth="1"/>
    <col min="11015" max="11015" width="13.796875" style="45" customWidth="1"/>
    <col min="11016" max="11265" width="9.296875" style="45"/>
    <col min="11266" max="11266" width="34.796875" style="45" customWidth="1"/>
    <col min="11267" max="11270" width="16.5" style="45" customWidth="1"/>
    <col min="11271" max="11271" width="13.796875" style="45" customWidth="1"/>
    <col min="11272" max="11521" width="9.296875" style="45"/>
    <col min="11522" max="11522" width="34.796875" style="45" customWidth="1"/>
    <col min="11523" max="11526" width="16.5" style="45" customWidth="1"/>
    <col min="11527" max="11527" width="13.796875" style="45" customWidth="1"/>
    <col min="11528" max="11777" width="9.296875" style="45"/>
    <col min="11778" max="11778" width="34.796875" style="45" customWidth="1"/>
    <col min="11779" max="11782" width="16.5" style="45" customWidth="1"/>
    <col min="11783" max="11783" width="13.796875" style="45" customWidth="1"/>
    <col min="11784" max="12033" width="9.296875" style="45"/>
    <col min="12034" max="12034" width="34.796875" style="45" customWidth="1"/>
    <col min="12035" max="12038" width="16.5" style="45" customWidth="1"/>
    <col min="12039" max="12039" width="13.796875" style="45" customWidth="1"/>
    <col min="12040" max="12289" width="9.296875" style="45"/>
    <col min="12290" max="12290" width="34.796875" style="45" customWidth="1"/>
    <col min="12291" max="12294" width="16.5" style="45" customWidth="1"/>
    <col min="12295" max="12295" width="13.796875" style="45" customWidth="1"/>
    <col min="12296" max="12545" width="9.296875" style="45"/>
    <col min="12546" max="12546" width="34.796875" style="45" customWidth="1"/>
    <col min="12547" max="12550" width="16.5" style="45" customWidth="1"/>
    <col min="12551" max="12551" width="13.796875" style="45" customWidth="1"/>
    <col min="12552" max="12801" width="9.296875" style="45"/>
    <col min="12802" max="12802" width="34.796875" style="45" customWidth="1"/>
    <col min="12803" max="12806" width="16.5" style="45" customWidth="1"/>
    <col min="12807" max="12807" width="13.796875" style="45" customWidth="1"/>
    <col min="12808" max="13057" width="9.296875" style="45"/>
    <col min="13058" max="13058" width="34.796875" style="45" customWidth="1"/>
    <col min="13059" max="13062" width="16.5" style="45" customWidth="1"/>
    <col min="13063" max="13063" width="13.796875" style="45" customWidth="1"/>
    <col min="13064" max="13313" width="9.296875" style="45"/>
    <col min="13314" max="13314" width="34.796875" style="45" customWidth="1"/>
    <col min="13315" max="13318" width="16.5" style="45" customWidth="1"/>
    <col min="13319" max="13319" width="13.796875" style="45" customWidth="1"/>
    <col min="13320" max="13569" width="9.296875" style="45"/>
    <col min="13570" max="13570" width="34.796875" style="45" customWidth="1"/>
    <col min="13571" max="13574" width="16.5" style="45" customWidth="1"/>
    <col min="13575" max="13575" width="13.796875" style="45" customWidth="1"/>
    <col min="13576" max="13825" width="9.296875" style="45"/>
    <col min="13826" max="13826" width="34.796875" style="45" customWidth="1"/>
    <col min="13827" max="13830" width="16.5" style="45" customWidth="1"/>
    <col min="13831" max="13831" width="13.796875" style="45" customWidth="1"/>
    <col min="13832" max="14081" width="9.296875" style="45"/>
    <col min="14082" max="14082" width="34.796875" style="45" customWidth="1"/>
    <col min="14083" max="14086" width="16.5" style="45" customWidth="1"/>
    <col min="14087" max="14087" width="13.796875" style="45" customWidth="1"/>
    <col min="14088" max="14337" width="9.296875" style="45"/>
    <col min="14338" max="14338" width="34.796875" style="45" customWidth="1"/>
    <col min="14339" max="14342" width="16.5" style="45" customWidth="1"/>
    <col min="14343" max="14343" width="13.796875" style="45" customWidth="1"/>
    <col min="14344" max="14593" width="9.296875" style="45"/>
    <col min="14594" max="14594" width="34.796875" style="45" customWidth="1"/>
    <col min="14595" max="14598" width="16.5" style="45" customWidth="1"/>
    <col min="14599" max="14599" width="13.796875" style="45" customWidth="1"/>
    <col min="14600" max="14849" width="9.296875" style="45"/>
    <col min="14850" max="14850" width="34.796875" style="45" customWidth="1"/>
    <col min="14851" max="14854" width="16.5" style="45" customWidth="1"/>
    <col min="14855" max="14855" width="13.796875" style="45" customWidth="1"/>
    <col min="14856" max="15105" width="9.296875" style="45"/>
    <col min="15106" max="15106" width="34.796875" style="45" customWidth="1"/>
    <col min="15107" max="15110" width="16.5" style="45" customWidth="1"/>
    <col min="15111" max="15111" width="13.796875" style="45" customWidth="1"/>
    <col min="15112" max="15361" width="9.296875" style="45"/>
    <col min="15362" max="15362" width="34.796875" style="45" customWidth="1"/>
    <col min="15363" max="15366" width="16.5" style="45" customWidth="1"/>
    <col min="15367" max="15367" width="13.796875" style="45" customWidth="1"/>
    <col min="15368" max="15617" width="9.296875" style="45"/>
    <col min="15618" max="15618" width="34.796875" style="45" customWidth="1"/>
    <col min="15619" max="15622" width="16.5" style="45" customWidth="1"/>
    <col min="15623" max="15623" width="13.796875" style="45" customWidth="1"/>
    <col min="15624" max="15873" width="9.296875" style="45"/>
    <col min="15874" max="15874" width="34.796875" style="45" customWidth="1"/>
    <col min="15875" max="15878" width="16.5" style="45" customWidth="1"/>
    <col min="15879" max="15879" width="13.796875" style="45" customWidth="1"/>
    <col min="15880" max="16129" width="9.296875" style="45"/>
    <col min="16130" max="16130" width="34.796875" style="45" customWidth="1"/>
    <col min="16131" max="16134" width="16.5" style="45" customWidth="1"/>
    <col min="16135" max="16135" width="13.796875" style="45" customWidth="1"/>
    <col min="16136" max="16384" width="9.296875" style="45"/>
  </cols>
  <sheetData>
    <row r="1" spans="1:7" ht="39.75" customHeight="1" x14ac:dyDescent="0.3">
      <c r="A1" s="872" t="s">
        <v>446</v>
      </c>
      <c r="B1" s="873"/>
      <c r="C1" s="873"/>
      <c r="D1" s="873"/>
      <c r="E1" s="873"/>
      <c r="F1" s="873"/>
      <c r="G1" s="874"/>
    </row>
    <row r="2" spans="1:7" ht="16.5" customHeight="1" x14ac:dyDescent="0.3">
      <c r="A2" s="708"/>
      <c r="B2" s="875"/>
      <c r="C2" s="875"/>
      <c r="D2" s="709"/>
      <c r="E2" s="709"/>
      <c r="F2" s="709"/>
      <c r="G2" s="710"/>
    </row>
    <row r="3" spans="1:7" ht="15.75" customHeight="1" x14ac:dyDescent="0.3">
      <c r="A3" s="711" t="s">
        <v>428</v>
      </c>
      <c r="B3" s="865" t="s">
        <v>886</v>
      </c>
      <c r="C3" s="865"/>
      <c r="D3" s="865"/>
      <c r="E3" s="865"/>
      <c r="F3" s="865"/>
      <c r="G3" s="866"/>
    </row>
    <row r="4" spans="1:7" ht="15" customHeight="1" x14ac:dyDescent="0.3">
      <c r="A4" s="711" t="s">
        <v>429</v>
      </c>
      <c r="B4" s="865" t="s">
        <v>887</v>
      </c>
      <c r="C4" s="865"/>
      <c r="D4" s="865"/>
      <c r="E4" s="865"/>
      <c r="F4" s="865"/>
      <c r="G4" s="866"/>
    </row>
    <row r="5" spans="1:7" x14ac:dyDescent="0.3">
      <c r="A5" s="711" t="s">
        <v>888</v>
      </c>
      <c r="B5" s="865" t="s">
        <v>889</v>
      </c>
      <c r="C5" s="865"/>
      <c r="D5" s="865"/>
      <c r="E5" s="865"/>
      <c r="F5" s="865"/>
      <c r="G5" s="866"/>
    </row>
    <row r="6" spans="1:7" ht="15.75" customHeight="1" x14ac:dyDescent="0.3">
      <c r="A6" s="711" t="s">
        <v>890</v>
      </c>
      <c r="B6" s="870">
        <v>277000000</v>
      </c>
      <c r="C6" s="870"/>
      <c r="D6" s="150"/>
      <c r="E6" s="706"/>
      <c r="F6" s="706"/>
      <c r="G6" s="712"/>
    </row>
    <row r="7" spans="1:7" ht="15.75" customHeight="1" x14ac:dyDescent="0.3">
      <c r="A7" s="711" t="s">
        <v>814</v>
      </c>
      <c r="B7" s="870" t="s">
        <v>381</v>
      </c>
      <c r="C7" s="870"/>
      <c r="D7" s="870"/>
      <c r="E7" s="713"/>
      <c r="F7" s="713"/>
      <c r="G7" s="712"/>
    </row>
    <row r="8" spans="1:7" ht="15.5" x14ac:dyDescent="0.3">
      <c r="A8" s="711" t="s">
        <v>430</v>
      </c>
      <c r="B8" s="867">
        <v>1</v>
      </c>
      <c r="C8" s="867"/>
      <c r="D8" s="707"/>
      <c r="E8" s="707"/>
      <c r="F8" s="707"/>
      <c r="G8" s="712"/>
    </row>
    <row r="9" spans="1:7" ht="15.5" x14ac:dyDescent="0.3">
      <c r="A9" s="711" t="s">
        <v>431</v>
      </c>
      <c r="B9" s="868">
        <v>42887</v>
      </c>
      <c r="C9" s="869"/>
      <c r="D9" s="705"/>
      <c r="E9" s="705"/>
      <c r="F9" s="705"/>
      <c r="G9" s="712"/>
    </row>
    <row r="10" spans="1:7" ht="15.5" x14ac:dyDescent="0.3">
      <c r="A10" s="711" t="s">
        <v>432</v>
      </c>
      <c r="B10" s="868">
        <v>43921</v>
      </c>
      <c r="C10" s="869"/>
      <c r="D10" s="705"/>
      <c r="E10" s="705"/>
      <c r="F10" s="705"/>
      <c r="G10" s="712"/>
    </row>
    <row r="11" spans="1:7" ht="13.5" thickBot="1" x14ac:dyDescent="0.35">
      <c r="A11" s="714"/>
      <c r="B11" s="715"/>
      <c r="C11" s="715"/>
      <c r="D11" s="715"/>
      <c r="E11" s="715"/>
      <c r="F11" s="715"/>
      <c r="G11" s="716"/>
    </row>
    <row r="12" spans="1:7" ht="26" x14ac:dyDescent="0.3">
      <c r="A12" s="717" t="s">
        <v>267</v>
      </c>
      <c r="B12" s="718" t="s">
        <v>433</v>
      </c>
      <c r="C12" s="719" t="s">
        <v>434</v>
      </c>
      <c r="D12" s="719" t="s">
        <v>435</v>
      </c>
      <c r="E12" s="719" t="s">
        <v>600</v>
      </c>
      <c r="F12" s="719" t="s">
        <v>820</v>
      </c>
      <c r="G12" s="720" t="s">
        <v>405</v>
      </c>
    </row>
    <row r="13" spans="1:7" x14ac:dyDescent="0.3">
      <c r="A13" s="721" t="s">
        <v>436</v>
      </c>
      <c r="B13" s="372"/>
      <c r="C13" s="372">
        <v>277000000</v>
      </c>
      <c r="D13" s="372"/>
      <c r="E13" s="372"/>
      <c r="F13" s="372"/>
      <c r="G13" s="722">
        <f>SUM(B13:F13)</f>
        <v>277000000</v>
      </c>
    </row>
    <row r="14" spans="1:7" x14ac:dyDescent="0.3">
      <c r="A14" s="723" t="s">
        <v>437</v>
      </c>
      <c r="B14" s="373"/>
      <c r="C14" s="373"/>
      <c r="D14" s="373"/>
      <c r="E14" s="373"/>
      <c r="F14" s="373"/>
      <c r="G14" s="724"/>
    </row>
    <row r="15" spans="1:7" x14ac:dyDescent="0.3">
      <c r="A15" s="725" t="s">
        <v>438</v>
      </c>
      <c r="B15" s="374"/>
      <c r="C15" s="374">
        <v>277000000</v>
      </c>
      <c r="D15" s="374"/>
      <c r="E15" s="374"/>
      <c r="F15" s="374"/>
      <c r="G15" s="726">
        <f>SUM(B15:F15)</f>
        <v>277000000</v>
      </c>
    </row>
    <row r="16" spans="1:7" ht="15" customHeight="1" x14ac:dyDescent="0.3">
      <c r="A16" s="725"/>
      <c r="B16" s="374"/>
      <c r="C16" s="374"/>
      <c r="D16" s="374"/>
      <c r="E16" s="374"/>
      <c r="F16" s="374"/>
      <c r="G16" s="726"/>
    </row>
    <row r="17" spans="1:11" x14ac:dyDescent="0.3">
      <c r="A17" s="721" t="s">
        <v>439</v>
      </c>
      <c r="B17" s="375">
        <v>0</v>
      </c>
      <c r="C17" s="375">
        <f>SUM(C18:C26)</f>
        <v>803250</v>
      </c>
      <c r="D17" s="375">
        <f>SUM(D18:D26)</f>
        <v>81672690</v>
      </c>
      <c r="E17" s="375">
        <f>SUM(E18:E26)</f>
        <v>129222732</v>
      </c>
      <c r="F17" s="375">
        <f>SUM(F21:F22)</f>
        <v>65301328</v>
      </c>
      <c r="G17" s="727">
        <f>SUM(B17:F17)</f>
        <v>277000000</v>
      </c>
    </row>
    <row r="18" spans="1:11" x14ac:dyDescent="0.3">
      <c r="A18" s="723" t="s">
        <v>437</v>
      </c>
      <c r="B18" s="373"/>
      <c r="C18" s="373"/>
      <c r="D18" s="373"/>
      <c r="E18" s="373"/>
      <c r="F18" s="373"/>
      <c r="G18" s="724"/>
    </row>
    <row r="19" spans="1:11" x14ac:dyDescent="0.3">
      <c r="A19" s="728" t="s">
        <v>440</v>
      </c>
      <c r="B19" s="376"/>
      <c r="C19" s="376">
        <v>0</v>
      </c>
      <c r="D19" s="376">
        <v>0</v>
      </c>
      <c r="E19" s="376">
        <v>0</v>
      </c>
      <c r="F19" s="376"/>
      <c r="G19" s="726">
        <v>0</v>
      </c>
    </row>
    <row r="20" spans="1:11" ht="26" x14ac:dyDescent="0.3">
      <c r="A20" s="728" t="s">
        <v>206</v>
      </c>
      <c r="B20" s="376"/>
      <c r="C20" s="376">
        <v>0</v>
      </c>
      <c r="D20" s="376">
        <v>0</v>
      </c>
      <c r="E20" s="376">
        <v>0</v>
      </c>
      <c r="F20" s="376"/>
      <c r="G20" s="726">
        <v>0</v>
      </c>
    </row>
    <row r="21" spans="1:11" x14ac:dyDescent="0.3">
      <c r="A21" s="728" t="s">
        <v>441</v>
      </c>
      <c r="B21" s="376">
        <v>0</v>
      </c>
      <c r="C21" s="376">
        <v>803250</v>
      </c>
      <c r="D21" s="376">
        <v>18139923</v>
      </c>
      <c r="E21" s="376">
        <v>5157198</v>
      </c>
      <c r="F21" s="376">
        <v>3268561</v>
      </c>
      <c r="G21" s="726">
        <f>SUM(B21:F21)</f>
        <v>27368932</v>
      </c>
    </row>
    <row r="22" spans="1:11" x14ac:dyDescent="0.3">
      <c r="A22" s="728" t="s">
        <v>442</v>
      </c>
      <c r="B22" s="376">
        <v>0</v>
      </c>
      <c r="C22" s="376">
        <v>0</v>
      </c>
      <c r="D22" s="376">
        <v>63532767</v>
      </c>
      <c r="E22" s="376">
        <v>124065534</v>
      </c>
      <c r="F22" s="376">
        <v>62032767</v>
      </c>
      <c r="G22" s="726">
        <f>SUM(D22:F22)</f>
        <v>249631068</v>
      </c>
    </row>
    <row r="23" spans="1:11" x14ac:dyDescent="0.3">
      <c r="A23" s="725" t="s">
        <v>437</v>
      </c>
      <c r="B23" s="376"/>
      <c r="C23" s="376"/>
      <c r="D23" s="376"/>
      <c r="E23" s="376"/>
      <c r="F23" s="376"/>
      <c r="G23" s="726"/>
    </row>
    <row r="24" spans="1:11" x14ac:dyDescent="0.3">
      <c r="A24" s="725" t="s">
        <v>891</v>
      </c>
      <c r="B24" s="376"/>
      <c r="C24" s="376"/>
      <c r="D24" s="376"/>
      <c r="E24" s="376"/>
      <c r="F24" s="376">
        <v>0</v>
      </c>
      <c r="G24" s="726">
        <v>0</v>
      </c>
    </row>
    <row r="25" spans="1:11" x14ac:dyDescent="0.3">
      <c r="A25" s="728" t="s">
        <v>443</v>
      </c>
      <c r="B25" s="376"/>
      <c r="C25" s="376"/>
      <c r="D25" s="376"/>
      <c r="E25" s="376"/>
      <c r="F25" s="376"/>
      <c r="G25" s="726">
        <v>0</v>
      </c>
    </row>
    <row r="26" spans="1:11" x14ac:dyDescent="0.3">
      <c r="A26" s="728" t="s">
        <v>235</v>
      </c>
      <c r="B26" s="376"/>
      <c r="C26" s="376"/>
      <c r="D26" s="376"/>
      <c r="E26" s="376"/>
      <c r="F26" s="376"/>
      <c r="G26" s="726">
        <v>0</v>
      </c>
    </row>
    <row r="27" spans="1:11" ht="27" x14ac:dyDescent="0.3">
      <c r="A27" s="729" t="s">
        <v>444</v>
      </c>
      <c r="B27" s="377">
        <v>0</v>
      </c>
      <c r="C27" s="377">
        <v>5405991</v>
      </c>
      <c r="D27" s="377">
        <v>77069949</v>
      </c>
      <c r="E27" s="377">
        <v>129222732</v>
      </c>
      <c r="F27" s="377">
        <v>65301328</v>
      </c>
      <c r="G27" s="730">
        <f>SUM(B27:F27)</f>
        <v>277000000</v>
      </c>
    </row>
    <row r="28" spans="1:11" ht="27.5" thickBot="1" x14ac:dyDescent="0.35">
      <c r="A28" s="731" t="s">
        <v>445</v>
      </c>
      <c r="B28" s="732">
        <v>0</v>
      </c>
      <c r="C28" s="732">
        <v>0</v>
      </c>
      <c r="D28" s="732"/>
      <c r="E28" s="732"/>
      <c r="F28" s="732"/>
      <c r="G28" s="733">
        <v>0</v>
      </c>
    </row>
    <row r="29" spans="1:11" x14ac:dyDescent="0.3">
      <c r="A29" s="47"/>
      <c r="B29" s="46"/>
      <c r="C29" s="46"/>
      <c r="D29" s="46"/>
      <c r="E29" s="46"/>
    </row>
    <row r="30" spans="1:11" ht="13.5" thickBot="1" x14ac:dyDescent="0.35">
      <c r="A30" s="48"/>
      <c r="B30" s="46"/>
      <c r="C30" s="46"/>
      <c r="D30" s="46"/>
      <c r="E30" s="46"/>
    </row>
    <row r="31" spans="1:11" ht="17.5" x14ac:dyDescent="0.3">
      <c r="A31" s="872" t="s">
        <v>446</v>
      </c>
      <c r="B31" s="873"/>
      <c r="C31" s="873"/>
      <c r="D31" s="873"/>
      <c r="E31" s="873"/>
      <c r="F31" s="873"/>
      <c r="G31" s="874"/>
    </row>
    <row r="32" spans="1:11" ht="15" x14ac:dyDescent="0.3">
      <c r="A32" s="708"/>
      <c r="B32" s="875"/>
      <c r="C32" s="875"/>
      <c r="D32" s="734"/>
      <c r="E32" s="734"/>
      <c r="F32" s="734"/>
      <c r="G32" s="735"/>
      <c r="H32" s="46"/>
      <c r="I32" s="46"/>
      <c r="J32" s="46"/>
      <c r="K32" s="46"/>
    </row>
    <row r="33" spans="1:11" x14ac:dyDescent="0.3">
      <c r="A33" s="711" t="s">
        <v>428</v>
      </c>
      <c r="B33" s="865" t="s">
        <v>816</v>
      </c>
      <c r="C33" s="865"/>
      <c r="D33" s="865"/>
      <c r="E33" s="865"/>
      <c r="F33" s="865"/>
      <c r="G33" s="866"/>
      <c r="H33" s="46"/>
      <c r="I33" s="46"/>
      <c r="J33" s="46"/>
      <c r="K33" s="46"/>
    </row>
    <row r="34" spans="1:11" ht="12.75" customHeight="1" x14ac:dyDescent="0.3">
      <c r="A34" s="711" t="s">
        <v>892</v>
      </c>
      <c r="B34" s="865" t="s">
        <v>893</v>
      </c>
      <c r="C34" s="865"/>
      <c r="D34" s="865"/>
      <c r="E34" s="865"/>
      <c r="F34" s="865"/>
      <c r="G34" s="866"/>
      <c r="H34" s="46"/>
      <c r="I34" s="46"/>
      <c r="J34" s="46"/>
      <c r="K34" s="46"/>
    </row>
    <row r="35" spans="1:11" ht="12.75" customHeight="1" x14ac:dyDescent="0.3">
      <c r="A35" s="711" t="s">
        <v>888</v>
      </c>
      <c r="B35" s="865" t="s">
        <v>894</v>
      </c>
      <c r="C35" s="865"/>
      <c r="D35" s="865"/>
      <c r="E35" s="865"/>
      <c r="F35" s="865"/>
      <c r="G35" s="866"/>
      <c r="H35" s="46"/>
      <c r="I35" s="46"/>
      <c r="J35" s="46"/>
      <c r="K35" s="46"/>
    </row>
    <row r="36" spans="1:11" ht="12.75" customHeight="1" x14ac:dyDescent="0.3">
      <c r="A36" s="711" t="s">
        <v>890</v>
      </c>
      <c r="B36" s="870">
        <v>90000000</v>
      </c>
      <c r="C36" s="870"/>
      <c r="D36" s="150"/>
      <c r="E36" s="150"/>
      <c r="F36" s="150"/>
      <c r="G36" s="712"/>
      <c r="H36" s="46"/>
      <c r="I36" s="46"/>
      <c r="J36" s="46"/>
      <c r="K36" s="46"/>
    </row>
    <row r="37" spans="1:11" ht="15.5" x14ac:dyDescent="0.3">
      <c r="A37" s="711" t="s">
        <v>814</v>
      </c>
      <c r="B37" s="870" t="s">
        <v>381</v>
      </c>
      <c r="C37" s="870"/>
      <c r="D37" s="870"/>
      <c r="E37" s="706"/>
      <c r="F37" s="706"/>
      <c r="G37" s="712"/>
      <c r="H37" s="46"/>
      <c r="I37" s="46"/>
      <c r="J37" s="46"/>
      <c r="K37" s="46"/>
    </row>
    <row r="38" spans="1:11" ht="15.75" customHeight="1" x14ac:dyDescent="0.3">
      <c r="A38" s="711" t="s">
        <v>430</v>
      </c>
      <c r="B38" s="867">
        <v>1</v>
      </c>
      <c r="C38" s="867"/>
      <c r="D38" s="707"/>
      <c r="E38" s="707"/>
      <c r="F38" s="707"/>
      <c r="G38" s="712"/>
      <c r="H38" s="46"/>
      <c r="I38" s="46"/>
      <c r="J38" s="46"/>
      <c r="K38" s="46"/>
    </row>
    <row r="39" spans="1:11" ht="15.5" x14ac:dyDescent="0.3">
      <c r="A39" s="711" t="s">
        <v>431</v>
      </c>
      <c r="B39" s="868">
        <v>42917</v>
      </c>
      <c r="C39" s="868"/>
      <c r="D39" s="705"/>
      <c r="E39" s="705"/>
      <c r="F39" s="705"/>
      <c r="G39" s="712"/>
      <c r="H39" s="46"/>
      <c r="I39" s="46"/>
      <c r="J39" s="46"/>
      <c r="K39" s="46"/>
    </row>
    <row r="40" spans="1:11" ht="15.5" x14ac:dyDescent="0.3">
      <c r="A40" s="711" t="s">
        <v>432</v>
      </c>
      <c r="B40" s="868">
        <v>43465</v>
      </c>
      <c r="C40" s="868"/>
      <c r="D40" s="705"/>
      <c r="E40" s="705"/>
      <c r="F40" s="705"/>
      <c r="G40" s="712"/>
      <c r="H40" s="46"/>
      <c r="I40" s="46"/>
      <c r="J40" s="46"/>
      <c r="K40" s="46"/>
    </row>
    <row r="41" spans="1:11" ht="13.5" thickBot="1" x14ac:dyDescent="0.35">
      <c r="A41" s="714"/>
      <c r="B41" s="715"/>
      <c r="C41" s="715"/>
      <c r="D41" s="715"/>
      <c r="E41" s="715"/>
      <c r="F41" s="715"/>
      <c r="G41" s="716"/>
      <c r="H41" s="46"/>
      <c r="I41" s="46"/>
      <c r="J41" s="46"/>
      <c r="K41" s="46"/>
    </row>
    <row r="42" spans="1:11" ht="26" x14ac:dyDescent="0.3">
      <c r="A42" s="717" t="s">
        <v>267</v>
      </c>
      <c r="B42" s="718" t="s">
        <v>433</v>
      </c>
      <c r="C42" s="719" t="s">
        <v>895</v>
      </c>
      <c r="D42" s="719" t="s">
        <v>435</v>
      </c>
      <c r="E42" s="736" t="s">
        <v>600</v>
      </c>
      <c r="F42" s="736" t="s">
        <v>820</v>
      </c>
      <c r="G42" s="720" t="s">
        <v>405</v>
      </c>
      <c r="H42" s="46"/>
      <c r="I42" s="46"/>
      <c r="J42" s="46"/>
      <c r="K42" s="46"/>
    </row>
    <row r="43" spans="1:11" x14ac:dyDescent="0.3">
      <c r="A43" s="721" t="s">
        <v>436</v>
      </c>
      <c r="B43" s="372"/>
      <c r="C43" s="372">
        <v>90000000</v>
      </c>
      <c r="D43" s="372"/>
      <c r="E43" s="737"/>
      <c r="F43" s="737"/>
      <c r="G43" s="722">
        <f>C43</f>
        <v>90000000</v>
      </c>
      <c r="H43" s="46"/>
      <c r="I43" s="46"/>
      <c r="J43" s="46"/>
      <c r="K43" s="46"/>
    </row>
    <row r="44" spans="1:11" x14ac:dyDescent="0.3">
      <c r="A44" s="723" t="s">
        <v>437</v>
      </c>
      <c r="B44" s="373"/>
      <c r="C44" s="373"/>
      <c r="D44" s="373"/>
      <c r="E44" s="738"/>
      <c r="F44" s="738"/>
      <c r="G44" s="724"/>
      <c r="H44" s="46"/>
      <c r="I44" s="46"/>
      <c r="J44" s="46"/>
      <c r="K44" s="46"/>
    </row>
    <row r="45" spans="1:11" x14ac:dyDescent="0.3">
      <c r="A45" s="725" t="s">
        <v>438</v>
      </c>
      <c r="B45" s="374"/>
      <c r="C45" s="374">
        <f>C43</f>
        <v>90000000</v>
      </c>
      <c r="D45" s="374"/>
      <c r="E45" s="739"/>
      <c r="F45" s="739"/>
      <c r="G45" s="726">
        <v>90000000</v>
      </c>
      <c r="H45" s="46"/>
      <c r="I45" s="46"/>
      <c r="J45" s="46"/>
      <c r="K45" s="46"/>
    </row>
    <row r="46" spans="1:11" x14ac:dyDescent="0.3">
      <c r="A46" s="725"/>
      <c r="B46" s="374"/>
      <c r="C46" s="374"/>
      <c r="D46" s="374"/>
      <c r="E46" s="739"/>
      <c r="F46" s="739"/>
      <c r="G46" s="726"/>
      <c r="H46" s="46"/>
      <c r="I46" s="46"/>
      <c r="J46" s="46"/>
      <c r="K46" s="46"/>
    </row>
    <row r="47" spans="1:11" x14ac:dyDescent="0.3">
      <c r="A47" s="721" t="s">
        <v>439</v>
      </c>
      <c r="B47" s="375">
        <f>SUM(B48:B56)</f>
        <v>4424000</v>
      </c>
      <c r="C47" s="375">
        <v>5041500</v>
      </c>
      <c r="D47" s="375">
        <f>SUM(D48:D56)</f>
        <v>80534500</v>
      </c>
      <c r="E47" s="740"/>
      <c r="F47" s="740"/>
      <c r="G47" s="727">
        <f>SUM(B47:D47)</f>
        <v>90000000</v>
      </c>
      <c r="H47" s="46"/>
      <c r="I47" s="46"/>
      <c r="J47" s="46"/>
      <c r="K47" s="46"/>
    </row>
    <row r="48" spans="1:11" x14ac:dyDescent="0.3">
      <c r="A48" s="723" t="s">
        <v>437</v>
      </c>
      <c r="B48" s="373"/>
      <c r="C48" s="373"/>
      <c r="D48" s="373"/>
      <c r="E48" s="738"/>
      <c r="F48" s="738"/>
      <c r="G48" s="724"/>
      <c r="H48" s="46"/>
      <c r="I48" s="46"/>
      <c r="J48" s="46"/>
      <c r="K48" s="46"/>
    </row>
    <row r="49" spans="1:11" x14ac:dyDescent="0.3">
      <c r="A49" s="728" t="s">
        <v>440</v>
      </c>
      <c r="B49" s="376"/>
      <c r="C49" s="376">
        <v>0</v>
      </c>
      <c r="D49" s="376">
        <v>0</v>
      </c>
      <c r="E49" s="741"/>
      <c r="F49" s="741"/>
      <c r="G49" s="726">
        <v>0</v>
      </c>
      <c r="H49" s="46"/>
      <c r="I49" s="46"/>
      <c r="J49" s="46"/>
      <c r="K49" s="46"/>
    </row>
    <row r="50" spans="1:11" ht="26" x14ac:dyDescent="0.3">
      <c r="A50" s="728" t="s">
        <v>206</v>
      </c>
      <c r="B50" s="376"/>
      <c r="C50" s="376">
        <v>0</v>
      </c>
      <c r="D50" s="376">
        <v>0</v>
      </c>
      <c r="E50" s="741"/>
      <c r="F50" s="741"/>
      <c r="G50" s="726">
        <v>0</v>
      </c>
      <c r="H50" s="46"/>
      <c r="I50" s="46"/>
      <c r="J50" s="742"/>
      <c r="K50" s="46"/>
    </row>
    <row r="51" spans="1:11" x14ac:dyDescent="0.3">
      <c r="A51" s="728" t="s">
        <v>441</v>
      </c>
      <c r="B51" s="376">
        <v>4424000</v>
      </c>
      <c r="C51" s="376">
        <v>5041500</v>
      </c>
      <c r="D51" s="376"/>
      <c r="E51" s="741"/>
      <c r="F51" s="741"/>
      <c r="G51" s="726">
        <f>SUM(B51:D51)</f>
        <v>9465500</v>
      </c>
      <c r="H51" s="46"/>
      <c r="I51" s="46"/>
      <c r="J51" s="46"/>
      <c r="K51" s="46"/>
    </row>
    <row r="52" spans="1:11" x14ac:dyDescent="0.3">
      <c r="A52" s="728" t="s">
        <v>442</v>
      </c>
      <c r="B52" s="376"/>
      <c r="C52" s="376">
        <v>0</v>
      </c>
      <c r="D52" s="376">
        <v>78048010</v>
      </c>
      <c r="E52" s="741"/>
      <c r="F52" s="741"/>
      <c r="G52" s="726">
        <f>SUM(D52:D52)</f>
        <v>78048010</v>
      </c>
      <c r="H52" s="46"/>
      <c r="I52" s="46"/>
      <c r="J52" s="46"/>
      <c r="K52" s="46"/>
    </row>
    <row r="53" spans="1:11" x14ac:dyDescent="0.3">
      <c r="A53" s="725" t="s">
        <v>437</v>
      </c>
      <c r="B53" s="376"/>
      <c r="C53" s="376"/>
      <c r="D53" s="376"/>
      <c r="E53" s="741"/>
      <c r="F53" s="741"/>
      <c r="G53" s="726"/>
      <c r="H53" s="46"/>
      <c r="I53" s="46"/>
      <c r="J53" s="46"/>
      <c r="K53" s="46"/>
    </row>
    <row r="54" spans="1:11" x14ac:dyDescent="0.3">
      <c r="A54" s="725" t="s">
        <v>891</v>
      </c>
      <c r="B54" s="376"/>
      <c r="C54" s="376"/>
      <c r="D54" s="376">
        <v>2486490</v>
      </c>
      <c r="E54" s="741"/>
      <c r="F54" s="741"/>
      <c r="G54" s="726">
        <v>2486490</v>
      </c>
      <c r="H54" s="46"/>
      <c r="I54" s="46"/>
      <c r="J54" s="46"/>
      <c r="K54" s="46"/>
    </row>
    <row r="55" spans="1:11" x14ac:dyDescent="0.3">
      <c r="A55" s="728" t="s">
        <v>443</v>
      </c>
      <c r="B55" s="376"/>
      <c r="C55" s="376"/>
      <c r="D55" s="376"/>
      <c r="E55" s="741"/>
      <c r="F55" s="741"/>
      <c r="G55" s="726">
        <v>0</v>
      </c>
    </row>
    <row r="56" spans="1:11" x14ac:dyDescent="0.3">
      <c r="A56" s="728" t="s">
        <v>235</v>
      </c>
      <c r="B56" s="376"/>
      <c r="C56" s="376"/>
      <c r="D56" s="376"/>
      <c r="E56" s="741"/>
      <c r="F56" s="741"/>
      <c r="G56" s="726">
        <v>0</v>
      </c>
    </row>
    <row r="57" spans="1:11" ht="27" x14ac:dyDescent="0.3">
      <c r="A57" s="729" t="s">
        <v>444</v>
      </c>
      <c r="B57" s="377">
        <v>4424000</v>
      </c>
      <c r="C57" s="377">
        <v>5041500</v>
      </c>
      <c r="D57" s="377">
        <v>80534500</v>
      </c>
      <c r="E57" s="743"/>
      <c r="F57" s="743"/>
      <c r="G57" s="730">
        <f>SUM(B57,C57,D57)</f>
        <v>90000000</v>
      </c>
    </row>
    <row r="58" spans="1:11" ht="27.5" thickBot="1" x14ac:dyDescent="0.35">
      <c r="A58" s="731" t="s">
        <v>445</v>
      </c>
      <c r="B58" s="732">
        <v>0</v>
      </c>
      <c r="C58" s="732">
        <v>0</v>
      </c>
      <c r="D58" s="732"/>
      <c r="E58" s="744"/>
      <c r="F58" s="744"/>
      <c r="G58" s="733">
        <v>0</v>
      </c>
    </row>
    <row r="59" spans="1:11" ht="13.5" x14ac:dyDescent="0.3">
      <c r="A59" s="745"/>
      <c r="B59" s="746"/>
      <c r="C59" s="746"/>
      <c r="D59" s="746"/>
      <c r="E59" s="746"/>
      <c r="F59" s="747"/>
    </row>
    <row r="60" spans="1:11" ht="12.75" customHeight="1" thickBot="1" x14ac:dyDescent="0.35"/>
    <row r="61" spans="1:11" ht="12.75" customHeight="1" x14ac:dyDescent="0.3">
      <c r="A61" s="872" t="s">
        <v>446</v>
      </c>
      <c r="B61" s="873"/>
      <c r="C61" s="873"/>
      <c r="D61" s="873"/>
      <c r="E61" s="873"/>
      <c r="F61" s="873"/>
      <c r="G61" s="874"/>
    </row>
    <row r="62" spans="1:11" ht="12.75" customHeight="1" x14ac:dyDescent="0.3">
      <c r="A62" s="708"/>
      <c r="B62" s="875"/>
      <c r="C62" s="875"/>
      <c r="D62" s="734"/>
      <c r="E62" s="734"/>
      <c r="F62" s="734"/>
      <c r="G62" s="735"/>
    </row>
    <row r="63" spans="1:11" x14ac:dyDescent="0.3">
      <c r="A63" s="711" t="s">
        <v>428</v>
      </c>
      <c r="B63" s="865" t="s">
        <v>896</v>
      </c>
      <c r="C63" s="865"/>
      <c r="D63" s="865"/>
      <c r="E63" s="865"/>
      <c r="F63" s="865"/>
      <c r="G63" s="866"/>
    </row>
    <row r="64" spans="1:11" ht="15.75" customHeight="1" x14ac:dyDescent="0.3">
      <c r="A64" s="711" t="s">
        <v>892</v>
      </c>
      <c r="B64" s="865" t="s">
        <v>897</v>
      </c>
      <c r="C64" s="865"/>
      <c r="D64" s="865"/>
      <c r="E64" s="865"/>
      <c r="F64" s="865"/>
      <c r="G64" s="866"/>
    </row>
    <row r="65" spans="1:7" ht="15.75" customHeight="1" x14ac:dyDescent="0.3">
      <c r="A65" s="711" t="s">
        <v>888</v>
      </c>
      <c r="B65" s="865" t="s">
        <v>898</v>
      </c>
      <c r="C65" s="865"/>
      <c r="D65" s="865"/>
      <c r="E65" s="865"/>
      <c r="F65" s="865"/>
      <c r="G65" s="866"/>
    </row>
    <row r="66" spans="1:7" ht="15.5" x14ac:dyDescent="0.3">
      <c r="A66" s="711" t="s">
        <v>890</v>
      </c>
      <c r="B66" s="870">
        <v>60348839</v>
      </c>
      <c r="C66" s="870"/>
      <c r="D66" s="150"/>
      <c r="E66" s="150"/>
      <c r="F66" s="150"/>
      <c r="G66" s="712"/>
    </row>
    <row r="67" spans="1:7" ht="15.5" x14ac:dyDescent="0.3">
      <c r="A67" s="711" t="s">
        <v>814</v>
      </c>
      <c r="B67" s="870" t="s">
        <v>381</v>
      </c>
      <c r="C67" s="870"/>
      <c r="D67" s="870"/>
      <c r="E67" s="706"/>
      <c r="F67" s="706"/>
      <c r="G67" s="712"/>
    </row>
    <row r="68" spans="1:7" ht="15.5" x14ac:dyDescent="0.3">
      <c r="A68" s="711" t="s">
        <v>430</v>
      </c>
      <c r="B68" s="867">
        <v>1</v>
      </c>
      <c r="C68" s="867"/>
      <c r="D68" s="707"/>
      <c r="E68" s="707"/>
      <c r="F68" s="707"/>
      <c r="G68" s="712"/>
    </row>
    <row r="69" spans="1:7" ht="15.5" x14ac:dyDescent="0.3">
      <c r="A69" s="711" t="s">
        <v>431</v>
      </c>
      <c r="B69" s="868">
        <v>42917</v>
      </c>
      <c r="C69" s="869"/>
      <c r="D69" s="705"/>
      <c r="E69" s="705"/>
      <c r="F69" s="705"/>
      <c r="G69" s="712"/>
    </row>
    <row r="70" spans="1:7" ht="15.5" x14ac:dyDescent="0.3">
      <c r="A70" s="711" t="s">
        <v>432</v>
      </c>
      <c r="B70" s="868">
        <v>43465</v>
      </c>
      <c r="C70" s="869"/>
      <c r="D70" s="705"/>
      <c r="E70" s="705"/>
      <c r="F70" s="705"/>
      <c r="G70" s="712"/>
    </row>
    <row r="71" spans="1:7" ht="13.5" thickBot="1" x14ac:dyDescent="0.35">
      <c r="A71" s="714"/>
      <c r="B71" s="715"/>
      <c r="C71" s="715"/>
      <c r="D71" s="715"/>
      <c r="E71" s="715"/>
      <c r="F71" s="715"/>
      <c r="G71" s="716"/>
    </row>
    <row r="72" spans="1:7" ht="26" x14ac:dyDescent="0.3">
      <c r="A72" s="717" t="s">
        <v>267</v>
      </c>
      <c r="B72" s="718" t="s">
        <v>433</v>
      </c>
      <c r="C72" s="719" t="s">
        <v>895</v>
      </c>
      <c r="D72" s="719" t="s">
        <v>435</v>
      </c>
      <c r="E72" s="736" t="s">
        <v>600</v>
      </c>
      <c r="F72" s="736" t="s">
        <v>820</v>
      </c>
      <c r="G72" s="720" t="s">
        <v>405</v>
      </c>
    </row>
    <row r="73" spans="1:7" x14ac:dyDescent="0.3">
      <c r="A73" s="721" t="s">
        <v>436</v>
      </c>
      <c r="B73" s="372"/>
      <c r="C73" s="372">
        <v>60348839</v>
      </c>
      <c r="D73" s="372"/>
      <c r="E73" s="737"/>
      <c r="F73" s="737"/>
      <c r="G73" s="722">
        <f>C73</f>
        <v>60348839</v>
      </c>
    </row>
    <row r="74" spans="1:7" x14ac:dyDescent="0.3">
      <c r="A74" s="723" t="s">
        <v>437</v>
      </c>
      <c r="B74" s="373"/>
      <c r="C74" s="373"/>
      <c r="D74" s="373"/>
      <c r="E74" s="738"/>
      <c r="F74" s="738"/>
      <c r="G74" s="724"/>
    </row>
    <row r="75" spans="1:7" x14ac:dyDescent="0.3">
      <c r="A75" s="725" t="s">
        <v>438</v>
      </c>
      <c r="B75" s="374"/>
      <c r="C75" s="374">
        <f>C73</f>
        <v>60348839</v>
      </c>
      <c r="D75" s="374"/>
      <c r="E75" s="739"/>
      <c r="F75" s="739"/>
      <c r="G75" s="726"/>
    </row>
    <row r="76" spans="1:7" x14ac:dyDescent="0.3">
      <c r="A76" s="725"/>
      <c r="B76" s="374"/>
      <c r="C76" s="374"/>
      <c r="D76" s="374"/>
      <c r="E76" s="739"/>
      <c r="F76" s="739"/>
      <c r="G76" s="726"/>
    </row>
    <row r="77" spans="1:7" x14ac:dyDescent="0.3">
      <c r="A77" s="721" t="s">
        <v>439</v>
      </c>
      <c r="B77" s="375">
        <f>SUM(B78:B86)</f>
        <v>2976999</v>
      </c>
      <c r="C77" s="375">
        <f>SUM(C81,C82)</f>
        <v>4067179</v>
      </c>
      <c r="D77" s="375">
        <f>SUM(D84,D82,D81)</f>
        <v>53304361</v>
      </c>
      <c r="E77" s="740"/>
      <c r="F77" s="740"/>
      <c r="G77" s="727">
        <f>SUM(B77:D77)</f>
        <v>60348539</v>
      </c>
    </row>
    <row r="78" spans="1:7" x14ac:dyDescent="0.3">
      <c r="A78" s="723" t="s">
        <v>437</v>
      </c>
      <c r="B78" s="373"/>
      <c r="C78" s="373"/>
      <c r="D78" s="373"/>
      <c r="E78" s="738"/>
      <c r="F78" s="738"/>
      <c r="G78" s="724"/>
    </row>
    <row r="79" spans="1:7" x14ac:dyDescent="0.3">
      <c r="A79" s="728" t="s">
        <v>440</v>
      </c>
      <c r="B79" s="376"/>
      <c r="C79" s="376">
        <v>0</v>
      </c>
      <c r="D79" s="376">
        <v>0</v>
      </c>
      <c r="E79" s="741"/>
      <c r="F79" s="741"/>
      <c r="G79" s="726">
        <v>0</v>
      </c>
    </row>
    <row r="80" spans="1:7" ht="26" x14ac:dyDescent="0.3">
      <c r="A80" s="728" t="s">
        <v>206</v>
      </c>
      <c r="B80" s="376"/>
      <c r="C80" s="376">
        <v>0</v>
      </c>
      <c r="D80" s="376">
        <v>0</v>
      </c>
      <c r="E80" s="741"/>
      <c r="F80" s="741"/>
      <c r="G80" s="726">
        <v>0</v>
      </c>
    </row>
    <row r="81" spans="1:7" x14ac:dyDescent="0.3">
      <c r="A81" s="728" t="s">
        <v>441</v>
      </c>
      <c r="B81" s="376">
        <v>2976999</v>
      </c>
      <c r="C81" s="376">
        <v>4067179</v>
      </c>
      <c r="D81" s="376"/>
      <c r="E81" s="741"/>
      <c r="F81" s="741"/>
      <c r="G81" s="726">
        <f>SUM(B81,C81,D81)</f>
        <v>7044178</v>
      </c>
    </row>
    <row r="82" spans="1:7" x14ac:dyDescent="0.3">
      <c r="A82" s="728" t="s">
        <v>442</v>
      </c>
      <c r="B82" s="376"/>
      <c r="C82" s="376"/>
      <c r="D82" s="376">
        <v>53056621</v>
      </c>
      <c r="E82" s="741"/>
      <c r="F82" s="741"/>
      <c r="G82" s="726">
        <f>SUM(C82:D82)</f>
        <v>53056621</v>
      </c>
    </row>
    <row r="83" spans="1:7" x14ac:dyDescent="0.3">
      <c r="A83" s="725" t="s">
        <v>437</v>
      </c>
      <c r="B83" s="376"/>
      <c r="C83" s="376"/>
      <c r="D83" s="376"/>
      <c r="E83" s="741"/>
      <c r="F83" s="741"/>
      <c r="G83" s="726"/>
    </row>
    <row r="84" spans="1:7" x14ac:dyDescent="0.3">
      <c r="A84" s="725" t="s">
        <v>891</v>
      </c>
      <c r="B84" s="376"/>
      <c r="C84" s="376"/>
      <c r="D84" s="376">
        <v>247740</v>
      </c>
      <c r="E84" s="741"/>
      <c r="F84" s="741"/>
      <c r="G84" s="726">
        <v>247740</v>
      </c>
    </row>
    <row r="85" spans="1:7" x14ac:dyDescent="0.3">
      <c r="A85" s="728" t="s">
        <v>443</v>
      </c>
      <c r="B85" s="376"/>
      <c r="C85" s="376"/>
      <c r="D85" s="376"/>
      <c r="E85" s="741"/>
      <c r="F85" s="741"/>
      <c r="G85" s="726">
        <v>0</v>
      </c>
    </row>
    <row r="86" spans="1:7" x14ac:dyDescent="0.3">
      <c r="A86" s="728" t="s">
        <v>235</v>
      </c>
      <c r="B86" s="376"/>
      <c r="C86" s="376"/>
      <c r="D86" s="376"/>
      <c r="E86" s="741"/>
      <c r="F86" s="741"/>
      <c r="G86" s="726">
        <v>0</v>
      </c>
    </row>
    <row r="87" spans="1:7" ht="12.75" customHeight="1" x14ac:dyDescent="0.3">
      <c r="A87" s="729" t="s">
        <v>444</v>
      </c>
      <c r="B87" s="377">
        <v>2976999</v>
      </c>
      <c r="C87" s="377">
        <v>4067179</v>
      </c>
      <c r="D87" s="377">
        <v>53304361</v>
      </c>
      <c r="E87" s="743"/>
      <c r="F87" s="743"/>
      <c r="G87" s="730">
        <v>60348539</v>
      </c>
    </row>
    <row r="88" spans="1:7" ht="12.75" customHeight="1" thickBot="1" x14ac:dyDescent="0.35">
      <c r="A88" s="731" t="s">
        <v>445</v>
      </c>
      <c r="B88" s="732">
        <v>0</v>
      </c>
      <c r="C88" s="732">
        <v>0</v>
      </c>
      <c r="D88" s="732"/>
      <c r="E88" s="744"/>
      <c r="F88" s="744"/>
      <c r="G88" s="733">
        <v>0</v>
      </c>
    </row>
    <row r="89" spans="1:7" ht="12.75" customHeight="1" x14ac:dyDescent="0.3"/>
    <row r="90" spans="1:7" ht="13.5" thickBot="1" x14ac:dyDescent="0.35"/>
    <row r="91" spans="1:7" ht="15.75" customHeight="1" x14ac:dyDescent="0.3">
      <c r="A91" s="872" t="s">
        <v>446</v>
      </c>
      <c r="B91" s="873"/>
      <c r="C91" s="873"/>
      <c r="D91" s="873"/>
      <c r="E91" s="873"/>
      <c r="F91" s="873"/>
      <c r="G91" s="874"/>
    </row>
    <row r="92" spans="1:7" ht="15" x14ac:dyDescent="0.3">
      <c r="A92" s="708"/>
      <c r="B92" s="875"/>
      <c r="C92" s="875"/>
      <c r="D92" s="709"/>
      <c r="E92" s="709"/>
      <c r="F92" s="709"/>
      <c r="G92" s="710"/>
    </row>
    <row r="93" spans="1:7" x14ac:dyDescent="0.3">
      <c r="A93" s="711" t="s">
        <v>428</v>
      </c>
      <c r="B93" s="865" t="s">
        <v>899</v>
      </c>
      <c r="C93" s="865"/>
      <c r="D93" s="865"/>
      <c r="E93" s="865"/>
      <c r="F93" s="865"/>
      <c r="G93" s="866"/>
    </row>
    <row r="94" spans="1:7" ht="12.75" customHeight="1" x14ac:dyDescent="0.3">
      <c r="A94" s="711" t="s">
        <v>429</v>
      </c>
      <c r="B94" s="865" t="s">
        <v>900</v>
      </c>
      <c r="C94" s="865"/>
      <c r="D94" s="865"/>
      <c r="E94" s="865"/>
      <c r="F94" s="865"/>
      <c r="G94" s="866"/>
    </row>
    <row r="95" spans="1:7" ht="12.75" customHeight="1" x14ac:dyDescent="0.3">
      <c r="A95" s="711" t="s">
        <v>888</v>
      </c>
      <c r="B95" s="865" t="s">
        <v>901</v>
      </c>
      <c r="C95" s="865"/>
      <c r="D95" s="865"/>
      <c r="E95" s="865"/>
      <c r="F95" s="865"/>
      <c r="G95" s="866"/>
    </row>
    <row r="96" spans="1:7" ht="15.5" x14ac:dyDescent="0.3">
      <c r="A96" s="711" t="s">
        <v>890</v>
      </c>
      <c r="B96" s="870">
        <v>300000000</v>
      </c>
      <c r="C96" s="870"/>
      <c r="D96" s="150"/>
      <c r="E96" s="706"/>
      <c r="F96" s="706"/>
      <c r="G96" s="712"/>
    </row>
    <row r="97" spans="1:7" ht="15.75" customHeight="1" x14ac:dyDescent="0.3">
      <c r="A97" s="711" t="s">
        <v>814</v>
      </c>
      <c r="B97" s="870" t="s">
        <v>381</v>
      </c>
      <c r="C97" s="870"/>
      <c r="D97" s="870"/>
      <c r="E97" s="870"/>
      <c r="F97" s="870"/>
      <c r="G97" s="871"/>
    </row>
    <row r="98" spans="1:7" ht="15.75" customHeight="1" x14ac:dyDescent="0.3">
      <c r="A98" s="711" t="s">
        <v>601</v>
      </c>
      <c r="B98" s="870" t="s">
        <v>902</v>
      </c>
      <c r="C98" s="870"/>
      <c r="D98" s="870"/>
      <c r="E98" s="870"/>
      <c r="F98" s="870"/>
      <c r="G98" s="871"/>
    </row>
    <row r="99" spans="1:7" ht="15.5" x14ac:dyDescent="0.3">
      <c r="A99" s="711" t="s">
        <v>430</v>
      </c>
      <c r="B99" s="867">
        <v>1</v>
      </c>
      <c r="C99" s="867"/>
      <c r="D99" s="707"/>
      <c r="E99" s="707"/>
      <c r="F99" s="707"/>
      <c r="G99" s="712"/>
    </row>
    <row r="100" spans="1:7" ht="15.5" x14ac:dyDescent="0.3">
      <c r="A100" s="711" t="s">
        <v>431</v>
      </c>
      <c r="B100" s="868">
        <v>42993</v>
      </c>
      <c r="C100" s="869"/>
      <c r="D100" s="705"/>
      <c r="E100" s="705"/>
      <c r="F100" s="705"/>
      <c r="G100" s="712"/>
    </row>
    <row r="101" spans="1:7" ht="15.5" x14ac:dyDescent="0.3">
      <c r="A101" s="711" t="s">
        <v>432</v>
      </c>
      <c r="B101" s="868">
        <v>43434</v>
      </c>
      <c r="C101" s="869"/>
      <c r="D101" s="705"/>
      <c r="E101" s="705"/>
      <c r="F101" s="705"/>
      <c r="G101" s="712"/>
    </row>
    <row r="102" spans="1:7" ht="13.5" thickBot="1" x14ac:dyDescent="0.35">
      <c r="A102" s="714"/>
      <c r="B102" s="715"/>
      <c r="C102" s="715"/>
      <c r="D102" s="715"/>
      <c r="E102" s="715"/>
      <c r="F102" s="715"/>
      <c r="G102" s="716"/>
    </row>
    <row r="103" spans="1:7" ht="26" x14ac:dyDescent="0.3">
      <c r="A103" s="717" t="s">
        <v>267</v>
      </c>
      <c r="B103" s="718" t="s">
        <v>433</v>
      </c>
      <c r="C103" s="719" t="s">
        <v>434</v>
      </c>
      <c r="D103" s="719" t="s">
        <v>435</v>
      </c>
      <c r="E103" s="719" t="s">
        <v>600</v>
      </c>
      <c r="F103" s="736" t="s">
        <v>820</v>
      </c>
      <c r="G103" s="720" t="s">
        <v>405</v>
      </c>
    </row>
    <row r="104" spans="1:7" x14ac:dyDescent="0.3">
      <c r="A104" s="721" t="s">
        <v>436</v>
      </c>
      <c r="B104" s="372"/>
      <c r="C104" s="372">
        <v>299847600</v>
      </c>
      <c r="D104" s="372"/>
      <c r="E104" s="372"/>
      <c r="F104" s="737"/>
      <c r="G104" s="722">
        <v>299847600</v>
      </c>
    </row>
    <row r="105" spans="1:7" x14ac:dyDescent="0.3">
      <c r="A105" s="723" t="s">
        <v>437</v>
      </c>
      <c r="B105" s="373"/>
      <c r="C105" s="373"/>
      <c r="D105" s="373"/>
      <c r="E105" s="373"/>
      <c r="F105" s="738"/>
      <c r="G105" s="724"/>
    </row>
    <row r="106" spans="1:7" x14ac:dyDescent="0.3">
      <c r="A106" s="725" t="s">
        <v>438</v>
      </c>
      <c r="B106" s="374"/>
      <c r="C106" s="374">
        <v>299847600</v>
      </c>
      <c r="D106" s="374"/>
      <c r="E106" s="374"/>
      <c r="F106" s="739"/>
      <c r="G106" s="726">
        <v>299847600</v>
      </c>
    </row>
    <row r="107" spans="1:7" x14ac:dyDescent="0.3">
      <c r="A107" s="725"/>
      <c r="B107" s="374"/>
      <c r="C107" s="374"/>
      <c r="D107" s="374"/>
      <c r="E107" s="374"/>
      <c r="F107" s="739"/>
      <c r="G107" s="726"/>
    </row>
    <row r="108" spans="1:7" x14ac:dyDescent="0.3">
      <c r="A108" s="721" t="s">
        <v>439</v>
      </c>
      <c r="B108" s="375"/>
      <c r="C108" s="375">
        <v>0</v>
      </c>
      <c r="D108" s="375">
        <f>SUM(D110:D112)</f>
        <v>299847600</v>
      </c>
      <c r="E108" s="375">
        <v>0</v>
      </c>
      <c r="F108" s="740"/>
      <c r="G108" s="727">
        <f>SUM(B108:E108)</f>
        <v>299847600</v>
      </c>
    </row>
    <row r="109" spans="1:7" x14ac:dyDescent="0.3">
      <c r="A109" s="723" t="s">
        <v>437</v>
      </c>
      <c r="B109" s="373"/>
      <c r="C109" s="373"/>
      <c r="D109" s="373"/>
      <c r="E109" s="373"/>
      <c r="F109" s="738"/>
      <c r="G109" s="724"/>
    </row>
    <row r="110" spans="1:7" x14ac:dyDescent="0.3">
      <c r="A110" s="728" t="s">
        <v>903</v>
      </c>
      <c r="B110" s="376"/>
      <c r="C110" s="376">
        <v>0</v>
      </c>
      <c r="D110" s="376">
        <v>1233700</v>
      </c>
      <c r="E110" s="376">
        <v>0</v>
      </c>
      <c r="F110" s="741"/>
      <c r="G110" s="726">
        <v>1233700</v>
      </c>
    </row>
    <row r="111" spans="1:7" x14ac:dyDescent="0.3">
      <c r="A111" s="728" t="s">
        <v>441</v>
      </c>
      <c r="B111" s="376"/>
      <c r="C111" s="376"/>
      <c r="D111" s="376">
        <v>30114000</v>
      </c>
      <c r="E111" s="376">
        <v>0</v>
      </c>
      <c r="F111" s="741"/>
      <c r="G111" s="726">
        <f>SUM(E111,D111,C111,B111)</f>
        <v>30114000</v>
      </c>
    </row>
    <row r="112" spans="1:7" x14ac:dyDescent="0.3">
      <c r="A112" s="728" t="s">
        <v>442</v>
      </c>
      <c r="B112" s="376"/>
      <c r="C112" s="376">
        <v>0</v>
      </c>
      <c r="D112" s="376">
        <v>268499900</v>
      </c>
      <c r="E112" s="376">
        <v>0</v>
      </c>
      <c r="F112" s="741"/>
      <c r="G112" s="726">
        <f>SUM(D112,E112)</f>
        <v>268499900</v>
      </c>
    </row>
    <row r="113" spans="1:7" ht="12.75" customHeight="1" x14ac:dyDescent="0.3">
      <c r="A113" s="725" t="s">
        <v>437</v>
      </c>
      <c r="B113" s="376"/>
      <c r="C113" s="376"/>
      <c r="D113" s="376"/>
      <c r="E113" s="376"/>
      <c r="F113" s="741"/>
      <c r="G113" s="726"/>
    </row>
    <row r="114" spans="1:7" ht="12.75" customHeight="1" x14ac:dyDescent="0.3">
      <c r="A114" s="725" t="s">
        <v>891</v>
      </c>
      <c r="B114" s="376"/>
      <c r="C114" s="376"/>
      <c r="D114" s="376"/>
      <c r="E114" s="376"/>
      <c r="F114" s="741"/>
      <c r="G114" s="726"/>
    </row>
    <row r="115" spans="1:7" ht="12.75" customHeight="1" x14ac:dyDescent="0.3">
      <c r="A115" s="728" t="s">
        <v>443</v>
      </c>
      <c r="B115" s="376"/>
      <c r="C115" s="376"/>
      <c r="D115" s="376"/>
      <c r="E115" s="376"/>
      <c r="F115" s="741"/>
      <c r="G115" s="726">
        <v>0</v>
      </c>
    </row>
    <row r="116" spans="1:7" x14ac:dyDescent="0.3">
      <c r="A116" s="728" t="s">
        <v>235</v>
      </c>
      <c r="B116" s="376"/>
      <c r="C116" s="376"/>
      <c r="D116" s="376"/>
      <c r="E116" s="376"/>
      <c r="F116" s="741"/>
      <c r="G116" s="726">
        <v>0</v>
      </c>
    </row>
    <row r="117" spans="1:7" ht="15.75" customHeight="1" x14ac:dyDescent="0.3">
      <c r="A117" s="729" t="s">
        <v>444</v>
      </c>
      <c r="B117" s="377"/>
      <c r="C117" s="377"/>
      <c r="D117" s="377">
        <f>SUM(D110:D112)</f>
        <v>299847600</v>
      </c>
      <c r="E117" s="377">
        <v>0</v>
      </c>
      <c r="F117" s="743"/>
      <c r="G117" s="730">
        <f>SUM(G110:G112)</f>
        <v>299847600</v>
      </c>
    </row>
    <row r="118" spans="1:7" ht="15.75" customHeight="1" thickBot="1" x14ac:dyDescent="0.35">
      <c r="A118" s="731" t="s">
        <v>445</v>
      </c>
      <c r="B118" s="732">
        <v>0</v>
      </c>
      <c r="C118" s="732">
        <v>0</v>
      </c>
      <c r="D118" s="732"/>
      <c r="E118" s="732"/>
      <c r="F118" s="744"/>
      <c r="G118" s="733">
        <v>0</v>
      </c>
    </row>
    <row r="120" spans="1:7" ht="13.5" thickBot="1" x14ac:dyDescent="0.35"/>
    <row r="121" spans="1:7" ht="17.5" x14ac:dyDescent="0.3">
      <c r="A121" s="872" t="s">
        <v>446</v>
      </c>
      <c r="B121" s="873"/>
      <c r="C121" s="873"/>
      <c r="D121" s="873"/>
      <c r="E121" s="873"/>
      <c r="F121" s="873"/>
      <c r="G121" s="874"/>
    </row>
    <row r="122" spans="1:7" ht="15" x14ac:dyDescent="0.3">
      <c r="A122" s="708"/>
      <c r="B122" s="875"/>
      <c r="C122" s="875"/>
      <c r="D122" s="709"/>
      <c r="E122" s="709"/>
      <c r="F122" s="709"/>
      <c r="G122" s="710"/>
    </row>
    <row r="123" spans="1:7" x14ac:dyDescent="0.3">
      <c r="A123" s="711" t="s">
        <v>428</v>
      </c>
      <c r="B123" s="865" t="s">
        <v>817</v>
      </c>
      <c r="C123" s="865"/>
      <c r="D123" s="865"/>
      <c r="E123" s="865"/>
      <c r="F123" s="865"/>
      <c r="G123" s="866"/>
    </row>
    <row r="124" spans="1:7" x14ac:dyDescent="0.3">
      <c r="A124" s="711" t="s">
        <v>429</v>
      </c>
      <c r="B124" s="865" t="s">
        <v>904</v>
      </c>
      <c r="C124" s="865"/>
      <c r="D124" s="865"/>
      <c r="E124" s="865"/>
      <c r="F124" s="865"/>
      <c r="G124" s="866"/>
    </row>
    <row r="125" spans="1:7" x14ac:dyDescent="0.3">
      <c r="A125" s="711" t="s">
        <v>888</v>
      </c>
      <c r="B125" s="865" t="s">
        <v>901</v>
      </c>
      <c r="C125" s="865"/>
      <c r="D125" s="865"/>
      <c r="E125" s="865"/>
      <c r="F125" s="865"/>
      <c r="G125" s="866"/>
    </row>
    <row r="126" spans="1:7" ht="15.5" x14ac:dyDescent="0.3">
      <c r="A126" s="711" t="s">
        <v>890</v>
      </c>
      <c r="B126" s="870">
        <v>448162650</v>
      </c>
      <c r="C126" s="870"/>
      <c r="D126" s="150"/>
      <c r="E126" s="706"/>
      <c r="F126" s="706"/>
      <c r="G126" s="712"/>
    </row>
    <row r="127" spans="1:7" ht="12.75" customHeight="1" x14ac:dyDescent="0.3">
      <c r="A127" s="711" t="s">
        <v>814</v>
      </c>
      <c r="B127" s="870" t="s">
        <v>381</v>
      </c>
      <c r="C127" s="870"/>
      <c r="D127" s="870"/>
      <c r="E127" s="870"/>
      <c r="F127" s="870"/>
      <c r="G127" s="871"/>
    </row>
    <row r="128" spans="1:7" ht="12.75" customHeight="1" x14ac:dyDescent="0.3">
      <c r="A128" s="711" t="s">
        <v>601</v>
      </c>
      <c r="B128" s="870" t="s">
        <v>902</v>
      </c>
      <c r="C128" s="870"/>
      <c r="D128" s="870"/>
      <c r="E128" s="870"/>
      <c r="F128" s="870"/>
      <c r="G128" s="871"/>
    </row>
    <row r="129" spans="1:7" ht="15.5" x14ac:dyDescent="0.3">
      <c r="A129" s="711" t="s">
        <v>430</v>
      </c>
      <c r="B129" s="867">
        <v>1</v>
      </c>
      <c r="C129" s="867"/>
      <c r="D129" s="707"/>
      <c r="E129" s="707"/>
      <c r="F129" s="707"/>
      <c r="G129" s="712"/>
    </row>
    <row r="130" spans="1:7" ht="15.75" customHeight="1" x14ac:dyDescent="0.3">
      <c r="A130" s="711" t="s">
        <v>431</v>
      </c>
      <c r="B130" s="868">
        <v>42887</v>
      </c>
      <c r="C130" s="869"/>
      <c r="D130" s="705"/>
      <c r="E130" s="705"/>
      <c r="F130" s="705"/>
      <c r="G130" s="712"/>
    </row>
    <row r="131" spans="1:7" ht="15.75" customHeight="1" x14ac:dyDescent="0.3">
      <c r="A131" s="711" t="s">
        <v>432</v>
      </c>
      <c r="B131" s="868">
        <v>43646</v>
      </c>
      <c r="C131" s="869"/>
      <c r="D131" s="705"/>
      <c r="E131" s="705"/>
      <c r="F131" s="705"/>
      <c r="G131" s="712"/>
    </row>
    <row r="132" spans="1:7" ht="13.5" thickBot="1" x14ac:dyDescent="0.35">
      <c r="A132" s="714"/>
      <c r="B132" s="715"/>
      <c r="C132" s="715"/>
      <c r="D132" s="715"/>
      <c r="E132" s="715"/>
      <c r="F132" s="715"/>
      <c r="G132" s="716"/>
    </row>
    <row r="133" spans="1:7" ht="26" x14ac:dyDescent="0.3">
      <c r="A133" s="717" t="s">
        <v>267</v>
      </c>
      <c r="B133" s="718" t="s">
        <v>433</v>
      </c>
      <c r="C133" s="719" t="s">
        <v>434</v>
      </c>
      <c r="D133" s="719" t="s">
        <v>435</v>
      </c>
      <c r="E133" s="719" t="s">
        <v>600</v>
      </c>
      <c r="F133" s="736" t="s">
        <v>820</v>
      </c>
      <c r="G133" s="720" t="s">
        <v>405</v>
      </c>
    </row>
    <row r="134" spans="1:7" x14ac:dyDescent="0.3">
      <c r="A134" s="721" t="s">
        <v>436</v>
      </c>
      <c r="B134" s="372"/>
      <c r="C134" s="372">
        <v>448010250</v>
      </c>
      <c r="D134" s="372"/>
      <c r="E134" s="372"/>
      <c r="F134" s="737"/>
      <c r="G134" s="722">
        <v>448010250</v>
      </c>
    </row>
    <row r="135" spans="1:7" x14ac:dyDescent="0.3">
      <c r="A135" s="723" t="s">
        <v>437</v>
      </c>
      <c r="B135" s="373"/>
      <c r="C135" s="373"/>
      <c r="D135" s="373"/>
      <c r="E135" s="373"/>
      <c r="F135" s="738"/>
      <c r="G135" s="724"/>
    </row>
    <row r="136" spans="1:7" x14ac:dyDescent="0.3">
      <c r="A136" s="725" t="s">
        <v>438</v>
      </c>
      <c r="B136" s="374"/>
      <c r="C136" s="374">
        <v>448010250</v>
      </c>
      <c r="D136" s="374"/>
      <c r="E136" s="374"/>
      <c r="F136" s="739"/>
      <c r="G136" s="726">
        <v>448010250</v>
      </c>
    </row>
    <row r="137" spans="1:7" x14ac:dyDescent="0.3">
      <c r="A137" s="725"/>
      <c r="B137" s="374"/>
      <c r="C137" s="374"/>
      <c r="D137" s="374"/>
      <c r="E137" s="374"/>
      <c r="F137" s="739"/>
      <c r="G137" s="726"/>
    </row>
    <row r="138" spans="1:7" x14ac:dyDescent="0.3">
      <c r="A138" s="721" t="s">
        <v>439</v>
      </c>
      <c r="B138" s="375"/>
      <c r="C138" s="375">
        <v>8547350</v>
      </c>
      <c r="D138" s="375">
        <f>SUM(D139:D147)</f>
        <v>226686641</v>
      </c>
      <c r="E138" s="375">
        <f>SUM(E139:E147)</f>
        <v>212776259</v>
      </c>
      <c r="F138" s="740"/>
      <c r="G138" s="727">
        <f>SUM(B138:E138)</f>
        <v>448010250</v>
      </c>
    </row>
    <row r="139" spans="1:7" x14ac:dyDescent="0.3">
      <c r="A139" s="723" t="s">
        <v>437</v>
      </c>
      <c r="B139" s="373"/>
      <c r="C139" s="373"/>
      <c r="D139" s="373"/>
      <c r="E139" s="373"/>
      <c r="F139" s="738"/>
      <c r="G139" s="724"/>
    </row>
    <row r="140" spans="1:7" x14ac:dyDescent="0.3">
      <c r="A140" s="728" t="s">
        <v>440</v>
      </c>
      <c r="B140" s="376"/>
      <c r="C140" s="376">
        <v>0</v>
      </c>
      <c r="D140" s="376">
        <v>0</v>
      </c>
      <c r="E140" s="376">
        <v>0</v>
      </c>
      <c r="F140" s="741"/>
      <c r="G140" s="726">
        <v>0</v>
      </c>
    </row>
    <row r="141" spans="1:7" ht="12.75" customHeight="1" x14ac:dyDescent="0.3">
      <c r="A141" s="728" t="s">
        <v>206</v>
      </c>
      <c r="B141" s="376"/>
      <c r="C141" s="376">
        <v>0</v>
      </c>
      <c r="D141" s="376">
        <v>0</v>
      </c>
      <c r="E141" s="376">
        <v>0</v>
      </c>
      <c r="F141" s="741"/>
      <c r="G141" s="726">
        <v>0</v>
      </c>
    </row>
    <row r="142" spans="1:7" ht="12.75" customHeight="1" x14ac:dyDescent="0.3">
      <c r="A142" s="728" t="s">
        <v>441</v>
      </c>
      <c r="B142" s="376"/>
      <c r="C142" s="376">
        <v>8547350</v>
      </c>
      <c r="D142" s="376">
        <v>28950816</v>
      </c>
      <c r="E142" s="376">
        <v>15040434</v>
      </c>
      <c r="F142" s="741"/>
      <c r="G142" s="726">
        <f>SUM(E142,D142,C142,B142)</f>
        <v>52538600</v>
      </c>
    </row>
    <row r="143" spans="1:7" ht="12.75" customHeight="1" x14ac:dyDescent="0.3">
      <c r="A143" s="728" t="s">
        <v>442</v>
      </c>
      <c r="B143" s="376"/>
      <c r="C143" s="376">
        <v>0</v>
      </c>
      <c r="D143" s="376">
        <v>197735825</v>
      </c>
      <c r="E143" s="376">
        <v>197735825</v>
      </c>
      <c r="F143" s="741"/>
      <c r="G143" s="726">
        <f>SUM(D143,E143)</f>
        <v>395471650</v>
      </c>
    </row>
    <row r="144" spans="1:7" x14ac:dyDescent="0.3">
      <c r="A144" s="725" t="s">
        <v>437</v>
      </c>
      <c r="B144" s="376"/>
      <c r="C144" s="376"/>
      <c r="D144" s="376"/>
      <c r="E144" s="376"/>
      <c r="F144" s="741"/>
      <c r="G144" s="726"/>
    </row>
    <row r="145" spans="1:7" ht="15.75" customHeight="1" x14ac:dyDescent="0.3">
      <c r="A145" s="725" t="s">
        <v>891</v>
      </c>
      <c r="B145" s="376"/>
      <c r="C145" s="376"/>
      <c r="D145" s="376"/>
      <c r="E145" s="376"/>
      <c r="F145" s="741"/>
      <c r="G145" s="726"/>
    </row>
    <row r="146" spans="1:7" x14ac:dyDescent="0.3">
      <c r="A146" s="728" t="s">
        <v>443</v>
      </c>
      <c r="B146" s="376"/>
      <c r="C146" s="376"/>
      <c r="D146" s="376"/>
      <c r="E146" s="376"/>
      <c r="F146" s="741"/>
      <c r="G146" s="726">
        <v>0</v>
      </c>
    </row>
    <row r="147" spans="1:7" x14ac:dyDescent="0.3">
      <c r="A147" s="728" t="s">
        <v>235</v>
      </c>
      <c r="B147" s="376"/>
      <c r="C147" s="376"/>
      <c r="D147" s="376"/>
      <c r="E147" s="376"/>
      <c r="F147" s="741"/>
      <c r="G147" s="726">
        <v>0</v>
      </c>
    </row>
    <row r="148" spans="1:7" ht="27" x14ac:dyDescent="0.3">
      <c r="A148" s="729" t="s">
        <v>444</v>
      </c>
      <c r="B148" s="377"/>
      <c r="C148" s="377">
        <v>8547350</v>
      </c>
      <c r="D148" s="377">
        <f>SUM(D142,D143)</f>
        <v>226686641</v>
      </c>
      <c r="E148" s="377">
        <f>SUM(E142,E143)</f>
        <v>212776259</v>
      </c>
      <c r="F148" s="743"/>
      <c r="G148" s="730">
        <f>SUM(G142,G143)</f>
        <v>448010250</v>
      </c>
    </row>
    <row r="149" spans="1:7" ht="27.5" thickBot="1" x14ac:dyDescent="0.35">
      <c r="A149" s="731" t="s">
        <v>905</v>
      </c>
      <c r="B149" s="732">
        <v>0</v>
      </c>
      <c r="C149" s="732">
        <v>0</v>
      </c>
      <c r="D149" s="732"/>
      <c r="E149" s="732">
        <v>152400</v>
      </c>
      <c r="F149" s="744"/>
      <c r="G149" s="733">
        <v>152400</v>
      </c>
    </row>
    <row r="151" spans="1:7" ht="13.5" thickBot="1" x14ac:dyDescent="0.35"/>
    <row r="152" spans="1:7" ht="17.5" x14ac:dyDescent="0.3">
      <c r="A152" s="872" t="s">
        <v>446</v>
      </c>
      <c r="B152" s="873"/>
      <c r="C152" s="873"/>
      <c r="D152" s="873"/>
      <c r="E152" s="873"/>
      <c r="F152" s="873"/>
      <c r="G152" s="874"/>
    </row>
    <row r="153" spans="1:7" ht="15" x14ac:dyDescent="0.3">
      <c r="A153" s="708"/>
      <c r="B153" s="875"/>
      <c r="C153" s="875"/>
      <c r="D153" s="734"/>
      <c r="E153" s="734"/>
      <c r="F153" s="734"/>
      <c r="G153" s="735"/>
    </row>
    <row r="154" spans="1:7" x14ac:dyDescent="0.3">
      <c r="A154" s="711" t="s">
        <v>428</v>
      </c>
      <c r="B154" s="865" t="s">
        <v>812</v>
      </c>
      <c r="C154" s="865"/>
      <c r="D154" s="865"/>
      <c r="E154" s="865"/>
      <c r="F154" s="865"/>
      <c r="G154" s="866"/>
    </row>
    <row r="155" spans="1:7" x14ac:dyDescent="0.3">
      <c r="A155" s="711" t="s">
        <v>892</v>
      </c>
      <c r="B155" s="865" t="s">
        <v>813</v>
      </c>
      <c r="C155" s="865"/>
      <c r="D155" s="865"/>
      <c r="E155" s="865"/>
      <c r="F155" s="865"/>
      <c r="G155" s="866"/>
    </row>
    <row r="156" spans="1:7" x14ac:dyDescent="0.3">
      <c r="A156" s="711" t="s">
        <v>888</v>
      </c>
      <c r="B156" s="865" t="s">
        <v>906</v>
      </c>
      <c r="C156" s="865"/>
      <c r="D156" s="865"/>
      <c r="E156" s="865"/>
      <c r="F156" s="865"/>
      <c r="G156" s="866"/>
    </row>
    <row r="157" spans="1:7" ht="15.5" x14ac:dyDescent="0.3">
      <c r="A157" s="711" t="s">
        <v>890</v>
      </c>
      <c r="B157" s="870" t="s">
        <v>907</v>
      </c>
      <c r="C157" s="870"/>
      <c r="D157" s="150"/>
      <c r="E157" s="150"/>
      <c r="F157" s="150"/>
      <c r="G157" s="712"/>
    </row>
    <row r="158" spans="1:7" ht="12.75" customHeight="1" x14ac:dyDescent="0.3">
      <c r="A158" s="711" t="s">
        <v>814</v>
      </c>
      <c r="B158" s="870" t="s">
        <v>381</v>
      </c>
      <c r="C158" s="870"/>
      <c r="D158" s="870"/>
      <c r="E158" s="706"/>
      <c r="F158" s="706"/>
      <c r="G158" s="712"/>
    </row>
    <row r="159" spans="1:7" ht="12.75" customHeight="1" x14ac:dyDescent="0.3">
      <c r="A159" s="711" t="s">
        <v>430</v>
      </c>
      <c r="B159" s="867">
        <v>1</v>
      </c>
      <c r="C159" s="867"/>
      <c r="D159" s="707"/>
      <c r="E159" s="707"/>
      <c r="F159" s="707"/>
      <c r="G159" s="712"/>
    </row>
    <row r="160" spans="1:7" ht="15.5" x14ac:dyDescent="0.3">
      <c r="A160" s="711" t="s">
        <v>431</v>
      </c>
      <c r="B160" s="868">
        <v>42887</v>
      </c>
      <c r="C160" s="869"/>
      <c r="D160" s="705"/>
      <c r="E160" s="705"/>
      <c r="F160" s="705"/>
      <c r="G160" s="712"/>
    </row>
    <row r="161" spans="1:7" ht="15.75" customHeight="1" x14ac:dyDescent="0.3">
      <c r="A161" s="711" t="s">
        <v>432</v>
      </c>
      <c r="B161" s="868">
        <v>43524</v>
      </c>
      <c r="C161" s="869"/>
      <c r="D161" s="705"/>
      <c r="E161" s="705"/>
      <c r="F161" s="705"/>
      <c r="G161" s="712"/>
    </row>
    <row r="162" spans="1:7" ht="15.75" customHeight="1" thickBot="1" x14ac:dyDescent="0.35">
      <c r="A162" s="714"/>
      <c r="B162" s="715"/>
      <c r="C162" s="715"/>
      <c r="D162" s="715"/>
      <c r="E162" s="715"/>
      <c r="F162" s="715"/>
      <c r="G162" s="716"/>
    </row>
    <row r="163" spans="1:7" ht="26" x14ac:dyDescent="0.3">
      <c r="A163" s="717" t="s">
        <v>267</v>
      </c>
      <c r="B163" s="718" t="s">
        <v>433</v>
      </c>
      <c r="C163" s="719" t="s">
        <v>895</v>
      </c>
      <c r="D163" s="719" t="s">
        <v>435</v>
      </c>
      <c r="E163" s="736" t="s">
        <v>600</v>
      </c>
      <c r="F163" s="736" t="s">
        <v>820</v>
      </c>
      <c r="G163" s="720" t="s">
        <v>405</v>
      </c>
    </row>
    <row r="164" spans="1:7" x14ac:dyDescent="0.3">
      <c r="A164" s="721" t="s">
        <v>436</v>
      </c>
      <c r="B164" s="372"/>
      <c r="C164" s="372">
        <v>60000000</v>
      </c>
      <c r="D164" s="372"/>
      <c r="E164" s="737"/>
      <c r="F164" s="737"/>
      <c r="G164" s="722">
        <f>C164</f>
        <v>60000000</v>
      </c>
    </row>
    <row r="165" spans="1:7" x14ac:dyDescent="0.3">
      <c r="A165" s="723" t="s">
        <v>437</v>
      </c>
      <c r="B165" s="373"/>
      <c r="C165" s="373"/>
      <c r="D165" s="373"/>
      <c r="E165" s="738"/>
      <c r="F165" s="738"/>
      <c r="G165" s="724"/>
    </row>
    <row r="166" spans="1:7" x14ac:dyDescent="0.3">
      <c r="A166" s="725" t="s">
        <v>438</v>
      </c>
      <c r="B166" s="374"/>
      <c r="C166" s="374">
        <f>C164</f>
        <v>60000000</v>
      </c>
      <c r="D166" s="374"/>
      <c r="E166" s="739"/>
      <c r="F166" s="739"/>
      <c r="G166" s="726"/>
    </row>
    <row r="167" spans="1:7" x14ac:dyDescent="0.3">
      <c r="A167" s="725"/>
      <c r="B167" s="374"/>
      <c r="C167" s="374"/>
      <c r="D167" s="374"/>
      <c r="E167" s="739"/>
      <c r="F167" s="739"/>
      <c r="G167" s="726"/>
    </row>
    <row r="168" spans="1:7" ht="25.5" customHeight="1" x14ac:dyDescent="0.3">
      <c r="A168" s="721" t="s">
        <v>439</v>
      </c>
      <c r="B168" s="375">
        <f>SUM(B169:B177)</f>
        <v>2603500</v>
      </c>
      <c r="C168" s="375">
        <f>SUM(C172,C173)</f>
        <v>4124125</v>
      </c>
      <c r="D168" s="375">
        <f>SUM(D175,D173,D172)</f>
        <v>53272375</v>
      </c>
      <c r="E168" s="740"/>
      <c r="F168" s="740"/>
      <c r="G168" s="727">
        <f>SUM(B168:D168)</f>
        <v>60000000</v>
      </c>
    </row>
    <row r="169" spans="1:7" ht="12.75" customHeight="1" x14ac:dyDescent="0.3">
      <c r="A169" s="723" t="s">
        <v>437</v>
      </c>
      <c r="B169" s="373"/>
      <c r="C169" s="373"/>
      <c r="D169" s="373"/>
      <c r="E169" s="738"/>
      <c r="F169" s="738"/>
      <c r="G169" s="724"/>
    </row>
    <row r="170" spans="1:7" ht="12.75" customHeight="1" x14ac:dyDescent="0.3">
      <c r="A170" s="728" t="s">
        <v>440</v>
      </c>
      <c r="B170" s="376"/>
      <c r="C170" s="376">
        <v>0</v>
      </c>
      <c r="D170" s="376">
        <v>0</v>
      </c>
      <c r="E170" s="741"/>
      <c r="F170" s="741"/>
      <c r="G170" s="726">
        <v>0</v>
      </c>
    </row>
    <row r="171" spans="1:7" ht="26" x14ac:dyDescent="0.3">
      <c r="A171" s="728" t="s">
        <v>206</v>
      </c>
      <c r="B171" s="376"/>
      <c r="C171" s="376">
        <v>0</v>
      </c>
      <c r="D171" s="376">
        <v>0</v>
      </c>
      <c r="E171" s="741"/>
      <c r="F171" s="741"/>
      <c r="G171" s="726">
        <v>0</v>
      </c>
    </row>
    <row r="172" spans="1:7" ht="15.75" customHeight="1" x14ac:dyDescent="0.3">
      <c r="A172" s="728" t="s">
        <v>441</v>
      </c>
      <c r="B172" s="376">
        <v>2603500</v>
      </c>
      <c r="C172" s="376">
        <v>4124125</v>
      </c>
      <c r="D172" s="376"/>
      <c r="E172" s="741"/>
      <c r="F172" s="741"/>
      <c r="G172" s="726">
        <f>SUM(B172,C172,D172)</f>
        <v>6727625</v>
      </c>
    </row>
    <row r="173" spans="1:7" x14ac:dyDescent="0.3">
      <c r="A173" s="728" t="s">
        <v>442</v>
      </c>
      <c r="B173" s="376"/>
      <c r="C173" s="376"/>
      <c r="D173" s="376">
        <v>43607611</v>
      </c>
      <c r="E173" s="741"/>
      <c r="F173" s="741"/>
      <c r="G173" s="726">
        <f>SUM(C173:D173)</f>
        <v>43607611</v>
      </c>
    </row>
    <row r="174" spans="1:7" x14ac:dyDescent="0.3">
      <c r="A174" s="725" t="s">
        <v>437</v>
      </c>
      <c r="B174" s="376"/>
      <c r="C174" s="376"/>
      <c r="D174" s="376"/>
      <c r="E174" s="741"/>
      <c r="F174" s="741"/>
      <c r="G174" s="726"/>
    </row>
    <row r="175" spans="1:7" x14ac:dyDescent="0.3">
      <c r="A175" s="725" t="s">
        <v>891</v>
      </c>
      <c r="B175" s="376"/>
      <c r="C175" s="376"/>
      <c r="D175" s="376">
        <v>9664764</v>
      </c>
      <c r="E175" s="741"/>
      <c r="F175" s="741"/>
      <c r="G175" s="726">
        <v>9664764</v>
      </c>
    </row>
    <row r="176" spans="1:7" x14ac:dyDescent="0.3">
      <c r="A176" s="728" t="s">
        <v>443</v>
      </c>
      <c r="B176" s="376"/>
      <c r="C176" s="376"/>
      <c r="D176" s="376"/>
      <c r="E176" s="741"/>
      <c r="F176" s="741"/>
      <c r="G176" s="726">
        <v>0</v>
      </c>
    </row>
    <row r="177" spans="1:7" x14ac:dyDescent="0.3">
      <c r="A177" s="728" t="s">
        <v>235</v>
      </c>
      <c r="B177" s="376"/>
      <c r="C177" s="376"/>
      <c r="D177" s="376"/>
      <c r="E177" s="741"/>
      <c r="F177" s="741"/>
      <c r="G177" s="726">
        <v>0</v>
      </c>
    </row>
    <row r="178" spans="1:7" ht="27" x14ac:dyDescent="0.3">
      <c r="A178" s="729" t="s">
        <v>444</v>
      </c>
      <c r="B178" s="377">
        <v>2603500</v>
      </c>
      <c r="C178" s="377">
        <v>4124125</v>
      </c>
      <c r="D178" s="377">
        <v>53272375</v>
      </c>
      <c r="E178" s="743"/>
      <c r="F178" s="743"/>
      <c r="G178" s="730">
        <f>SUM(B178,C178,D178)</f>
        <v>60000000</v>
      </c>
    </row>
    <row r="179" spans="1:7" ht="27.5" thickBot="1" x14ac:dyDescent="0.35">
      <c r="A179" s="731" t="s">
        <v>445</v>
      </c>
      <c r="B179" s="732">
        <v>0</v>
      </c>
      <c r="C179" s="732">
        <v>0</v>
      </c>
      <c r="D179" s="732"/>
      <c r="E179" s="744"/>
      <c r="F179" s="744"/>
      <c r="G179" s="733">
        <v>0</v>
      </c>
    </row>
    <row r="181" spans="1:7" ht="13.5" thickBot="1" x14ac:dyDescent="0.35"/>
    <row r="182" spans="1:7" ht="17.5" x14ac:dyDescent="0.3">
      <c r="A182" s="872" t="s">
        <v>446</v>
      </c>
      <c r="B182" s="873"/>
      <c r="C182" s="873"/>
      <c r="D182" s="873"/>
      <c r="E182" s="873"/>
      <c r="F182" s="873"/>
      <c r="G182" s="874"/>
    </row>
    <row r="183" spans="1:7" ht="15" x14ac:dyDescent="0.3">
      <c r="A183" s="708"/>
      <c r="B183" s="875"/>
      <c r="C183" s="875"/>
      <c r="D183" s="709"/>
      <c r="E183" s="709"/>
      <c r="F183" s="709"/>
      <c r="G183" s="710"/>
    </row>
    <row r="184" spans="1:7" x14ac:dyDescent="0.3">
      <c r="A184" s="711" t="s">
        <v>428</v>
      </c>
      <c r="B184" s="865" t="s">
        <v>908</v>
      </c>
      <c r="C184" s="865"/>
      <c r="D184" s="865"/>
      <c r="E184" s="865"/>
      <c r="F184" s="865"/>
      <c r="G184" s="866"/>
    </row>
    <row r="185" spans="1:7" x14ac:dyDescent="0.3">
      <c r="A185" s="711" t="s">
        <v>429</v>
      </c>
      <c r="B185" s="865" t="s">
        <v>909</v>
      </c>
      <c r="C185" s="865"/>
      <c r="D185" s="865"/>
      <c r="E185" s="865"/>
      <c r="F185" s="865"/>
      <c r="G185" s="866"/>
    </row>
    <row r="186" spans="1:7" x14ac:dyDescent="0.3">
      <c r="A186" s="711" t="s">
        <v>888</v>
      </c>
      <c r="B186" s="865" t="s">
        <v>910</v>
      </c>
      <c r="C186" s="865"/>
      <c r="D186" s="865"/>
      <c r="E186" s="865"/>
      <c r="F186" s="865"/>
      <c r="G186" s="866"/>
    </row>
    <row r="187" spans="1:7" ht="15.5" x14ac:dyDescent="0.3">
      <c r="A187" s="711" t="s">
        <v>890</v>
      </c>
      <c r="B187" s="870">
        <v>92691160</v>
      </c>
      <c r="C187" s="870"/>
      <c r="D187" s="150"/>
      <c r="E187" s="706"/>
      <c r="F187" s="706"/>
      <c r="G187" s="712"/>
    </row>
    <row r="188" spans="1:7" ht="15.5" x14ac:dyDescent="0.3">
      <c r="A188" s="711" t="s">
        <v>814</v>
      </c>
      <c r="B188" s="870" t="s">
        <v>381</v>
      </c>
      <c r="C188" s="870"/>
      <c r="D188" s="870"/>
      <c r="E188" s="713"/>
      <c r="F188" s="713"/>
      <c r="G188" s="712"/>
    </row>
    <row r="189" spans="1:7" ht="12.75" customHeight="1" x14ac:dyDescent="0.3">
      <c r="A189" s="711" t="s">
        <v>601</v>
      </c>
      <c r="B189" s="870" t="s">
        <v>911</v>
      </c>
      <c r="C189" s="870"/>
      <c r="D189" s="870"/>
      <c r="E189" s="713"/>
      <c r="F189" s="713"/>
      <c r="G189" s="712"/>
    </row>
    <row r="190" spans="1:7" ht="12.75" customHeight="1" x14ac:dyDescent="0.3">
      <c r="A190" s="711" t="s">
        <v>430</v>
      </c>
      <c r="B190" s="867">
        <v>1</v>
      </c>
      <c r="C190" s="867"/>
      <c r="D190" s="707"/>
      <c r="E190" s="707"/>
      <c r="F190" s="707"/>
      <c r="G190" s="712"/>
    </row>
    <row r="191" spans="1:7" ht="15.5" x14ac:dyDescent="0.3">
      <c r="A191" s="711" t="s">
        <v>431</v>
      </c>
      <c r="B191" s="868">
        <v>42948</v>
      </c>
      <c r="C191" s="869"/>
      <c r="D191" s="705"/>
      <c r="E191" s="705"/>
      <c r="F191" s="705"/>
      <c r="G191" s="712"/>
    </row>
    <row r="192" spans="1:7" ht="27.75" customHeight="1" x14ac:dyDescent="0.3">
      <c r="A192" s="711" t="s">
        <v>432</v>
      </c>
      <c r="B192" s="868">
        <v>44043</v>
      </c>
      <c r="C192" s="869"/>
      <c r="D192" s="705"/>
      <c r="E192" s="705"/>
      <c r="F192" s="705"/>
      <c r="G192" s="712"/>
    </row>
    <row r="193" spans="1:7" ht="15.75" customHeight="1" thickBot="1" x14ac:dyDescent="0.35">
      <c r="A193" s="714"/>
      <c r="B193" s="715"/>
      <c r="C193" s="715"/>
      <c r="D193" s="715"/>
      <c r="E193" s="715"/>
      <c r="F193" s="715"/>
      <c r="G193" s="716"/>
    </row>
    <row r="194" spans="1:7" ht="26" x14ac:dyDescent="0.3">
      <c r="A194" s="717" t="s">
        <v>267</v>
      </c>
      <c r="B194" s="718" t="s">
        <v>433</v>
      </c>
      <c r="C194" s="719" t="s">
        <v>434</v>
      </c>
      <c r="D194" s="719" t="s">
        <v>435</v>
      </c>
      <c r="E194" s="719" t="s">
        <v>600</v>
      </c>
      <c r="F194" s="719" t="s">
        <v>820</v>
      </c>
      <c r="G194" s="720" t="s">
        <v>405</v>
      </c>
    </row>
    <row r="195" spans="1:7" x14ac:dyDescent="0.3">
      <c r="A195" s="721" t="s">
        <v>436</v>
      </c>
      <c r="B195" s="372"/>
      <c r="C195" s="372">
        <v>81983560</v>
      </c>
      <c r="D195" s="372"/>
      <c r="E195" s="372"/>
      <c r="F195" s="372"/>
      <c r="G195" s="722">
        <f>SUM(C195:F195)</f>
        <v>81983560</v>
      </c>
    </row>
    <row r="196" spans="1:7" x14ac:dyDescent="0.3">
      <c r="A196" s="723" t="s">
        <v>437</v>
      </c>
      <c r="B196" s="373"/>
      <c r="C196" s="373"/>
      <c r="D196" s="373"/>
      <c r="E196" s="373"/>
      <c r="F196" s="373"/>
      <c r="G196" s="724"/>
    </row>
    <row r="197" spans="1:7" x14ac:dyDescent="0.3">
      <c r="A197" s="725" t="s">
        <v>438</v>
      </c>
      <c r="B197" s="374"/>
      <c r="C197" s="374">
        <v>81983560</v>
      </c>
      <c r="D197" s="374"/>
      <c r="E197" s="374"/>
      <c r="F197" s="374"/>
      <c r="G197" s="726">
        <f>SUM(C197:F197)</f>
        <v>81983560</v>
      </c>
    </row>
    <row r="198" spans="1:7" x14ac:dyDescent="0.3">
      <c r="A198" s="725"/>
      <c r="B198" s="374"/>
      <c r="C198" s="374"/>
      <c r="D198" s="374"/>
      <c r="E198" s="374"/>
      <c r="F198" s="374"/>
      <c r="G198" s="726"/>
    </row>
    <row r="199" spans="1:7" x14ac:dyDescent="0.3">
      <c r="A199" s="721" t="s">
        <v>439</v>
      </c>
      <c r="B199" s="375"/>
      <c r="C199" s="375">
        <f>SUM(C200:C209)</f>
        <v>2286000</v>
      </c>
      <c r="D199" s="375">
        <f>SUM(D201:D204)</f>
        <v>28640680</v>
      </c>
      <c r="E199" s="375">
        <f>SUM(E201:E204)</f>
        <v>33391040</v>
      </c>
      <c r="F199" s="375">
        <f>SUM(F201:F204)</f>
        <v>17665840</v>
      </c>
      <c r="G199" s="727">
        <f>SUM(B199:F199)</f>
        <v>81983560</v>
      </c>
    </row>
    <row r="200" spans="1:7" x14ac:dyDescent="0.3">
      <c r="A200" s="723" t="s">
        <v>437</v>
      </c>
      <c r="B200" s="373"/>
      <c r="C200" s="373"/>
      <c r="D200" s="373"/>
      <c r="E200" s="373"/>
      <c r="F200" s="373"/>
      <c r="G200" s="724"/>
    </row>
    <row r="201" spans="1:7" x14ac:dyDescent="0.3">
      <c r="A201" s="728" t="s">
        <v>440</v>
      </c>
      <c r="B201" s="376"/>
      <c r="C201" s="376">
        <v>0</v>
      </c>
      <c r="D201" s="376">
        <v>8360000</v>
      </c>
      <c r="E201" s="376">
        <v>8360000</v>
      </c>
      <c r="F201" s="376">
        <v>4180000</v>
      </c>
      <c r="G201" s="726">
        <f>SUM(C201:F201)</f>
        <v>20900000</v>
      </c>
    </row>
    <row r="202" spans="1:7" ht="26" x14ac:dyDescent="0.3">
      <c r="A202" s="728" t="s">
        <v>206</v>
      </c>
      <c r="B202" s="376"/>
      <c r="C202" s="376">
        <v>0</v>
      </c>
      <c r="D202" s="376">
        <v>2264400</v>
      </c>
      <c r="E202" s="376">
        <v>2264400</v>
      </c>
      <c r="F202" s="376">
        <v>1132200</v>
      </c>
      <c r="G202" s="726">
        <f>SUM(D202:F202)</f>
        <v>5661000</v>
      </c>
    </row>
    <row r="203" spans="1:7" x14ac:dyDescent="0.3">
      <c r="A203" s="728" t="s">
        <v>441</v>
      </c>
      <c r="B203" s="376"/>
      <c r="C203" s="376">
        <v>2286000</v>
      </c>
      <c r="D203" s="376">
        <v>18016280</v>
      </c>
      <c r="E203" s="376">
        <v>15146640</v>
      </c>
      <c r="F203" s="376">
        <v>12353640</v>
      </c>
      <c r="G203" s="726">
        <f>SUM(B203:F203)</f>
        <v>47802560</v>
      </c>
    </row>
    <row r="204" spans="1:7" x14ac:dyDescent="0.3">
      <c r="A204" s="728" t="s">
        <v>442</v>
      </c>
      <c r="B204" s="376"/>
      <c r="C204" s="376">
        <v>0</v>
      </c>
      <c r="D204" s="376"/>
      <c r="E204" s="376">
        <v>7620000</v>
      </c>
      <c r="F204" s="376">
        <v>0</v>
      </c>
      <c r="G204" s="726">
        <f>SUM(C204:F204)</f>
        <v>7620000</v>
      </c>
    </row>
    <row r="205" spans="1:7" x14ac:dyDescent="0.3">
      <c r="A205" s="725" t="s">
        <v>437</v>
      </c>
      <c r="B205" s="376"/>
      <c r="C205" s="376"/>
      <c r="D205" s="376"/>
      <c r="E205" s="376"/>
      <c r="F205" s="376"/>
      <c r="G205" s="726"/>
    </row>
    <row r="206" spans="1:7" x14ac:dyDescent="0.3">
      <c r="A206" s="725" t="s">
        <v>891</v>
      </c>
      <c r="B206" s="376"/>
      <c r="C206" s="376"/>
      <c r="D206" s="376"/>
      <c r="E206" s="376">
        <v>7620000</v>
      </c>
      <c r="F206" s="376"/>
      <c r="G206" s="726">
        <v>0</v>
      </c>
    </row>
    <row r="207" spans="1:7" x14ac:dyDescent="0.3">
      <c r="A207" s="725" t="s">
        <v>912</v>
      </c>
      <c r="B207" s="376"/>
      <c r="C207" s="376"/>
      <c r="D207" s="376"/>
      <c r="E207" s="376"/>
      <c r="F207" s="376">
        <v>0</v>
      </c>
      <c r="G207" s="726">
        <v>0</v>
      </c>
    </row>
    <row r="208" spans="1:7" x14ac:dyDescent="0.3">
      <c r="A208" s="728" t="s">
        <v>443</v>
      </c>
      <c r="B208" s="376"/>
      <c r="C208" s="376"/>
      <c r="D208" s="376"/>
      <c r="E208" s="376"/>
      <c r="F208" s="376"/>
      <c r="G208" s="726">
        <v>0</v>
      </c>
    </row>
    <row r="209" spans="1:7" x14ac:dyDescent="0.3">
      <c r="A209" s="728" t="s">
        <v>235</v>
      </c>
      <c r="B209" s="376"/>
      <c r="C209" s="376"/>
      <c r="D209" s="376"/>
      <c r="E209" s="376"/>
      <c r="F209" s="376"/>
      <c r="G209" s="726">
        <v>0</v>
      </c>
    </row>
    <row r="210" spans="1:7" ht="27" x14ac:dyDescent="0.3">
      <c r="A210" s="729" t="s">
        <v>444</v>
      </c>
      <c r="B210" s="377"/>
      <c r="C210" s="377">
        <v>2286000</v>
      </c>
      <c r="D210" s="377">
        <v>26227680</v>
      </c>
      <c r="E210" s="377">
        <v>33391040</v>
      </c>
      <c r="F210" s="377">
        <v>0</v>
      </c>
      <c r="G210" s="730">
        <f>SUM(G201:G204)</f>
        <v>81983560</v>
      </c>
    </row>
    <row r="211" spans="1:7" ht="13.5" x14ac:dyDescent="0.3">
      <c r="A211" s="748" t="s">
        <v>913</v>
      </c>
      <c r="B211" s="749"/>
      <c r="C211" s="749"/>
      <c r="D211" s="749"/>
      <c r="E211" s="749"/>
      <c r="F211" s="749">
        <v>4200000</v>
      </c>
      <c r="G211" s="750"/>
    </row>
    <row r="212" spans="1:7" ht="27.5" thickBot="1" x14ac:dyDescent="0.35">
      <c r="A212" s="731" t="s">
        <v>445</v>
      </c>
      <c r="B212" s="732">
        <v>0</v>
      </c>
      <c r="C212" s="732">
        <v>0</v>
      </c>
      <c r="D212" s="732"/>
      <c r="E212" s="732"/>
      <c r="F212" s="732"/>
      <c r="G212" s="733"/>
    </row>
    <row r="214" spans="1:7" ht="13.5" thickBot="1" x14ac:dyDescent="0.35"/>
    <row r="215" spans="1:7" ht="17.5" x14ac:dyDescent="0.3">
      <c r="A215" s="872" t="s">
        <v>446</v>
      </c>
      <c r="B215" s="873"/>
      <c r="C215" s="873"/>
      <c r="D215" s="873"/>
      <c r="E215" s="873"/>
      <c r="F215" s="873"/>
      <c r="G215" s="874"/>
    </row>
    <row r="216" spans="1:7" ht="15" x14ac:dyDescent="0.3">
      <c r="A216" s="708"/>
      <c r="B216" s="875"/>
      <c r="C216" s="875"/>
      <c r="D216" s="709"/>
      <c r="E216" s="709"/>
      <c r="F216" s="709"/>
      <c r="G216" s="710"/>
    </row>
    <row r="217" spans="1:7" x14ac:dyDescent="0.3">
      <c r="A217" s="711" t="s">
        <v>428</v>
      </c>
      <c r="B217" s="865" t="s">
        <v>914</v>
      </c>
      <c r="C217" s="865"/>
      <c r="D217" s="865"/>
      <c r="E217" s="865"/>
      <c r="F217" s="865"/>
      <c r="G217" s="866"/>
    </row>
    <row r="218" spans="1:7" x14ac:dyDescent="0.3">
      <c r="A218" s="711" t="s">
        <v>429</v>
      </c>
      <c r="B218" s="865" t="s">
        <v>915</v>
      </c>
      <c r="C218" s="865"/>
      <c r="D218" s="865"/>
      <c r="E218" s="865"/>
      <c r="F218" s="865"/>
      <c r="G218" s="866"/>
    </row>
    <row r="219" spans="1:7" x14ac:dyDescent="0.3">
      <c r="A219" s="711" t="s">
        <v>888</v>
      </c>
      <c r="B219" s="865" t="s">
        <v>916</v>
      </c>
      <c r="C219" s="865"/>
      <c r="D219" s="865"/>
      <c r="E219" s="865"/>
      <c r="F219" s="865"/>
      <c r="G219" s="866"/>
    </row>
    <row r="220" spans="1:7" ht="15.5" x14ac:dyDescent="0.3">
      <c r="A220" s="711" t="s">
        <v>890</v>
      </c>
      <c r="B220" s="870">
        <v>138476957</v>
      </c>
      <c r="C220" s="870"/>
      <c r="D220" s="150"/>
      <c r="E220" s="706"/>
      <c r="F220" s="706"/>
      <c r="G220" s="712"/>
    </row>
    <row r="221" spans="1:7" ht="15.5" x14ac:dyDescent="0.3">
      <c r="A221" s="711" t="s">
        <v>814</v>
      </c>
      <c r="B221" s="870" t="s">
        <v>381</v>
      </c>
      <c r="C221" s="870"/>
      <c r="D221" s="870"/>
      <c r="E221" s="713"/>
      <c r="F221" s="713"/>
      <c r="G221" s="712"/>
    </row>
    <row r="222" spans="1:7" ht="15.5" x14ac:dyDescent="0.3">
      <c r="A222" s="711" t="s">
        <v>430</v>
      </c>
      <c r="B222" s="867">
        <v>1</v>
      </c>
      <c r="C222" s="867"/>
      <c r="D222" s="707"/>
      <c r="E222" s="707"/>
      <c r="F222" s="707"/>
      <c r="G222" s="712"/>
    </row>
    <row r="223" spans="1:7" ht="15.5" x14ac:dyDescent="0.3">
      <c r="A223" s="711" t="s">
        <v>431</v>
      </c>
      <c r="B223" s="868">
        <v>42948</v>
      </c>
      <c r="C223" s="869"/>
      <c r="D223" s="705"/>
      <c r="E223" s="705"/>
      <c r="F223" s="705"/>
      <c r="G223" s="712"/>
    </row>
    <row r="224" spans="1:7" ht="15.5" x14ac:dyDescent="0.3">
      <c r="A224" s="711" t="s">
        <v>432</v>
      </c>
      <c r="B224" s="868">
        <v>43404</v>
      </c>
      <c r="C224" s="869"/>
      <c r="D224" s="705"/>
      <c r="E224" s="705"/>
      <c r="F224" s="705"/>
      <c r="G224" s="712"/>
    </row>
    <row r="225" spans="1:7" ht="13.5" thickBot="1" x14ac:dyDescent="0.35">
      <c r="A225" s="714"/>
      <c r="B225" s="715"/>
      <c r="C225" s="715"/>
      <c r="D225" s="715"/>
      <c r="E225" s="715"/>
      <c r="F225" s="715"/>
      <c r="G225" s="716"/>
    </row>
    <row r="226" spans="1:7" ht="26" x14ac:dyDescent="0.3">
      <c r="A226" s="717" t="s">
        <v>267</v>
      </c>
      <c r="B226" s="718" t="s">
        <v>433</v>
      </c>
      <c r="C226" s="719" t="s">
        <v>434</v>
      </c>
      <c r="D226" s="719" t="s">
        <v>435</v>
      </c>
      <c r="E226" s="719" t="s">
        <v>600</v>
      </c>
      <c r="F226" s="719" t="s">
        <v>820</v>
      </c>
      <c r="G226" s="720" t="s">
        <v>405</v>
      </c>
    </row>
    <row r="227" spans="1:7" x14ac:dyDescent="0.3">
      <c r="A227" s="721" t="s">
        <v>436</v>
      </c>
      <c r="B227" s="372"/>
      <c r="C227" s="372">
        <v>138476957</v>
      </c>
      <c r="D227" s="372"/>
      <c r="E227" s="372"/>
      <c r="F227" s="372"/>
      <c r="G227" s="722">
        <f>SUM(C227:F227)</f>
        <v>138476957</v>
      </c>
    </row>
    <row r="228" spans="1:7" x14ac:dyDescent="0.3">
      <c r="A228" s="723" t="s">
        <v>437</v>
      </c>
      <c r="B228" s="373"/>
      <c r="C228" s="373"/>
      <c r="D228" s="373"/>
      <c r="E228" s="373"/>
      <c r="F228" s="373"/>
      <c r="G228" s="724"/>
    </row>
    <row r="229" spans="1:7" x14ac:dyDescent="0.3">
      <c r="A229" s="725" t="s">
        <v>438</v>
      </c>
      <c r="B229" s="374"/>
      <c r="C229" s="374">
        <v>138476957</v>
      </c>
      <c r="D229" s="374"/>
      <c r="E229" s="374"/>
      <c r="F229" s="374"/>
      <c r="G229" s="726">
        <f>SUM(C229:F229)</f>
        <v>138476957</v>
      </c>
    </row>
    <row r="230" spans="1:7" x14ac:dyDescent="0.3">
      <c r="A230" s="725"/>
      <c r="B230" s="374"/>
      <c r="C230" s="374"/>
      <c r="D230" s="374"/>
      <c r="E230" s="374"/>
      <c r="F230" s="374"/>
      <c r="G230" s="726"/>
    </row>
    <row r="231" spans="1:7" x14ac:dyDescent="0.3">
      <c r="A231" s="721" t="s">
        <v>439</v>
      </c>
      <c r="B231" s="375"/>
      <c r="C231" s="375"/>
      <c r="D231" s="375">
        <v>138476957</v>
      </c>
      <c r="E231" s="375">
        <f>SUM(E233:E236)</f>
        <v>0</v>
      </c>
      <c r="F231" s="375">
        <f>SUM(F233:F236)</f>
        <v>0</v>
      </c>
      <c r="G231" s="727">
        <f>SUM(B231:F231)</f>
        <v>138476957</v>
      </c>
    </row>
    <row r="232" spans="1:7" x14ac:dyDescent="0.3">
      <c r="A232" s="723" t="s">
        <v>437</v>
      </c>
      <c r="B232" s="373"/>
      <c r="C232" s="373"/>
      <c r="D232" s="373"/>
      <c r="E232" s="373"/>
      <c r="F232" s="373"/>
      <c r="G232" s="724"/>
    </row>
    <row r="233" spans="1:7" x14ac:dyDescent="0.3">
      <c r="A233" s="728" t="s">
        <v>440</v>
      </c>
      <c r="B233" s="376"/>
      <c r="C233" s="376">
        <v>0</v>
      </c>
      <c r="D233" s="376">
        <v>0</v>
      </c>
      <c r="E233" s="376">
        <v>0</v>
      </c>
      <c r="F233" s="376">
        <v>0</v>
      </c>
      <c r="G233" s="726">
        <f>SUM(C233:F233)</f>
        <v>0</v>
      </c>
    </row>
    <row r="234" spans="1:7" ht="26" x14ac:dyDescent="0.3">
      <c r="A234" s="728" t="s">
        <v>206</v>
      </c>
      <c r="B234" s="376"/>
      <c r="C234" s="376">
        <v>0</v>
      </c>
      <c r="D234" s="376">
        <v>0</v>
      </c>
      <c r="E234" s="376">
        <v>0</v>
      </c>
      <c r="F234" s="376">
        <v>0</v>
      </c>
      <c r="G234" s="726">
        <f>SUM(D234:F234)</f>
        <v>0</v>
      </c>
    </row>
    <row r="235" spans="1:7" x14ac:dyDescent="0.3">
      <c r="A235" s="728" t="s">
        <v>441</v>
      </c>
      <c r="B235" s="376"/>
      <c r="C235" s="376"/>
      <c r="D235" s="376">
        <v>13332414</v>
      </c>
      <c r="E235" s="376">
        <v>0</v>
      </c>
      <c r="F235" s="376">
        <v>0</v>
      </c>
      <c r="G235" s="726">
        <f>SUM(B235:F235)</f>
        <v>13332414</v>
      </c>
    </row>
    <row r="236" spans="1:7" x14ac:dyDescent="0.3">
      <c r="A236" s="728" t="s">
        <v>442</v>
      </c>
      <c r="B236" s="376"/>
      <c r="C236" s="376">
        <v>0</v>
      </c>
      <c r="D236" s="376">
        <v>125144543</v>
      </c>
      <c r="E236" s="376">
        <v>0</v>
      </c>
      <c r="F236" s="376">
        <v>0</v>
      </c>
      <c r="G236" s="726">
        <f>SUM(C236:F236)</f>
        <v>125144543</v>
      </c>
    </row>
    <row r="237" spans="1:7" x14ac:dyDescent="0.3">
      <c r="A237" s="725" t="s">
        <v>437</v>
      </c>
      <c r="B237" s="376"/>
      <c r="C237" s="376"/>
      <c r="D237" s="376"/>
      <c r="E237" s="376"/>
      <c r="F237" s="376"/>
      <c r="G237" s="726"/>
    </row>
    <row r="238" spans="1:7" x14ac:dyDescent="0.3">
      <c r="A238" s="725" t="s">
        <v>891</v>
      </c>
      <c r="B238" s="376"/>
      <c r="C238" s="376"/>
      <c r="D238" s="376"/>
      <c r="E238" s="376"/>
      <c r="F238" s="376">
        <v>0</v>
      </c>
      <c r="G238" s="726">
        <v>0</v>
      </c>
    </row>
    <row r="239" spans="1:7" x14ac:dyDescent="0.3">
      <c r="A239" s="725" t="s">
        <v>912</v>
      </c>
      <c r="B239" s="376"/>
      <c r="C239" s="376"/>
      <c r="D239" s="376"/>
      <c r="E239" s="376"/>
      <c r="F239" s="376">
        <v>0</v>
      </c>
      <c r="G239" s="726">
        <v>0</v>
      </c>
    </row>
    <row r="240" spans="1:7" x14ac:dyDescent="0.3">
      <c r="A240" s="728" t="s">
        <v>443</v>
      </c>
      <c r="B240" s="376"/>
      <c r="C240" s="376"/>
      <c r="D240" s="376"/>
      <c r="E240" s="376"/>
      <c r="F240" s="376"/>
      <c r="G240" s="726">
        <v>0</v>
      </c>
    </row>
    <row r="241" spans="1:7" x14ac:dyDescent="0.3">
      <c r="A241" s="728" t="s">
        <v>235</v>
      </c>
      <c r="B241" s="376"/>
      <c r="C241" s="376"/>
      <c r="D241" s="376"/>
      <c r="E241" s="376"/>
      <c r="F241" s="376"/>
      <c r="G241" s="726">
        <v>0</v>
      </c>
    </row>
    <row r="242" spans="1:7" ht="27" x14ac:dyDescent="0.3">
      <c r="A242" s="729" t="s">
        <v>444</v>
      </c>
      <c r="B242" s="377"/>
      <c r="C242" s="377"/>
      <c r="D242" s="377">
        <v>138476957</v>
      </c>
      <c r="E242" s="377">
        <v>0</v>
      </c>
      <c r="F242" s="377">
        <v>0</v>
      </c>
      <c r="G242" s="730">
        <f>SUM(G233:G236)</f>
        <v>138476957</v>
      </c>
    </row>
    <row r="243" spans="1:7" ht="27.5" thickBot="1" x14ac:dyDescent="0.35">
      <c r="A243" s="731" t="s">
        <v>445</v>
      </c>
      <c r="B243" s="732">
        <v>0</v>
      </c>
      <c r="C243" s="732">
        <v>0</v>
      </c>
      <c r="D243" s="732"/>
      <c r="E243" s="732"/>
      <c r="F243" s="732"/>
      <c r="G243" s="733"/>
    </row>
    <row r="245" spans="1:7" ht="13.5" thickBot="1" x14ac:dyDescent="0.35"/>
    <row r="246" spans="1:7" ht="17.5" x14ac:dyDescent="0.3">
      <c r="A246" s="872" t="s">
        <v>446</v>
      </c>
      <c r="B246" s="873"/>
      <c r="C246" s="873"/>
      <c r="D246" s="873"/>
      <c r="E246" s="873"/>
      <c r="F246" s="873"/>
      <c r="G246" s="874"/>
    </row>
    <row r="247" spans="1:7" ht="15" x14ac:dyDescent="0.3">
      <c r="A247" s="708"/>
      <c r="B247" s="875"/>
      <c r="C247" s="875"/>
      <c r="D247" s="709"/>
      <c r="E247" s="709"/>
      <c r="F247" s="709"/>
      <c r="G247" s="710"/>
    </row>
    <row r="248" spans="1:7" x14ac:dyDescent="0.3">
      <c r="A248" s="711" t="s">
        <v>428</v>
      </c>
      <c r="B248" s="865" t="s">
        <v>917</v>
      </c>
      <c r="C248" s="865"/>
      <c r="D248" s="865"/>
      <c r="E248" s="865"/>
      <c r="F248" s="865"/>
      <c r="G248" s="866"/>
    </row>
    <row r="249" spans="1:7" x14ac:dyDescent="0.3">
      <c r="A249" s="711" t="s">
        <v>429</v>
      </c>
      <c r="B249" s="865" t="s">
        <v>599</v>
      </c>
      <c r="C249" s="865"/>
      <c r="D249" s="865"/>
      <c r="E249" s="865"/>
      <c r="F249" s="865"/>
      <c r="G249" s="866"/>
    </row>
    <row r="250" spans="1:7" x14ac:dyDescent="0.3">
      <c r="A250" s="711" t="s">
        <v>888</v>
      </c>
      <c r="B250" s="865" t="s">
        <v>918</v>
      </c>
      <c r="C250" s="865"/>
      <c r="D250" s="865"/>
      <c r="E250" s="865"/>
      <c r="F250" s="865"/>
      <c r="G250" s="866"/>
    </row>
    <row r="251" spans="1:7" ht="15.5" x14ac:dyDescent="0.3">
      <c r="A251" s="711" t="s">
        <v>890</v>
      </c>
      <c r="B251" s="870">
        <v>322750000</v>
      </c>
      <c r="C251" s="870"/>
      <c r="D251" s="150"/>
      <c r="E251" s="706"/>
      <c r="F251" s="706"/>
      <c r="G251" s="712"/>
    </row>
    <row r="252" spans="1:7" x14ac:dyDescent="0.3">
      <c r="A252" s="711" t="s">
        <v>814</v>
      </c>
      <c r="B252" s="870" t="s">
        <v>919</v>
      </c>
      <c r="C252" s="870"/>
      <c r="D252" s="870"/>
      <c r="E252" s="870"/>
      <c r="F252" s="870"/>
      <c r="G252" s="871"/>
    </row>
    <row r="253" spans="1:7" x14ac:dyDescent="0.3">
      <c r="A253" s="711" t="s">
        <v>601</v>
      </c>
      <c r="B253" s="870" t="s">
        <v>920</v>
      </c>
      <c r="C253" s="870"/>
      <c r="D253" s="870"/>
      <c r="E253" s="870"/>
      <c r="F253" s="870"/>
      <c r="G253" s="871"/>
    </row>
    <row r="254" spans="1:7" ht="15.5" x14ac:dyDescent="0.3">
      <c r="A254" s="711" t="s">
        <v>430</v>
      </c>
      <c r="B254" s="867">
        <v>1</v>
      </c>
      <c r="C254" s="867"/>
      <c r="D254" s="707"/>
      <c r="E254" s="707"/>
      <c r="F254" s="707"/>
      <c r="G254" s="712"/>
    </row>
    <row r="255" spans="1:7" ht="15.5" x14ac:dyDescent="0.3">
      <c r="A255" s="711" t="s">
        <v>431</v>
      </c>
      <c r="B255" s="868">
        <v>42736</v>
      </c>
      <c r="C255" s="869"/>
      <c r="D255" s="705"/>
      <c r="E255" s="705"/>
      <c r="F255" s="705"/>
      <c r="G255" s="712"/>
    </row>
    <row r="256" spans="1:7" ht="15.5" x14ac:dyDescent="0.3">
      <c r="A256" s="711" t="s">
        <v>432</v>
      </c>
      <c r="B256" s="868">
        <v>43830</v>
      </c>
      <c r="C256" s="869"/>
      <c r="D256" s="705"/>
      <c r="E256" s="705"/>
      <c r="F256" s="705"/>
      <c r="G256" s="712"/>
    </row>
    <row r="257" spans="1:7" ht="13.5" thickBot="1" x14ac:dyDescent="0.35">
      <c r="A257" s="714"/>
      <c r="B257" s="715"/>
      <c r="C257" s="715"/>
      <c r="D257" s="715"/>
      <c r="E257" s="715"/>
      <c r="F257" s="715"/>
      <c r="G257" s="716"/>
    </row>
    <row r="258" spans="1:7" ht="26" x14ac:dyDescent="0.3">
      <c r="A258" s="717" t="s">
        <v>267</v>
      </c>
      <c r="B258" s="718" t="s">
        <v>433</v>
      </c>
      <c r="C258" s="719" t="s">
        <v>434</v>
      </c>
      <c r="D258" s="719" t="s">
        <v>435</v>
      </c>
      <c r="E258" s="719" t="s">
        <v>600</v>
      </c>
      <c r="F258" s="736" t="s">
        <v>820</v>
      </c>
      <c r="G258" s="720" t="s">
        <v>405</v>
      </c>
    </row>
    <row r="259" spans="1:7" x14ac:dyDescent="0.3">
      <c r="A259" s="721" t="s">
        <v>436</v>
      </c>
      <c r="B259" s="372">
        <v>2857500</v>
      </c>
      <c r="C259" s="372">
        <v>52968680</v>
      </c>
      <c r="D259" s="372"/>
      <c r="E259" s="372"/>
      <c r="F259" s="737"/>
      <c r="G259" s="722">
        <v>55826180</v>
      </c>
    </row>
    <row r="260" spans="1:7" x14ac:dyDescent="0.3">
      <c r="A260" s="723" t="s">
        <v>437</v>
      </c>
      <c r="B260" s="373"/>
      <c r="C260" s="373"/>
      <c r="D260" s="373"/>
      <c r="E260" s="373"/>
      <c r="F260" s="738"/>
      <c r="G260" s="724"/>
    </row>
    <row r="261" spans="1:7" x14ac:dyDescent="0.3">
      <c r="A261" s="725" t="s">
        <v>438</v>
      </c>
      <c r="B261" s="374"/>
      <c r="C261" s="374">
        <v>50111180</v>
      </c>
      <c r="D261" s="374"/>
      <c r="E261" s="374"/>
      <c r="F261" s="739"/>
      <c r="G261" s="722">
        <v>50111180</v>
      </c>
    </row>
    <row r="262" spans="1:7" x14ac:dyDescent="0.3">
      <c r="A262" s="725" t="s">
        <v>921</v>
      </c>
      <c r="B262" s="374">
        <v>2857500</v>
      </c>
      <c r="C262" s="374">
        <v>2857500</v>
      </c>
      <c r="D262" s="374"/>
      <c r="E262" s="374"/>
      <c r="F262" s="739"/>
      <c r="G262" s="726">
        <v>5715000</v>
      </c>
    </row>
    <row r="263" spans="1:7" x14ac:dyDescent="0.3">
      <c r="A263" s="721" t="s">
        <v>439</v>
      </c>
      <c r="B263" s="375">
        <v>2857500</v>
      </c>
      <c r="C263" s="375">
        <v>26208293</v>
      </c>
      <c r="D263" s="375">
        <v>18063718</v>
      </c>
      <c r="E263" s="375">
        <v>8696669</v>
      </c>
      <c r="F263" s="740"/>
      <c r="G263" s="727">
        <f>SUM(B263:E263)</f>
        <v>55826180</v>
      </c>
    </row>
    <row r="264" spans="1:7" x14ac:dyDescent="0.3">
      <c r="A264" s="723" t="s">
        <v>437</v>
      </c>
      <c r="B264" s="373"/>
      <c r="C264" s="373"/>
      <c r="D264" s="373"/>
      <c r="E264" s="373"/>
      <c r="F264" s="738"/>
      <c r="G264" s="724"/>
    </row>
    <row r="265" spans="1:7" x14ac:dyDescent="0.3">
      <c r="A265" s="728" t="s">
        <v>903</v>
      </c>
      <c r="B265" s="376"/>
      <c r="C265" s="376">
        <v>832040</v>
      </c>
      <c r="D265" s="376">
        <v>3552825</v>
      </c>
      <c r="E265" s="376">
        <v>3552825</v>
      </c>
      <c r="F265" s="741"/>
      <c r="G265" s="726">
        <v>7937690</v>
      </c>
    </row>
    <row r="266" spans="1:7" x14ac:dyDescent="0.3">
      <c r="A266" s="728" t="s">
        <v>441</v>
      </c>
      <c r="B266" s="376">
        <v>2857500</v>
      </c>
      <c r="C266" s="376">
        <v>25376253</v>
      </c>
      <c r="D266" s="376">
        <v>13390393</v>
      </c>
      <c r="E266" s="376">
        <v>5143844</v>
      </c>
      <c r="F266" s="741"/>
      <c r="G266" s="726">
        <f>SUM(E266,D266,C266,B266)</f>
        <v>46767990</v>
      </c>
    </row>
    <row r="267" spans="1:7" x14ac:dyDescent="0.3">
      <c r="A267" s="728" t="s">
        <v>442</v>
      </c>
      <c r="B267" s="376"/>
      <c r="C267" s="376">
        <v>0</v>
      </c>
      <c r="D267" s="376">
        <v>1120500</v>
      </c>
      <c r="E267" s="376">
        <v>0</v>
      </c>
      <c r="F267" s="741"/>
      <c r="G267" s="726">
        <f>SUM(D267,E267)</f>
        <v>1120500</v>
      </c>
    </row>
    <row r="268" spans="1:7" x14ac:dyDescent="0.3">
      <c r="A268" s="725" t="s">
        <v>437</v>
      </c>
      <c r="B268" s="376"/>
      <c r="C268" s="376"/>
      <c r="D268" s="376"/>
      <c r="E268" s="376"/>
      <c r="F268" s="741"/>
      <c r="G268" s="726"/>
    </row>
    <row r="269" spans="1:7" x14ac:dyDescent="0.3">
      <c r="A269" s="725" t="s">
        <v>891</v>
      </c>
      <c r="B269" s="376"/>
      <c r="C269" s="376"/>
      <c r="D269" s="376"/>
      <c r="E269" s="376"/>
      <c r="F269" s="741"/>
      <c r="G269" s="726"/>
    </row>
    <row r="270" spans="1:7" x14ac:dyDescent="0.3">
      <c r="A270" s="728" t="s">
        <v>443</v>
      </c>
      <c r="B270" s="376"/>
      <c r="C270" s="376"/>
      <c r="D270" s="376"/>
      <c r="E270" s="376"/>
      <c r="F270" s="741"/>
      <c r="G270" s="726">
        <v>0</v>
      </c>
    </row>
    <row r="271" spans="1:7" x14ac:dyDescent="0.3">
      <c r="A271" s="728" t="s">
        <v>235</v>
      </c>
      <c r="B271" s="376"/>
      <c r="C271" s="376"/>
      <c r="D271" s="376"/>
      <c r="E271" s="376"/>
      <c r="F271" s="741"/>
      <c r="G271" s="726">
        <v>0</v>
      </c>
    </row>
    <row r="272" spans="1:7" ht="27" x14ac:dyDescent="0.3">
      <c r="A272" s="729" t="s">
        <v>444</v>
      </c>
      <c r="B272" s="377"/>
      <c r="C272" s="377"/>
      <c r="D272" s="377"/>
      <c r="E272" s="377">
        <v>0</v>
      </c>
      <c r="F272" s="743"/>
      <c r="G272" s="730">
        <f>SUM(G265:G267)</f>
        <v>55826180</v>
      </c>
    </row>
    <row r="273" spans="1:7" ht="27.5" thickBot="1" x14ac:dyDescent="0.35">
      <c r="A273" s="731" t="s">
        <v>445</v>
      </c>
      <c r="B273" s="732">
        <v>0</v>
      </c>
      <c r="C273" s="732">
        <v>0</v>
      </c>
      <c r="D273" s="732"/>
      <c r="E273" s="732"/>
      <c r="F273" s="744"/>
      <c r="G273" s="733">
        <v>0</v>
      </c>
    </row>
    <row r="275" spans="1:7" ht="13.5" thickBot="1" x14ac:dyDescent="0.35"/>
    <row r="276" spans="1:7" ht="17.5" x14ac:dyDescent="0.3">
      <c r="A276" s="872" t="s">
        <v>446</v>
      </c>
      <c r="B276" s="873"/>
      <c r="C276" s="873"/>
      <c r="D276" s="873"/>
      <c r="E276" s="873"/>
      <c r="F276" s="873"/>
      <c r="G276" s="874"/>
    </row>
    <row r="277" spans="1:7" ht="15" x14ac:dyDescent="0.3">
      <c r="A277" s="708"/>
      <c r="B277" s="875"/>
      <c r="C277" s="875"/>
      <c r="D277" s="709"/>
      <c r="E277" s="709"/>
      <c r="F277" s="709"/>
      <c r="G277" s="710"/>
    </row>
    <row r="278" spans="1:7" x14ac:dyDescent="0.3">
      <c r="A278" s="711" t="s">
        <v>428</v>
      </c>
      <c r="B278" s="865" t="s">
        <v>922</v>
      </c>
      <c r="C278" s="865"/>
      <c r="D278" s="865"/>
      <c r="E278" s="865"/>
      <c r="F278" s="865"/>
      <c r="G278" s="866"/>
    </row>
    <row r="279" spans="1:7" x14ac:dyDescent="0.3">
      <c r="A279" s="711" t="s">
        <v>429</v>
      </c>
      <c r="B279" s="865" t="s">
        <v>923</v>
      </c>
      <c r="C279" s="865"/>
      <c r="D279" s="865"/>
      <c r="E279" s="865"/>
      <c r="F279" s="865"/>
      <c r="G279" s="866"/>
    </row>
    <row r="280" spans="1:7" x14ac:dyDescent="0.3">
      <c r="A280" s="711" t="s">
        <v>888</v>
      </c>
      <c r="B280" s="865" t="s">
        <v>924</v>
      </c>
      <c r="C280" s="865"/>
      <c r="D280" s="865"/>
      <c r="E280" s="865"/>
      <c r="F280" s="865"/>
      <c r="G280" s="866"/>
    </row>
    <row r="281" spans="1:7" ht="15.5" x14ac:dyDescent="0.3">
      <c r="A281" s="711" t="s">
        <v>890</v>
      </c>
      <c r="B281" s="870">
        <v>400190499</v>
      </c>
      <c r="C281" s="870"/>
      <c r="D281" s="150"/>
      <c r="E281" s="706"/>
      <c r="F281" s="706"/>
      <c r="G281" s="712"/>
    </row>
    <row r="282" spans="1:7" ht="15.5" x14ac:dyDescent="0.3">
      <c r="A282" s="711" t="s">
        <v>814</v>
      </c>
      <c r="B282" s="870" t="s">
        <v>381</v>
      </c>
      <c r="C282" s="870"/>
      <c r="D282" s="870"/>
      <c r="E282" s="713"/>
      <c r="F282" s="713"/>
      <c r="G282" s="712"/>
    </row>
    <row r="283" spans="1:7" ht="15.5" x14ac:dyDescent="0.3">
      <c r="A283" s="711" t="s">
        <v>430</v>
      </c>
      <c r="B283" s="867">
        <v>0.99960000000000004</v>
      </c>
      <c r="C283" s="867"/>
      <c r="D283" s="707"/>
      <c r="E283" s="707"/>
      <c r="F283" s="707"/>
      <c r="G283" s="712"/>
    </row>
    <row r="284" spans="1:7" ht="15.5" x14ac:dyDescent="0.3">
      <c r="A284" s="711" t="s">
        <v>431</v>
      </c>
      <c r="B284" s="868">
        <v>42993</v>
      </c>
      <c r="C284" s="869"/>
      <c r="D284" s="705"/>
      <c r="E284" s="705"/>
      <c r="F284" s="705"/>
      <c r="G284" s="712"/>
    </row>
    <row r="285" spans="1:7" ht="15.5" x14ac:dyDescent="0.3">
      <c r="A285" s="711" t="s">
        <v>432</v>
      </c>
      <c r="B285" s="868">
        <v>44073</v>
      </c>
      <c r="C285" s="869"/>
      <c r="D285" s="705"/>
      <c r="E285" s="705"/>
      <c r="F285" s="705"/>
      <c r="G285" s="712"/>
    </row>
    <row r="286" spans="1:7" ht="13.5" thickBot="1" x14ac:dyDescent="0.35">
      <c r="A286" s="714"/>
      <c r="B286" s="715"/>
      <c r="C286" s="715"/>
      <c r="D286" s="715"/>
      <c r="E286" s="715"/>
      <c r="F286" s="715"/>
      <c r="G286" s="716"/>
    </row>
    <row r="287" spans="1:7" ht="26" x14ac:dyDescent="0.3">
      <c r="A287" s="717" t="s">
        <v>267</v>
      </c>
      <c r="B287" s="718" t="s">
        <v>433</v>
      </c>
      <c r="C287" s="719" t="s">
        <v>434</v>
      </c>
      <c r="D287" s="719" t="s">
        <v>435</v>
      </c>
      <c r="E287" s="719" t="s">
        <v>600</v>
      </c>
      <c r="F287" s="719" t="s">
        <v>820</v>
      </c>
      <c r="G287" s="720" t="s">
        <v>405</v>
      </c>
    </row>
    <row r="288" spans="1:7" x14ac:dyDescent="0.3">
      <c r="A288" s="721" t="s">
        <v>436</v>
      </c>
      <c r="B288" s="372"/>
      <c r="C288" s="372">
        <v>400025148</v>
      </c>
      <c r="D288" s="372"/>
      <c r="E288" s="372"/>
      <c r="F288" s="372"/>
      <c r="G288" s="722">
        <f>SUM(C288:F288)</f>
        <v>400025148</v>
      </c>
    </row>
    <row r="289" spans="1:7" x14ac:dyDescent="0.3">
      <c r="A289" s="723" t="s">
        <v>437</v>
      </c>
      <c r="B289" s="373"/>
      <c r="C289" s="373"/>
      <c r="D289" s="373"/>
      <c r="E289" s="373"/>
      <c r="F289" s="373"/>
      <c r="G289" s="724"/>
    </row>
    <row r="290" spans="1:7" x14ac:dyDescent="0.3">
      <c r="A290" s="725" t="s">
        <v>438</v>
      </c>
      <c r="B290" s="374"/>
      <c r="C290" s="374">
        <v>400025148</v>
      </c>
      <c r="D290" s="374"/>
      <c r="E290" s="374"/>
      <c r="F290" s="374"/>
      <c r="G290" s="726">
        <f>SUM(C290:F290)</f>
        <v>400025148</v>
      </c>
    </row>
    <row r="291" spans="1:7" x14ac:dyDescent="0.3">
      <c r="A291" s="725"/>
      <c r="B291" s="374"/>
      <c r="C291" s="374"/>
      <c r="D291" s="374"/>
      <c r="E291" s="374"/>
      <c r="F291" s="374"/>
      <c r="G291" s="726"/>
    </row>
    <row r="292" spans="1:7" x14ac:dyDescent="0.3">
      <c r="A292" s="721" t="s">
        <v>439</v>
      </c>
      <c r="B292" s="375">
        <v>6350000</v>
      </c>
      <c r="C292" s="375">
        <f>SUM(C293:C302)</f>
        <v>0</v>
      </c>
      <c r="D292" s="375">
        <f>SUM(D294:D297)</f>
        <v>26229375</v>
      </c>
      <c r="E292" s="375">
        <f>SUM(E294:E297)</f>
        <v>130335500</v>
      </c>
      <c r="F292" s="375">
        <f>SUM(F294:F297)</f>
        <v>237275624</v>
      </c>
      <c r="G292" s="727">
        <f>SUM(B292:F292)</f>
        <v>400190499</v>
      </c>
    </row>
    <row r="293" spans="1:7" x14ac:dyDescent="0.3">
      <c r="A293" s="723" t="s">
        <v>437</v>
      </c>
      <c r="B293" s="373"/>
      <c r="C293" s="373"/>
      <c r="D293" s="373"/>
      <c r="E293" s="373"/>
      <c r="F293" s="373"/>
      <c r="G293" s="724"/>
    </row>
    <row r="294" spans="1:7" x14ac:dyDescent="0.3">
      <c r="A294" s="728" t="s">
        <v>440</v>
      </c>
      <c r="B294" s="376"/>
      <c r="C294" s="376">
        <v>0</v>
      </c>
      <c r="D294" s="376">
        <v>590551</v>
      </c>
      <c r="E294" s="376">
        <v>590551</v>
      </c>
      <c r="F294" s="376">
        <v>393701</v>
      </c>
      <c r="G294" s="726">
        <f>SUM(C294:F294)</f>
        <v>1574803</v>
      </c>
    </row>
    <row r="295" spans="1:7" ht="26" x14ac:dyDescent="0.3">
      <c r="A295" s="728" t="s">
        <v>206</v>
      </c>
      <c r="B295" s="376"/>
      <c r="C295" s="376">
        <v>0</v>
      </c>
      <c r="D295" s="376">
        <v>159449</v>
      </c>
      <c r="E295" s="376">
        <v>159449</v>
      </c>
      <c r="F295" s="376">
        <v>106299</v>
      </c>
      <c r="G295" s="726">
        <f>SUM(D295:F295)</f>
        <v>425197</v>
      </c>
    </row>
    <row r="296" spans="1:7" x14ac:dyDescent="0.3">
      <c r="A296" s="728" t="s">
        <v>441</v>
      </c>
      <c r="B296" s="376">
        <v>6350000</v>
      </c>
      <c r="C296" s="376"/>
      <c r="D296" s="376">
        <v>25479375</v>
      </c>
      <c r="E296" s="376">
        <v>23685500</v>
      </c>
      <c r="F296" s="376">
        <v>25542875</v>
      </c>
      <c r="G296" s="726">
        <f>SUM(B296:F296)</f>
        <v>81057750</v>
      </c>
    </row>
    <row r="297" spans="1:7" x14ac:dyDescent="0.3">
      <c r="A297" s="728" t="s">
        <v>442</v>
      </c>
      <c r="B297" s="376"/>
      <c r="C297" s="376">
        <v>0</v>
      </c>
      <c r="D297" s="376"/>
      <c r="E297" s="376">
        <v>105900000</v>
      </c>
      <c r="F297" s="376">
        <v>211232749</v>
      </c>
      <c r="G297" s="726">
        <f>SUM(C297:F297)</f>
        <v>317132749</v>
      </c>
    </row>
    <row r="298" spans="1:7" x14ac:dyDescent="0.3">
      <c r="A298" s="725" t="s">
        <v>437</v>
      </c>
      <c r="B298" s="376"/>
      <c r="C298" s="376"/>
      <c r="D298" s="376"/>
      <c r="E298" s="376"/>
      <c r="F298" s="376"/>
      <c r="G298" s="726"/>
    </row>
    <row r="299" spans="1:7" x14ac:dyDescent="0.3">
      <c r="A299" s="725" t="s">
        <v>891</v>
      </c>
      <c r="B299" s="376"/>
      <c r="C299" s="376"/>
      <c r="D299" s="376"/>
      <c r="E299" s="376"/>
      <c r="F299" s="376">
        <v>73152000</v>
      </c>
      <c r="G299" s="726">
        <v>73152000</v>
      </c>
    </row>
    <row r="300" spans="1:7" x14ac:dyDescent="0.3">
      <c r="A300" s="725" t="s">
        <v>912</v>
      </c>
      <c r="B300" s="376"/>
      <c r="C300" s="376"/>
      <c r="D300" s="376"/>
      <c r="E300" s="376"/>
      <c r="F300" s="376">
        <v>32131000</v>
      </c>
      <c r="G300" s="726">
        <v>32131000</v>
      </c>
    </row>
    <row r="301" spans="1:7" x14ac:dyDescent="0.3">
      <c r="A301" s="728" t="s">
        <v>443</v>
      </c>
      <c r="B301" s="376"/>
      <c r="C301" s="376"/>
      <c r="D301" s="376"/>
      <c r="E301" s="376"/>
      <c r="F301" s="376"/>
      <c r="G301" s="726">
        <v>0</v>
      </c>
    </row>
    <row r="302" spans="1:7" x14ac:dyDescent="0.3">
      <c r="A302" s="728" t="s">
        <v>235</v>
      </c>
      <c r="B302" s="376"/>
      <c r="C302" s="376"/>
      <c r="D302" s="376"/>
      <c r="E302" s="376"/>
      <c r="F302" s="376"/>
      <c r="G302" s="726">
        <v>0</v>
      </c>
    </row>
    <row r="303" spans="1:7" ht="27" x14ac:dyDescent="0.3">
      <c r="A303" s="729" t="s">
        <v>444</v>
      </c>
      <c r="B303" s="377">
        <v>6350000</v>
      </c>
      <c r="C303" s="377"/>
      <c r="D303" s="377">
        <v>25388000</v>
      </c>
      <c r="E303" s="377">
        <v>130335500</v>
      </c>
      <c r="F303" s="377">
        <v>237275624</v>
      </c>
      <c r="G303" s="730">
        <f>SUM(G294:G297)</f>
        <v>400190499</v>
      </c>
    </row>
    <row r="304" spans="1:7" ht="27.5" thickBot="1" x14ac:dyDescent="0.35">
      <c r="A304" s="731" t="s">
        <v>445</v>
      </c>
      <c r="B304" s="732">
        <v>0</v>
      </c>
      <c r="C304" s="732">
        <v>0</v>
      </c>
      <c r="D304" s="732"/>
      <c r="E304" s="732"/>
      <c r="F304" s="732"/>
      <c r="G304" s="733"/>
    </row>
    <row r="306" spans="1:7" ht="13.5" thickBot="1" x14ac:dyDescent="0.35"/>
    <row r="307" spans="1:7" ht="17.5" x14ac:dyDescent="0.3">
      <c r="A307" s="872" t="s">
        <v>446</v>
      </c>
      <c r="B307" s="873"/>
      <c r="C307" s="873"/>
      <c r="D307" s="873"/>
      <c r="E307" s="873"/>
      <c r="F307" s="873"/>
      <c r="G307" s="874"/>
    </row>
    <row r="308" spans="1:7" ht="15" x14ac:dyDescent="0.3">
      <c r="A308" s="708"/>
      <c r="B308" s="875"/>
      <c r="C308" s="875"/>
      <c r="D308" s="709"/>
      <c r="E308" s="709"/>
      <c r="F308" s="709"/>
      <c r="G308" s="710"/>
    </row>
    <row r="309" spans="1:7" x14ac:dyDescent="0.3">
      <c r="A309" s="711" t="s">
        <v>428</v>
      </c>
      <c r="B309" s="865" t="s">
        <v>925</v>
      </c>
      <c r="C309" s="865"/>
      <c r="D309" s="865"/>
      <c r="E309" s="865"/>
      <c r="F309" s="865"/>
      <c r="G309" s="866"/>
    </row>
    <row r="310" spans="1:7" x14ac:dyDescent="0.3">
      <c r="A310" s="711" t="s">
        <v>429</v>
      </c>
      <c r="B310" s="865" t="s">
        <v>926</v>
      </c>
      <c r="C310" s="865"/>
      <c r="D310" s="865"/>
      <c r="E310" s="865"/>
      <c r="F310" s="865"/>
      <c r="G310" s="866"/>
    </row>
    <row r="311" spans="1:7" x14ac:dyDescent="0.3">
      <c r="A311" s="711" t="s">
        <v>888</v>
      </c>
      <c r="B311" s="865" t="s">
        <v>916</v>
      </c>
      <c r="C311" s="865"/>
      <c r="D311" s="865"/>
      <c r="E311" s="865"/>
      <c r="F311" s="865"/>
      <c r="G311" s="866"/>
    </row>
    <row r="312" spans="1:7" ht="15.5" x14ac:dyDescent="0.3">
      <c r="A312" s="711" t="s">
        <v>890</v>
      </c>
      <c r="B312" s="870">
        <v>176523043</v>
      </c>
      <c r="C312" s="870"/>
      <c r="D312" s="150"/>
      <c r="E312" s="706"/>
      <c r="F312" s="706"/>
      <c r="G312" s="712"/>
    </row>
    <row r="313" spans="1:7" ht="15.5" x14ac:dyDescent="0.3">
      <c r="A313" s="711" t="s">
        <v>814</v>
      </c>
      <c r="B313" s="870" t="s">
        <v>381</v>
      </c>
      <c r="C313" s="870"/>
      <c r="D313" s="870"/>
      <c r="E313" s="713"/>
      <c r="F313" s="713"/>
      <c r="G313" s="712"/>
    </row>
    <row r="314" spans="1:7" ht="15.5" x14ac:dyDescent="0.3">
      <c r="A314" s="711" t="s">
        <v>430</v>
      </c>
      <c r="B314" s="867">
        <v>1</v>
      </c>
      <c r="C314" s="867"/>
      <c r="D314" s="707"/>
      <c r="E314" s="707"/>
      <c r="F314" s="707"/>
      <c r="G314" s="712"/>
    </row>
    <row r="315" spans="1:7" ht="15.5" x14ac:dyDescent="0.3">
      <c r="A315" s="711" t="s">
        <v>431</v>
      </c>
      <c r="B315" s="868">
        <v>42948</v>
      </c>
      <c r="C315" s="869"/>
      <c r="D315" s="705"/>
      <c r="E315" s="705"/>
      <c r="F315" s="705"/>
      <c r="G315" s="712"/>
    </row>
    <row r="316" spans="1:7" ht="15.5" x14ac:dyDescent="0.3">
      <c r="A316" s="711" t="s">
        <v>432</v>
      </c>
      <c r="B316" s="868">
        <v>43404</v>
      </c>
      <c r="C316" s="869"/>
      <c r="D316" s="705"/>
      <c r="E316" s="705"/>
      <c r="F316" s="705"/>
      <c r="G316" s="712"/>
    </row>
    <row r="317" spans="1:7" ht="13.5" thickBot="1" x14ac:dyDescent="0.35">
      <c r="A317" s="714"/>
      <c r="B317" s="715"/>
      <c r="C317" s="715"/>
      <c r="D317" s="715"/>
      <c r="E317" s="715"/>
      <c r="F317" s="715"/>
      <c r="G317" s="716"/>
    </row>
    <row r="318" spans="1:7" ht="26" x14ac:dyDescent="0.3">
      <c r="A318" s="717" t="s">
        <v>267</v>
      </c>
      <c r="B318" s="718" t="s">
        <v>433</v>
      </c>
      <c r="C318" s="719" t="s">
        <v>434</v>
      </c>
      <c r="D318" s="719" t="s">
        <v>435</v>
      </c>
      <c r="E318" s="719" t="s">
        <v>600</v>
      </c>
      <c r="F318" s="719" t="s">
        <v>820</v>
      </c>
      <c r="G318" s="720" t="s">
        <v>405</v>
      </c>
    </row>
    <row r="319" spans="1:7" x14ac:dyDescent="0.3">
      <c r="A319" s="721" t="s">
        <v>436</v>
      </c>
      <c r="B319" s="372"/>
      <c r="C319" s="372">
        <v>176523043</v>
      </c>
      <c r="D319" s="372"/>
      <c r="E319" s="372"/>
      <c r="F319" s="372"/>
      <c r="G319" s="722">
        <f>SUM(C319:F319)</f>
        <v>176523043</v>
      </c>
    </row>
    <row r="320" spans="1:7" x14ac:dyDescent="0.3">
      <c r="A320" s="723" t="s">
        <v>437</v>
      </c>
      <c r="B320" s="373"/>
      <c r="C320" s="373"/>
      <c r="D320" s="373"/>
      <c r="E320" s="373"/>
      <c r="F320" s="373"/>
      <c r="G320" s="724"/>
    </row>
    <row r="321" spans="1:7" x14ac:dyDescent="0.3">
      <c r="A321" s="725" t="s">
        <v>438</v>
      </c>
      <c r="B321" s="374"/>
      <c r="C321" s="374">
        <v>176523043</v>
      </c>
      <c r="D321" s="374"/>
      <c r="E321" s="374"/>
      <c r="F321" s="374"/>
      <c r="G321" s="726">
        <f>SUM(C321:F321)</f>
        <v>176523043</v>
      </c>
    </row>
    <row r="322" spans="1:7" x14ac:dyDescent="0.3">
      <c r="A322" s="725"/>
      <c r="B322" s="374"/>
      <c r="C322" s="374"/>
      <c r="D322" s="374"/>
      <c r="E322" s="374"/>
      <c r="F322" s="374"/>
      <c r="G322" s="726"/>
    </row>
    <row r="323" spans="1:7" x14ac:dyDescent="0.3">
      <c r="A323" s="721" t="s">
        <v>439</v>
      </c>
      <c r="B323" s="375">
        <v>3105023</v>
      </c>
      <c r="C323" s="375">
        <f>SUM(C324:C333)</f>
        <v>0</v>
      </c>
      <c r="D323" s="375">
        <f>SUM(D325:D328)</f>
        <v>173418020</v>
      </c>
      <c r="E323" s="375">
        <f>SUM(E325:E328)</f>
        <v>0</v>
      </c>
      <c r="F323" s="375">
        <f>SUM(F325:F328)</f>
        <v>0</v>
      </c>
      <c r="G323" s="727">
        <f>SUM(B323:F323)</f>
        <v>176523043</v>
      </c>
    </row>
    <row r="324" spans="1:7" x14ac:dyDescent="0.3">
      <c r="A324" s="723" t="s">
        <v>437</v>
      </c>
      <c r="B324" s="373"/>
      <c r="C324" s="373"/>
      <c r="D324" s="373"/>
      <c r="E324" s="373"/>
      <c r="F324" s="373"/>
      <c r="G324" s="724"/>
    </row>
    <row r="325" spans="1:7" x14ac:dyDescent="0.3">
      <c r="A325" s="728" t="s">
        <v>440</v>
      </c>
      <c r="B325" s="376"/>
      <c r="C325" s="376">
        <v>0</v>
      </c>
      <c r="D325" s="376">
        <v>0</v>
      </c>
      <c r="E325" s="376">
        <v>0</v>
      </c>
      <c r="F325" s="376">
        <v>0</v>
      </c>
      <c r="G325" s="726">
        <f>SUM(C325:F325)</f>
        <v>0</v>
      </c>
    </row>
    <row r="326" spans="1:7" ht="26" x14ac:dyDescent="0.3">
      <c r="A326" s="728" t="s">
        <v>206</v>
      </c>
      <c r="B326" s="376"/>
      <c r="C326" s="376">
        <v>0</v>
      </c>
      <c r="D326" s="376">
        <v>0</v>
      </c>
      <c r="E326" s="376">
        <v>0</v>
      </c>
      <c r="F326" s="376">
        <v>0</v>
      </c>
      <c r="G326" s="726">
        <f>SUM(D326:F326)</f>
        <v>0</v>
      </c>
    </row>
    <row r="327" spans="1:7" x14ac:dyDescent="0.3">
      <c r="A327" s="728" t="s">
        <v>441</v>
      </c>
      <c r="B327" s="376">
        <v>3105023</v>
      </c>
      <c r="C327" s="376"/>
      <c r="D327" s="376">
        <v>13511942</v>
      </c>
      <c r="E327" s="376">
        <v>0</v>
      </c>
      <c r="F327" s="376">
        <v>0</v>
      </c>
      <c r="G327" s="726">
        <f>SUM(B327:F327)</f>
        <v>16616965</v>
      </c>
    </row>
    <row r="328" spans="1:7" x14ac:dyDescent="0.3">
      <c r="A328" s="728" t="s">
        <v>442</v>
      </c>
      <c r="B328" s="376"/>
      <c r="C328" s="376">
        <v>0</v>
      </c>
      <c r="D328" s="376">
        <v>159906078</v>
      </c>
      <c r="E328" s="376">
        <v>0</v>
      </c>
      <c r="F328" s="376">
        <v>0</v>
      </c>
      <c r="G328" s="726">
        <f>SUM(C328:F328)</f>
        <v>159906078</v>
      </c>
    </row>
    <row r="329" spans="1:7" x14ac:dyDescent="0.3">
      <c r="A329" s="725" t="s">
        <v>437</v>
      </c>
      <c r="B329" s="376"/>
      <c r="C329" s="376"/>
      <c r="D329" s="376"/>
      <c r="E329" s="376"/>
      <c r="F329" s="376"/>
      <c r="G329" s="726"/>
    </row>
    <row r="330" spans="1:7" x14ac:dyDescent="0.3">
      <c r="A330" s="725" t="s">
        <v>891</v>
      </c>
      <c r="B330" s="376"/>
      <c r="C330" s="376"/>
      <c r="D330" s="376"/>
      <c r="E330" s="376"/>
      <c r="F330" s="376">
        <v>0</v>
      </c>
      <c r="G330" s="726">
        <v>0</v>
      </c>
    </row>
    <row r="331" spans="1:7" x14ac:dyDescent="0.3">
      <c r="A331" s="725" t="s">
        <v>912</v>
      </c>
      <c r="B331" s="376"/>
      <c r="C331" s="376"/>
      <c r="D331" s="376"/>
      <c r="E331" s="376"/>
      <c r="F331" s="376">
        <v>0</v>
      </c>
      <c r="G331" s="726">
        <v>0</v>
      </c>
    </row>
    <row r="332" spans="1:7" x14ac:dyDescent="0.3">
      <c r="A332" s="728" t="s">
        <v>443</v>
      </c>
      <c r="B332" s="376"/>
      <c r="C332" s="376"/>
      <c r="D332" s="376"/>
      <c r="E332" s="376"/>
      <c r="F332" s="376"/>
      <c r="G332" s="726">
        <v>0</v>
      </c>
    </row>
    <row r="333" spans="1:7" x14ac:dyDescent="0.3">
      <c r="A333" s="728" t="s">
        <v>235</v>
      </c>
      <c r="B333" s="376"/>
      <c r="C333" s="376"/>
      <c r="D333" s="376"/>
      <c r="E333" s="376"/>
      <c r="F333" s="376"/>
      <c r="G333" s="726">
        <v>0</v>
      </c>
    </row>
    <row r="334" spans="1:7" ht="27" x14ac:dyDescent="0.3">
      <c r="A334" s="729" t="s">
        <v>444</v>
      </c>
      <c r="B334" s="377">
        <v>3105023</v>
      </c>
      <c r="C334" s="377"/>
      <c r="D334" s="377">
        <v>168124020</v>
      </c>
      <c r="E334" s="377">
        <v>0</v>
      </c>
      <c r="F334" s="377">
        <v>0</v>
      </c>
      <c r="G334" s="730">
        <f>SUM(G325:G328)</f>
        <v>176523043</v>
      </c>
    </row>
    <row r="335" spans="1:7" ht="27.5" thickBot="1" x14ac:dyDescent="0.35">
      <c r="A335" s="731" t="s">
        <v>445</v>
      </c>
      <c r="B335" s="732">
        <v>0</v>
      </c>
      <c r="C335" s="732">
        <v>0</v>
      </c>
      <c r="D335" s="732"/>
      <c r="E335" s="732"/>
      <c r="F335" s="732"/>
      <c r="G335" s="733"/>
    </row>
    <row r="337" spans="1:7" ht="13.5" thickBot="1" x14ac:dyDescent="0.35"/>
    <row r="338" spans="1:7" ht="17.5" x14ac:dyDescent="0.3">
      <c r="A338" s="872" t="s">
        <v>446</v>
      </c>
      <c r="B338" s="873"/>
      <c r="C338" s="873"/>
      <c r="D338" s="873"/>
      <c r="E338" s="873"/>
      <c r="F338" s="873"/>
      <c r="G338" s="874"/>
    </row>
    <row r="339" spans="1:7" ht="15" x14ac:dyDescent="0.3">
      <c r="A339" s="708"/>
      <c r="B339" s="875"/>
      <c r="C339" s="875"/>
      <c r="D339" s="709"/>
      <c r="E339" s="709"/>
      <c r="F339" s="709"/>
      <c r="G339" s="710"/>
    </row>
    <row r="340" spans="1:7" x14ac:dyDescent="0.3">
      <c r="A340" s="711" t="s">
        <v>428</v>
      </c>
      <c r="B340" s="865" t="s">
        <v>927</v>
      </c>
      <c r="C340" s="865"/>
      <c r="D340" s="865"/>
      <c r="E340" s="865"/>
      <c r="F340" s="865"/>
      <c r="G340" s="866"/>
    </row>
    <row r="341" spans="1:7" x14ac:dyDescent="0.3">
      <c r="A341" s="711" t="s">
        <v>429</v>
      </c>
      <c r="B341" s="865" t="s">
        <v>818</v>
      </c>
      <c r="C341" s="865"/>
      <c r="D341" s="865"/>
      <c r="E341" s="865"/>
      <c r="F341" s="865"/>
      <c r="G341" s="866"/>
    </row>
    <row r="342" spans="1:7" x14ac:dyDescent="0.3">
      <c r="A342" s="711" t="s">
        <v>888</v>
      </c>
      <c r="B342" s="865" t="s">
        <v>819</v>
      </c>
      <c r="C342" s="865"/>
      <c r="D342" s="865"/>
      <c r="E342" s="865"/>
      <c r="F342" s="865"/>
      <c r="G342" s="866"/>
    </row>
    <row r="343" spans="1:7" ht="15.5" x14ac:dyDescent="0.3">
      <c r="A343" s="711" t="s">
        <v>890</v>
      </c>
      <c r="B343" s="870">
        <v>499444098</v>
      </c>
      <c r="C343" s="870"/>
      <c r="D343" s="150"/>
      <c r="E343" s="706"/>
      <c r="F343" s="706"/>
      <c r="G343" s="712"/>
    </row>
    <row r="344" spans="1:7" ht="15.5" x14ac:dyDescent="0.3">
      <c r="A344" s="711" t="s">
        <v>814</v>
      </c>
      <c r="B344" s="870" t="s">
        <v>381</v>
      </c>
      <c r="C344" s="870"/>
      <c r="D344" s="870"/>
      <c r="E344" s="713"/>
      <c r="F344" s="713"/>
      <c r="G344" s="712"/>
    </row>
    <row r="345" spans="1:7" ht="15.5" x14ac:dyDescent="0.3">
      <c r="A345" s="711" t="s">
        <v>430</v>
      </c>
      <c r="B345" s="867">
        <v>1</v>
      </c>
      <c r="C345" s="867"/>
      <c r="D345" s="707"/>
      <c r="E345" s="707"/>
      <c r="F345" s="707"/>
      <c r="G345" s="712"/>
    </row>
    <row r="346" spans="1:7" ht="15.5" x14ac:dyDescent="0.3">
      <c r="A346" s="711" t="s">
        <v>431</v>
      </c>
      <c r="B346" s="868">
        <v>42887</v>
      </c>
      <c r="C346" s="869"/>
      <c r="D346" s="705"/>
      <c r="E346" s="705"/>
      <c r="F346" s="705"/>
      <c r="G346" s="712"/>
    </row>
    <row r="347" spans="1:7" ht="15.5" x14ac:dyDescent="0.3">
      <c r="A347" s="711" t="s">
        <v>432</v>
      </c>
      <c r="B347" s="868">
        <v>43951</v>
      </c>
      <c r="C347" s="869"/>
      <c r="D347" s="705"/>
      <c r="E347" s="705"/>
      <c r="F347" s="705"/>
      <c r="G347" s="712"/>
    </row>
    <row r="348" spans="1:7" ht="13.5" thickBot="1" x14ac:dyDescent="0.35">
      <c r="A348" s="714"/>
      <c r="B348" s="715"/>
      <c r="C348" s="715"/>
      <c r="D348" s="715"/>
      <c r="E348" s="715"/>
      <c r="F348" s="715"/>
      <c r="G348" s="716"/>
    </row>
    <row r="349" spans="1:7" ht="26" x14ac:dyDescent="0.3">
      <c r="A349" s="717" t="s">
        <v>267</v>
      </c>
      <c r="B349" s="718" t="s">
        <v>433</v>
      </c>
      <c r="C349" s="719" t="s">
        <v>434</v>
      </c>
      <c r="D349" s="719" t="s">
        <v>435</v>
      </c>
      <c r="E349" s="719" t="s">
        <v>600</v>
      </c>
      <c r="F349" s="719" t="s">
        <v>820</v>
      </c>
      <c r="G349" s="720" t="s">
        <v>405</v>
      </c>
    </row>
    <row r="350" spans="1:7" x14ac:dyDescent="0.3">
      <c r="A350" s="721" t="s">
        <v>436</v>
      </c>
      <c r="B350" s="372"/>
      <c r="C350" s="372">
        <v>499444098</v>
      </c>
      <c r="D350" s="372"/>
      <c r="E350" s="372"/>
      <c r="F350" s="372"/>
      <c r="G350" s="722">
        <v>499444098</v>
      </c>
    </row>
    <row r="351" spans="1:7" x14ac:dyDescent="0.3">
      <c r="A351" s="723" t="s">
        <v>437</v>
      </c>
      <c r="B351" s="373"/>
      <c r="C351" s="373"/>
      <c r="D351" s="373"/>
      <c r="E351" s="373"/>
      <c r="F351" s="373"/>
      <c r="G351" s="724"/>
    </row>
    <row r="352" spans="1:7" x14ac:dyDescent="0.3">
      <c r="A352" s="725" t="s">
        <v>438</v>
      </c>
      <c r="B352" s="374"/>
      <c r="C352" s="374">
        <v>499444098</v>
      </c>
      <c r="D352" s="374"/>
      <c r="E352" s="374"/>
      <c r="F352" s="374"/>
      <c r="G352" s="726">
        <v>499444098</v>
      </c>
    </row>
    <row r="353" spans="1:7" x14ac:dyDescent="0.3">
      <c r="A353" s="725"/>
      <c r="B353" s="374"/>
      <c r="C353" s="374"/>
      <c r="D353" s="374"/>
      <c r="E353" s="374"/>
      <c r="F353" s="374"/>
      <c r="G353" s="726"/>
    </row>
    <row r="354" spans="1:7" x14ac:dyDescent="0.3">
      <c r="A354" s="721" t="s">
        <v>439</v>
      </c>
      <c r="B354" s="375">
        <f>SUM(B355:B363)</f>
        <v>5150500</v>
      </c>
      <c r="C354" s="375">
        <f>SUM(C355:C363)</f>
        <v>10628000</v>
      </c>
      <c r="D354" s="375">
        <f>SUM(D355:D363)</f>
        <v>127170025</v>
      </c>
      <c r="E354" s="375">
        <f>SUM(E355:E363)</f>
        <v>278727063</v>
      </c>
      <c r="F354" s="375">
        <f>SUM(F358:F359)</f>
        <v>77768510</v>
      </c>
      <c r="G354" s="727">
        <f>SUM(B354:F354)</f>
        <v>499444098</v>
      </c>
    </row>
    <row r="355" spans="1:7" x14ac:dyDescent="0.3">
      <c r="A355" s="723" t="s">
        <v>437</v>
      </c>
      <c r="B355" s="373"/>
      <c r="C355" s="373"/>
      <c r="D355" s="373"/>
      <c r="E355" s="373"/>
      <c r="F355" s="373"/>
      <c r="G355" s="724"/>
    </row>
    <row r="356" spans="1:7" x14ac:dyDescent="0.3">
      <c r="A356" s="728" t="s">
        <v>440</v>
      </c>
      <c r="B356" s="376"/>
      <c r="C356" s="376">
        <v>0</v>
      </c>
      <c r="D356" s="376">
        <v>0</v>
      </c>
      <c r="E356" s="376">
        <v>0</v>
      </c>
      <c r="F356" s="376"/>
      <c r="G356" s="726">
        <v>0</v>
      </c>
    </row>
    <row r="357" spans="1:7" ht="26" x14ac:dyDescent="0.3">
      <c r="A357" s="728" t="s">
        <v>206</v>
      </c>
      <c r="B357" s="376"/>
      <c r="C357" s="376">
        <v>0</v>
      </c>
      <c r="D357" s="376">
        <v>0</v>
      </c>
      <c r="E357" s="376">
        <v>0</v>
      </c>
      <c r="F357" s="376"/>
      <c r="G357" s="726">
        <v>0</v>
      </c>
    </row>
    <row r="358" spans="1:7" x14ac:dyDescent="0.3">
      <c r="A358" s="728" t="s">
        <v>441</v>
      </c>
      <c r="B358" s="376">
        <v>5150500</v>
      </c>
      <c r="C358" s="376">
        <v>10628000</v>
      </c>
      <c r="D358" s="376">
        <v>20168000</v>
      </c>
      <c r="E358" s="376">
        <v>11222000</v>
      </c>
      <c r="F358" s="376">
        <v>5535000</v>
      </c>
      <c r="G358" s="726">
        <f>SUM(B358:F358)</f>
        <v>52703500</v>
      </c>
    </row>
    <row r="359" spans="1:7" x14ac:dyDescent="0.3">
      <c r="A359" s="728" t="s">
        <v>442</v>
      </c>
      <c r="B359" s="376"/>
      <c r="C359" s="376">
        <v>0</v>
      </c>
      <c r="D359" s="376">
        <v>107002025</v>
      </c>
      <c r="E359" s="376">
        <v>267505063</v>
      </c>
      <c r="F359" s="376">
        <v>72233510</v>
      </c>
      <c r="G359" s="726">
        <f>SUM(D359:F359)</f>
        <v>446740598</v>
      </c>
    </row>
    <row r="360" spans="1:7" x14ac:dyDescent="0.3">
      <c r="A360" s="725" t="s">
        <v>437</v>
      </c>
      <c r="B360" s="376"/>
      <c r="C360" s="376"/>
      <c r="D360" s="376"/>
      <c r="E360" s="376"/>
      <c r="F360" s="376"/>
      <c r="G360" s="726"/>
    </row>
    <row r="361" spans="1:7" x14ac:dyDescent="0.3">
      <c r="A361" s="725" t="s">
        <v>891</v>
      </c>
      <c r="B361" s="376"/>
      <c r="C361" s="376"/>
      <c r="D361" s="376"/>
      <c r="E361" s="376"/>
      <c r="F361" s="376">
        <v>18732500</v>
      </c>
      <c r="G361" s="726">
        <v>18732500</v>
      </c>
    </row>
    <row r="362" spans="1:7" x14ac:dyDescent="0.3">
      <c r="A362" s="728" t="s">
        <v>443</v>
      </c>
      <c r="B362" s="376"/>
      <c r="C362" s="376"/>
      <c r="D362" s="376"/>
      <c r="E362" s="376"/>
      <c r="F362" s="376"/>
      <c r="G362" s="726">
        <v>0</v>
      </c>
    </row>
    <row r="363" spans="1:7" x14ac:dyDescent="0.3">
      <c r="A363" s="728" t="s">
        <v>235</v>
      </c>
      <c r="B363" s="376"/>
      <c r="C363" s="376"/>
      <c r="D363" s="376"/>
      <c r="E363" s="376"/>
      <c r="F363" s="376"/>
      <c r="G363" s="726">
        <v>0</v>
      </c>
    </row>
    <row r="364" spans="1:7" ht="27" x14ac:dyDescent="0.3">
      <c r="A364" s="729" t="s">
        <v>444</v>
      </c>
      <c r="B364" s="377">
        <v>5150500</v>
      </c>
      <c r="C364" s="377">
        <v>10628000</v>
      </c>
      <c r="D364" s="377">
        <v>127170025</v>
      </c>
      <c r="E364" s="377">
        <v>278727063</v>
      </c>
      <c r="F364" s="377">
        <v>77768510</v>
      </c>
      <c r="G364" s="730">
        <f>SUM(B364:F364)</f>
        <v>499444098</v>
      </c>
    </row>
    <row r="365" spans="1:7" ht="27.5" thickBot="1" x14ac:dyDescent="0.35">
      <c r="A365" s="731" t="s">
        <v>445</v>
      </c>
      <c r="B365" s="732">
        <v>0</v>
      </c>
      <c r="C365" s="732">
        <v>0</v>
      </c>
      <c r="D365" s="732"/>
      <c r="E365" s="732"/>
      <c r="F365" s="732"/>
      <c r="G365" s="733">
        <v>0</v>
      </c>
    </row>
  </sheetData>
  <mergeCells count="124">
    <mergeCell ref="B343:C343"/>
    <mergeCell ref="B344:D344"/>
    <mergeCell ref="B345:C345"/>
    <mergeCell ref="B346:C346"/>
    <mergeCell ref="B347:C347"/>
    <mergeCell ref="A338:G338"/>
    <mergeCell ref="B339:C339"/>
    <mergeCell ref="B340:G340"/>
    <mergeCell ref="B341:G341"/>
    <mergeCell ref="B342:G342"/>
    <mergeCell ref="B312:C312"/>
    <mergeCell ref="B313:D313"/>
    <mergeCell ref="B314:C314"/>
    <mergeCell ref="B315:C315"/>
    <mergeCell ref="B316:C316"/>
    <mergeCell ref="A307:G307"/>
    <mergeCell ref="B308:C308"/>
    <mergeCell ref="B309:G309"/>
    <mergeCell ref="B310:G310"/>
    <mergeCell ref="B311:G311"/>
    <mergeCell ref="B281:C281"/>
    <mergeCell ref="B282:D282"/>
    <mergeCell ref="B283:C283"/>
    <mergeCell ref="B284:C284"/>
    <mergeCell ref="B285:C285"/>
    <mergeCell ref="A276:G276"/>
    <mergeCell ref="B277:C277"/>
    <mergeCell ref="B278:G278"/>
    <mergeCell ref="B279:G279"/>
    <mergeCell ref="B280:G280"/>
    <mergeCell ref="B252:G252"/>
    <mergeCell ref="B253:G253"/>
    <mergeCell ref="B254:C254"/>
    <mergeCell ref="B255:C255"/>
    <mergeCell ref="B256:C256"/>
    <mergeCell ref="B247:C247"/>
    <mergeCell ref="B248:G248"/>
    <mergeCell ref="B249:G249"/>
    <mergeCell ref="B250:G250"/>
    <mergeCell ref="B251:C251"/>
    <mergeCell ref="B221:D221"/>
    <mergeCell ref="B222:C222"/>
    <mergeCell ref="B223:C223"/>
    <mergeCell ref="B224:C224"/>
    <mergeCell ref="A246:G246"/>
    <mergeCell ref="B216:C216"/>
    <mergeCell ref="B217:G217"/>
    <mergeCell ref="B218:G218"/>
    <mergeCell ref="B219:G219"/>
    <mergeCell ref="B220:C220"/>
    <mergeCell ref="B190:C190"/>
    <mergeCell ref="B191:C191"/>
    <mergeCell ref="B192:C192"/>
    <mergeCell ref="A215:G215"/>
    <mergeCell ref="B184:G184"/>
    <mergeCell ref="B185:G185"/>
    <mergeCell ref="B186:G186"/>
    <mergeCell ref="B187:C187"/>
    <mergeCell ref="B188:D188"/>
    <mergeCell ref="B161:C161"/>
    <mergeCell ref="A182:G182"/>
    <mergeCell ref="B183:C183"/>
    <mergeCell ref="B154:G154"/>
    <mergeCell ref="B155:G155"/>
    <mergeCell ref="B156:G156"/>
    <mergeCell ref="B157:C157"/>
    <mergeCell ref="B158:D158"/>
    <mergeCell ref="B189:D189"/>
    <mergeCell ref="A152:G152"/>
    <mergeCell ref="B153:C153"/>
    <mergeCell ref="B124:G124"/>
    <mergeCell ref="B125:G125"/>
    <mergeCell ref="B126:C126"/>
    <mergeCell ref="B127:G127"/>
    <mergeCell ref="B128:G128"/>
    <mergeCell ref="B159:C159"/>
    <mergeCell ref="B160:C160"/>
    <mergeCell ref="B101:C101"/>
    <mergeCell ref="A91:G91"/>
    <mergeCell ref="B93:G93"/>
    <mergeCell ref="B94:G94"/>
    <mergeCell ref="B95:G95"/>
    <mergeCell ref="B96:C96"/>
    <mergeCell ref="B129:C129"/>
    <mergeCell ref="B130:C130"/>
    <mergeCell ref="B131:C131"/>
    <mergeCell ref="A121:G121"/>
    <mergeCell ref="B122:C122"/>
    <mergeCell ref="B123:G123"/>
    <mergeCell ref="B92:C92"/>
    <mergeCell ref="B100:C100"/>
    <mergeCell ref="A1:G1"/>
    <mergeCell ref="B3:G3"/>
    <mergeCell ref="B4:G4"/>
    <mergeCell ref="B5:G5"/>
    <mergeCell ref="B6:C6"/>
    <mergeCell ref="B2:C2"/>
    <mergeCell ref="B7:D7"/>
    <mergeCell ref="B65:G65"/>
    <mergeCell ref="B67:D67"/>
    <mergeCell ref="B36:C36"/>
    <mergeCell ref="B37:D37"/>
    <mergeCell ref="A61:G61"/>
    <mergeCell ref="B62:C62"/>
    <mergeCell ref="B63:G63"/>
    <mergeCell ref="B64:G64"/>
    <mergeCell ref="B66:C66"/>
    <mergeCell ref="B39:C39"/>
    <mergeCell ref="B40:C40"/>
    <mergeCell ref="B8:C8"/>
    <mergeCell ref="B38:C38"/>
    <mergeCell ref="B9:C9"/>
    <mergeCell ref="B10:C10"/>
    <mergeCell ref="A31:G31"/>
    <mergeCell ref="B32:C32"/>
    <mergeCell ref="B33:G33"/>
    <mergeCell ref="B34:G34"/>
    <mergeCell ref="B35:G35"/>
    <mergeCell ref="B68:C68"/>
    <mergeCell ref="B69:C69"/>
    <mergeCell ref="B70:C70"/>
    <mergeCell ref="B97:G97"/>
    <mergeCell ref="B98:G98"/>
    <mergeCell ref="B99:C99"/>
  </mergeCells>
  <conditionalFormatting sqref="F48 G5:G14 B14:F14 G17:G23 B24:G24 F25:F29 G29:G42 F43:F45 B45:E45 B50:E50 B125:F125 B130:E130 B152:G152 B157:F157 B179:G179 B184:F184">
    <cfRule type="cellIs" dxfId="9" priority="19" stopIfTrue="1" operator="equal">
      <formula>0</formula>
    </cfRule>
  </conditionalFormatting>
  <conditionalFormatting sqref="E51:E55">
    <cfRule type="cellIs" dxfId="8" priority="17" stopIfTrue="1" operator="equal">
      <formula>0</formula>
    </cfRule>
  </conditionalFormatting>
  <conditionalFormatting sqref="F74 F69:F71 B71:E71 B76:E76">
    <cfRule type="cellIs" dxfId="7" priority="11" stopIfTrue="1" operator="equal">
      <formula>0</formula>
    </cfRule>
  </conditionalFormatting>
  <conditionalFormatting sqref="E77:E82">
    <cfRule type="cellIs" dxfId="6" priority="10" stopIfTrue="1" operator="equal">
      <formula>0</formula>
    </cfRule>
  </conditionalFormatting>
  <conditionalFormatting sqref="F101 F96:F98 B98:E98 B103:E103">
    <cfRule type="cellIs" dxfId="5" priority="9" stopIfTrue="1" operator="equal">
      <formula>0</formula>
    </cfRule>
  </conditionalFormatting>
  <conditionalFormatting sqref="E104:E109">
    <cfRule type="cellIs" dxfId="4" priority="8" stopIfTrue="1" operator="equal">
      <formula>0</formula>
    </cfRule>
  </conditionalFormatting>
  <conditionalFormatting sqref="G128 G123:G125">
    <cfRule type="cellIs" dxfId="3" priority="7" stopIfTrue="1" operator="equal">
      <formula>0</formula>
    </cfRule>
  </conditionalFormatting>
  <conditionalFormatting sqref="H155 H150:H152">
    <cfRule type="cellIs" dxfId="2" priority="5" stopIfTrue="1" operator="equal">
      <formula>0</formula>
    </cfRule>
  </conditionalFormatting>
  <conditionalFormatting sqref="H182 H177:H179">
    <cfRule type="cellIs" dxfId="1" priority="3" stopIfTrue="1" operator="equal">
      <formula>0</formula>
    </cfRule>
  </conditionalFormatting>
  <conditionalFormatting sqref="A5:A14 G32:G36 A29:A31 B36:F36 B46:G46 G39:G45 F53:G53 A17:A24">
    <cfRule type="cellIs" dxfId="0" priority="1" stopIfTrue="1" operator="equal">
      <formula>0</formula>
    </cfRule>
  </conditionalFormatting>
  <printOptions horizontalCentered="1"/>
  <pageMargins left="0.25" right="0.25" top="0.75" bottom="0.75" header="0.3" footer="0.3"/>
  <pageSetup paperSize="9" scale="86" orientation="portrait" r:id="rId1"/>
  <headerFooter alignWithMargins="0">
    <oddHeader>&amp;R&amp;"Times New Roman CE,Félkövér dőlt"&amp;11 8. melléklet a 4/2018. (III.19.)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view="pageLayout" topLeftCell="E1" zoomScaleNormal="100" zoomScaleSheetLayoutView="100" workbookViewId="0">
      <selection activeCell="L5" sqref="K4:L5"/>
    </sheetView>
  </sheetViews>
  <sheetFormatPr defaultColWidth="9.296875" defaultRowHeight="15.5" x14ac:dyDescent="0.35"/>
  <cols>
    <col min="1" max="1" width="6.296875" style="8" customWidth="1"/>
    <col min="2" max="2" width="70.796875" style="8" customWidth="1"/>
    <col min="3" max="3" width="12.296875" style="8" customWidth="1"/>
    <col min="4" max="5" width="15.796875" style="8" customWidth="1"/>
    <col min="6" max="6" width="15.796875" style="9" customWidth="1"/>
    <col min="7" max="9" width="15.796875" style="251" customWidth="1"/>
    <col min="10" max="10" width="15.796875" style="253" customWidth="1"/>
    <col min="11" max="11" width="15.796875" style="611" customWidth="1"/>
    <col min="12" max="12" width="15.796875" style="661" customWidth="1"/>
    <col min="13" max="14" width="9.296875" style="1"/>
    <col min="15" max="15" width="19.69921875" style="1" bestFit="1" customWidth="1"/>
    <col min="16" max="16" width="9.296875" style="1"/>
    <col min="17" max="17" width="20.296875" style="1" customWidth="1"/>
    <col min="18" max="16384" width="9.296875" style="1"/>
  </cols>
  <sheetData>
    <row r="1" spans="1:12" ht="51" customHeight="1" x14ac:dyDescent="0.35">
      <c r="A1" s="876" t="s">
        <v>622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</row>
    <row r="2" spans="1:12" ht="16" customHeight="1" x14ac:dyDescent="0.35">
      <c r="A2" s="828" t="s">
        <v>0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828"/>
    </row>
    <row r="3" spans="1:12" ht="16" customHeight="1" x14ac:dyDescent="0.35">
      <c r="A3" s="877"/>
      <c r="B3" s="877"/>
      <c r="C3" s="2"/>
      <c r="D3" s="264"/>
      <c r="E3" s="264"/>
      <c r="J3" s="3" t="s">
        <v>801</v>
      </c>
      <c r="L3" s="656" t="s">
        <v>1</v>
      </c>
    </row>
    <row r="4" spans="1:12" s="7" customFormat="1" ht="38.15" customHeight="1" x14ac:dyDescent="0.3">
      <c r="A4" s="550" t="s">
        <v>2</v>
      </c>
      <c r="B4" s="551" t="s">
        <v>3</v>
      </c>
      <c r="C4" s="551" t="s">
        <v>4</v>
      </c>
      <c r="D4" s="568" t="s">
        <v>470</v>
      </c>
      <c r="E4" s="568" t="s">
        <v>471</v>
      </c>
      <c r="F4" s="552" t="s">
        <v>5</v>
      </c>
      <c r="G4" s="219" t="s">
        <v>824</v>
      </c>
      <c r="H4" s="219" t="s">
        <v>825</v>
      </c>
      <c r="I4" s="219" t="s">
        <v>856</v>
      </c>
      <c r="J4" s="219" t="s">
        <v>798</v>
      </c>
      <c r="K4" s="218" t="s">
        <v>834</v>
      </c>
      <c r="L4" s="658" t="s">
        <v>827</v>
      </c>
    </row>
    <row r="5" spans="1:12" s="569" customFormat="1" ht="12" customHeight="1" x14ac:dyDescent="0.25">
      <c r="A5" s="550" t="s">
        <v>6</v>
      </c>
      <c r="B5" s="551" t="s">
        <v>7</v>
      </c>
      <c r="C5" s="551" t="s">
        <v>8</v>
      </c>
      <c r="D5" s="568" t="s">
        <v>9</v>
      </c>
      <c r="E5" s="568" t="s">
        <v>269</v>
      </c>
      <c r="F5" s="568" t="s">
        <v>472</v>
      </c>
      <c r="G5" s="568" t="s">
        <v>796</v>
      </c>
      <c r="H5" s="568" t="s">
        <v>799</v>
      </c>
      <c r="I5" s="568" t="s">
        <v>800</v>
      </c>
      <c r="J5" s="568" t="s">
        <v>828</v>
      </c>
      <c r="K5" s="568" t="s">
        <v>829</v>
      </c>
      <c r="L5" s="552" t="s">
        <v>830</v>
      </c>
    </row>
    <row r="6" spans="1:12" s="5" customFormat="1" ht="15.75" customHeight="1" x14ac:dyDescent="0.3">
      <c r="A6" s="272" t="s">
        <v>10</v>
      </c>
      <c r="B6" s="273" t="s">
        <v>11</v>
      </c>
      <c r="C6" s="274" t="s">
        <v>12</v>
      </c>
      <c r="D6" s="378">
        <v>250951560</v>
      </c>
      <c r="E6" s="378"/>
      <c r="F6" s="379">
        <f>250002616+948944</f>
        <v>250951560</v>
      </c>
      <c r="G6" s="252">
        <f t="shared" ref="G6:G11" si="0">J6-D6</f>
        <v>0</v>
      </c>
      <c r="H6" s="252">
        <v>0</v>
      </c>
      <c r="I6" s="252">
        <f>J6-F6-G6-H6</f>
        <v>0</v>
      </c>
      <c r="J6" s="255">
        <v>250951560</v>
      </c>
      <c r="K6" s="223">
        <v>250951560</v>
      </c>
      <c r="L6" s="659">
        <f>K6/J6</f>
        <v>1</v>
      </c>
    </row>
    <row r="7" spans="1:12" s="5" customFormat="1" ht="15.75" customHeight="1" x14ac:dyDescent="0.3">
      <c r="A7" s="272" t="s">
        <v>13</v>
      </c>
      <c r="B7" s="273" t="s">
        <v>14</v>
      </c>
      <c r="C7" s="274" t="s">
        <v>15</v>
      </c>
      <c r="D7" s="378">
        <v>242687617</v>
      </c>
      <c r="E7" s="378"/>
      <c r="F7" s="379">
        <v>242687617</v>
      </c>
      <c r="G7" s="252">
        <v>2932300</v>
      </c>
      <c r="H7" s="252">
        <v>7173182</v>
      </c>
      <c r="I7" s="252">
        <f t="shared" ref="I7:I69" si="1">J7-F7-G7-H7</f>
        <v>5697922</v>
      </c>
      <c r="J7" s="255">
        <v>258491021</v>
      </c>
      <c r="K7" s="223">
        <v>258491021</v>
      </c>
      <c r="L7" s="659">
        <f t="shared" ref="L7:L70" si="2">K7/J7</f>
        <v>1</v>
      </c>
    </row>
    <row r="8" spans="1:12" s="5" customFormat="1" ht="24" customHeight="1" x14ac:dyDescent="0.3">
      <c r="A8" s="272" t="s">
        <v>16</v>
      </c>
      <c r="B8" s="273" t="s">
        <v>17</v>
      </c>
      <c r="C8" s="274" t="s">
        <v>18</v>
      </c>
      <c r="D8" s="378">
        <v>326754354</v>
      </c>
      <c r="E8" s="378"/>
      <c r="F8" s="379">
        <v>326754354</v>
      </c>
      <c r="G8" s="252">
        <v>11255769</v>
      </c>
      <c r="H8" s="252">
        <v>14703973</v>
      </c>
      <c r="I8" s="252">
        <f t="shared" si="1"/>
        <v>3377243</v>
      </c>
      <c r="J8" s="255">
        <v>356091339</v>
      </c>
      <c r="K8" s="223">
        <v>356091339</v>
      </c>
      <c r="L8" s="659">
        <f t="shared" si="2"/>
        <v>1</v>
      </c>
    </row>
    <row r="9" spans="1:12" s="5" customFormat="1" ht="15.75" customHeight="1" x14ac:dyDescent="0.3">
      <c r="A9" s="272" t="s">
        <v>19</v>
      </c>
      <c r="B9" s="273" t="s">
        <v>20</v>
      </c>
      <c r="C9" s="274" t="s">
        <v>21</v>
      </c>
      <c r="D9" s="378">
        <v>26773920</v>
      </c>
      <c r="E9" s="378"/>
      <c r="F9" s="379">
        <v>26773920</v>
      </c>
      <c r="G9" s="252">
        <v>1656063</v>
      </c>
      <c r="H9" s="252">
        <v>794558</v>
      </c>
      <c r="I9" s="252">
        <f t="shared" si="1"/>
        <v>400649</v>
      </c>
      <c r="J9" s="255">
        <v>29625190</v>
      </c>
      <c r="K9" s="223">
        <v>29625190</v>
      </c>
      <c r="L9" s="659">
        <f t="shared" si="2"/>
        <v>1</v>
      </c>
    </row>
    <row r="10" spans="1:12" s="5" customFormat="1" ht="15.75" customHeight="1" x14ac:dyDescent="0.3">
      <c r="A10" s="272" t="s">
        <v>22</v>
      </c>
      <c r="B10" s="273" t="s">
        <v>23</v>
      </c>
      <c r="C10" s="274" t="s">
        <v>24</v>
      </c>
      <c r="D10" s="378"/>
      <c r="E10" s="378"/>
      <c r="F10" s="379"/>
      <c r="G10" s="252">
        <v>15168511</v>
      </c>
      <c r="H10" s="252">
        <v>2372868</v>
      </c>
      <c r="I10" s="252">
        <f t="shared" si="1"/>
        <v>9996821</v>
      </c>
      <c r="J10" s="255">
        <v>27538200</v>
      </c>
      <c r="K10" s="223">
        <v>27538200</v>
      </c>
      <c r="L10" s="659">
        <f t="shared" si="2"/>
        <v>1</v>
      </c>
    </row>
    <row r="11" spans="1:12" s="5" customFormat="1" ht="15.75" customHeight="1" x14ac:dyDescent="0.3">
      <c r="A11" s="272" t="s">
        <v>25</v>
      </c>
      <c r="B11" s="273" t="s">
        <v>26</v>
      </c>
      <c r="C11" s="274" t="s">
        <v>27</v>
      </c>
      <c r="D11" s="378"/>
      <c r="E11" s="378"/>
      <c r="F11" s="379"/>
      <c r="G11" s="252">
        <f t="shared" si="0"/>
        <v>0</v>
      </c>
      <c r="H11" s="252">
        <f t="shared" ref="H11" si="3">J11-F11-G11</f>
        <v>0</v>
      </c>
      <c r="I11" s="252">
        <f t="shared" si="1"/>
        <v>0</v>
      </c>
      <c r="J11" s="255"/>
      <c r="K11" s="223"/>
      <c r="L11" s="659"/>
    </row>
    <row r="12" spans="1:12" s="5" customFormat="1" ht="15.75" customHeight="1" x14ac:dyDescent="0.3">
      <c r="A12" s="94" t="s">
        <v>28</v>
      </c>
      <c r="B12" s="85" t="s">
        <v>29</v>
      </c>
      <c r="C12" s="88" t="s">
        <v>30</v>
      </c>
      <c r="D12" s="87">
        <f t="shared" ref="D12:E12" si="4">+D6+D7+D8+D9+D10+D11</f>
        <v>847167451</v>
      </c>
      <c r="E12" s="87">
        <f t="shared" si="4"/>
        <v>0</v>
      </c>
      <c r="F12" s="87">
        <f>+F6+F7+F8+F9+F10+F11</f>
        <v>847167451</v>
      </c>
      <c r="G12" s="87">
        <f t="shared" ref="G12:K12" si="5">+G6+G7+G8+G9+G10+G11</f>
        <v>31012643</v>
      </c>
      <c r="H12" s="87">
        <f t="shared" si="5"/>
        <v>25044581</v>
      </c>
      <c r="I12" s="87">
        <f t="shared" si="5"/>
        <v>19472635</v>
      </c>
      <c r="J12" s="87">
        <f t="shared" si="5"/>
        <v>922697310</v>
      </c>
      <c r="K12" s="254">
        <f t="shared" si="5"/>
        <v>922697310</v>
      </c>
      <c r="L12" s="659">
        <f t="shared" si="2"/>
        <v>1</v>
      </c>
    </row>
    <row r="13" spans="1:12" s="5" customFormat="1" ht="15.75" customHeight="1" x14ac:dyDescent="0.3">
      <c r="A13" s="272" t="s">
        <v>31</v>
      </c>
      <c r="B13" s="273" t="s">
        <v>32</v>
      </c>
      <c r="C13" s="274" t="s">
        <v>33</v>
      </c>
      <c r="D13" s="378"/>
      <c r="E13" s="378"/>
      <c r="F13" s="379"/>
      <c r="G13" s="252"/>
      <c r="H13" s="252"/>
      <c r="I13" s="252">
        <f t="shared" si="1"/>
        <v>0</v>
      </c>
      <c r="J13" s="255"/>
      <c r="K13" s="223"/>
      <c r="L13" s="659"/>
    </row>
    <row r="14" spans="1:12" s="5" customFormat="1" ht="15.75" customHeight="1" x14ac:dyDescent="0.3">
      <c r="A14" s="272" t="s">
        <v>34</v>
      </c>
      <c r="B14" s="273" t="s">
        <v>35</v>
      </c>
      <c r="C14" s="274" t="s">
        <v>36</v>
      </c>
      <c r="D14" s="379">
        <f t="shared" ref="D14:E14" si="6">SUM(D15:D21)</f>
        <v>39208485</v>
      </c>
      <c r="E14" s="379">
        <f t="shared" si="6"/>
        <v>70875180</v>
      </c>
      <c r="F14" s="379">
        <f>SUM(F15:F21)</f>
        <v>110083665</v>
      </c>
      <c r="G14" s="252">
        <v>272597618</v>
      </c>
      <c r="H14" s="252">
        <v>14486590</v>
      </c>
      <c r="I14" s="252">
        <f t="shared" si="1"/>
        <v>-4410479</v>
      </c>
      <c r="J14" s="255">
        <v>392757394</v>
      </c>
      <c r="K14" s="223">
        <v>392756212</v>
      </c>
      <c r="L14" s="659">
        <f t="shared" si="2"/>
        <v>0.9999969905085988</v>
      </c>
    </row>
    <row r="15" spans="1:12" s="5" customFormat="1" ht="24" customHeight="1" x14ac:dyDescent="0.3">
      <c r="A15" s="272" t="s">
        <v>37</v>
      </c>
      <c r="B15" s="276" t="s">
        <v>38</v>
      </c>
      <c r="C15" s="274" t="s">
        <v>36</v>
      </c>
      <c r="D15" s="378"/>
      <c r="E15" s="378"/>
      <c r="F15" s="380"/>
      <c r="G15" s="252"/>
      <c r="H15" s="252">
        <v>0</v>
      </c>
      <c r="I15" s="252">
        <f t="shared" si="1"/>
        <v>0</v>
      </c>
      <c r="J15" s="255">
        <f t="shared" ref="J15:J17" si="7">D15+G15</f>
        <v>0</v>
      </c>
      <c r="K15" s="223"/>
      <c r="L15" s="659"/>
    </row>
    <row r="16" spans="1:12" s="5" customFormat="1" ht="24.75" customHeight="1" x14ac:dyDescent="0.3">
      <c r="A16" s="272" t="s">
        <v>39</v>
      </c>
      <c r="B16" s="278" t="s">
        <v>40</v>
      </c>
      <c r="C16" s="274" t="s">
        <v>36</v>
      </c>
      <c r="D16" s="378"/>
      <c r="E16" s="378">
        <v>55826180</v>
      </c>
      <c r="F16" s="380">
        <f>'[16]8.sz.mell. '!F13</f>
        <v>55826180</v>
      </c>
      <c r="G16" s="252">
        <v>9000000</v>
      </c>
      <c r="H16" s="252">
        <v>0</v>
      </c>
      <c r="I16" s="252">
        <f t="shared" si="1"/>
        <v>4536000</v>
      </c>
      <c r="J16" s="255">
        <v>69362180</v>
      </c>
      <c r="K16" s="255">
        <v>69361897</v>
      </c>
      <c r="L16" s="660">
        <f t="shared" si="2"/>
        <v>0.99999591996675996</v>
      </c>
    </row>
    <row r="17" spans="1:12" s="5" customFormat="1" ht="15.75" customHeight="1" x14ac:dyDescent="0.3">
      <c r="A17" s="272" t="s">
        <v>41</v>
      </c>
      <c r="B17" s="278" t="s">
        <v>42</v>
      </c>
      <c r="C17" s="274" t="s">
        <v>36</v>
      </c>
      <c r="D17" s="378"/>
      <c r="E17" s="378"/>
      <c r="F17" s="380"/>
      <c r="G17" s="252"/>
      <c r="H17" s="252">
        <v>0</v>
      </c>
      <c r="I17" s="252">
        <f t="shared" si="1"/>
        <v>0</v>
      </c>
      <c r="J17" s="255">
        <f t="shared" si="7"/>
        <v>0</v>
      </c>
      <c r="K17" s="223"/>
      <c r="L17" s="659"/>
    </row>
    <row r="18" spans="1:12" s="5" customFormat="1" ht="19.5" customHeight="1" x14ac:dyDescent="0.3">
      <c r="A18" s="272" t="s">
        <v>43</v>
      </c>
      <c r="B18" s="278" t="s">
        <v>44</v>
      </c>
      <c r="C18" s="274" t="s">
        <v>36</v>
      </c>
      <c r="D18" s="378"/>
      <c r="E18" s="378">
        <v>15049000</v>
      </c>
      <c r="F18" s="275">
        <f>13321000+1728000</f>
        <v>15049000</v>
      </c>
      <c r="G18" s="252">
        <v>338580</v>
      </c>
      <c r="H18" s="252">
        <v>6646990</v>
      </c>
      <c r="I18" s="252">
        <f t="shared" si="1"/>
        <v>-19644168</v>
      </c>
      <c r="J18" s="255">
        <v>2390402</v>
      </c>
      <c r="K18" s="223">
        <v>23290402</v>
      </c>
      <c r="L18" s="659">
        <f t="shared" si="2"/>
        <v>9.7432992442275399</v>
      </c>
    </row>
    <row r="19" spans="1:12" s="5" customFormat="1" ht="19.5" customHeight="1" x14ac:dyDescent="0.3">
      <c r="A19" s="272" t="s">
        <v>45</v>
      </c>
      <c r="B19" s="278" t="s">
        <v>46</v>
      </c>
      <c r="C19" s="274" t="s">
        <v>36</v>
      </c>
      <c r="D19" s="378">
        <v>8348400</v>
      </c>
      <c r="E19" s="378"/>
      <c r="F19" s="380">
        <f>695700*12</f>
        <v>8348400</v>
      </c>
      <c r="G19" s="252"/>
      <c r="H19" s="252">
        <v>7839600</v>
      </c>
      <c r="I19" s="252">
        <f t="shared" si="1"/>
        <v>-717500</v>
      </c>
      <c r="J19" s="255">
        <v>15470500</v>
      </c>
      <c r="K19" s="223">
        <v>15470500</v>
      </c>
      <c r="L19" s="659">
        <f t="shared" si="2"/>
        <v>1</v>
      </c>
    </row>
    <row r="20" spans="1:12" s="5" customFormat="1" ht="24" customHeight="1" x14ac:dyDescent="0.3">
      <c r="A20" s="272" t="s">
        <v>47</v>
      </c>
      <c r="B20" s="278" t="s">
        <v>48</v>
      </c>
      <c r="C20" s="274" t="s">
        <v>36</v>
      </c>
      <c r="D20" s="378">
        <v>30860085</v>
      </c>
      <c r="E20" s="378"/>
      <c r="F20" s="380">
        <f>25113874+594898+5151313</f>
        <v>30860085</v>
      </c>
      <c r="G20" s="252">
        <v>258650477</v>
      </c>
      <c r="H20" s="252">
        <v>0</v>
      </c>
      <c r="I20" s="252">
        <f t="shared" si="1"/>
        <v>-19518674</v>
      </c>
      <c r="J20" s="255">
        <v>269991888</v>
      </c>
      <c r="K20" s="223">
        <v>269990989</v>
      </c>
      <c r="L20" s="659">
        <f t="shared" si="2"/>
        <v>0.99999667027033046</v>
      </c>
    </row>
    <row r="21" spans="1:12" s="5" customFormat="1" ht="24.75" customHeight="1" x14ac:dyDescent="0.3">
      <c r="A21" s="272" t="s">
        <v>49</v>
      </c>
      <c r="B21" s="278" t="s">
        <v>50</v>
      </c>
      <c r="C21" s="274" t="s">
        <v>36</v>
      </c>
      <c r="D21" s="378"/>
      <c r="E21" s="378"/>
      <c r="F21" s="380"/>
      <c r="G21" s="252">
        <v>4608561</v>
      </c>
      <c r="H21" s="252">
        <v>0</v>
      </c>
      <c r="I21" s="252">
        <f t="shared" si="1"/>
        <v>10033863</v>
      </c>
      <c r="J21" s="255">
        <v>14642424</v>
      </c>
      <c r="K21" s="223">
        <v>14642424</v>
      </c>
      <c r="L21" s="659">
        <f t="shared" si="2"/>
        <v>1</v>
      </c>
    </row>
    <row r="22" spans="1:12" s="5" customFormat="1" ht="18" customHeight="1" x14ac:dyDescent="0.3">
      <c r="A22" s="279" t="s">
        <v>51</v>
      </c>
      <c r="B22" s="280" t="s">
        <v>52</v>
      </c>
      <c r="C22" s="281" t="s">
        <v>53</v>
      </c>
      <c r="D22" s="381">
        <f t="shared" ref="D22:E22" si="8">SUM(D12+D13+D14)</f>
        <v>886375936</v>
      </c>
      <c r="E22" s="381">
        <f t="shared" si="8"/>
        <v>70875180</v>
      </c>
      <c r="F22" s="381">
        <f>SUM(F12+F13+F14)</f>
        <v>957251116</v>
      </c>
      <c r="G22" s="381">
        <f t="shared" ref="G22:K22" si="9">SUM(G12+G13+G14)</f>
        <v>303610261</v>
      </c>
      <c r="H22" s="381">
        <f t="shared" si="9"/>
        <v>39531171</v>
      </c>
      <c r="I22" s="381">
        <f t="shared" si="9"/>
        <v>15062156</v>
      </c>
      <c r="J22" s="381">
        <f>SUM(J12+J13+J14)</f>
        <v>1315454704</v>
      </c>
      <c r="K22" s="254">
        <f t="shared" si="9"/>
        <v>1315453522</v>
      </c>
      <c r="L22" s="659">
        <f t="shared" si="2"/>
        <v>0.99999910145138682</v>
      </c>
    </row>
    <row r="23" spans="1:12" s="5" customFormat="1" ht="15.75" customHeight="1" x14ac:dyDescent="0.3">
      <c r="A23" s="272" t="s">
        <v>54</v>
      </c>
      <c r="B23" s="283" t="s">
        <v>55</v>
      </c>
      <c r="C23" s="274" t="s">
        <v>56</v>
      </c>
      <c r="D23" s="382"/>
      <c r="E23" s="382"/>
      <c r="F23" s="275"/>
      <c r="G23" s="252"/>
      <c r="H23" s="252">
        <v>50000000</v>
      </c>
      <c r="I23" s="252">
        <f t="shared" si="1"/>
        <v>6278475</v>
      </c>
      <c r="J23" s="255">
        <v>56278475</v>
      </c>
      <c r="K23" s="223">
        <v>56278475</v>
      </c>
      <c r="L23" s="659">
        <f t="shared" si="2"/>
        <v>1</v>
      </c>
    </row>
    <row r="24" spans="1:12" s="5" customFormat="1" ht="15.75" customHeight="1" x14ac:dyDescent="0.3">
      <c r="A24" s="272" t="s">
        <v>57</v>
      </c>
      <c r="B24" s="283" t="s">
        <v>58</v>
      </c>
      <c r="C24" s="274" t="s">
        <v>59</v>
      </c>
      <c r="D24" s="275">
        <f t="shared" ref="D24:E24" si="10">SUM(D25:D30)</f>
        <v>50000000</v>
      </c>
      <c r="E24" s="275">
        <f t="shared" si="10"/>
        <v>0</v>
      </c>
      <c r="F24" s="275">
        <f>SUM(F25:F30)</f>
        <v>50000000</v>
      </c>
      <c r="G24" s="275">
        <f t="shared" ref="G24:K24" si="11">SUM(G25:G30)</f>
        <v>1157803187</v>
      </c>
      <c r="H24" s="275">
        <f t="shared" si="11"/>
        <v>444482000</v>
      </c>
      <c r="I24" s="275">
        <f t="shared" si="11"/>
        <v>881856308</v>
      </c>
      <c r="J24" s="275">
        <f t="shared" si="11"/>
        <v>2534141495</v>
      </c>
      <c r="K24" s="275">
        <f t="shared" si="11"/>
        <v>2534135495</v>
      </c>
      <c r="L24" s="659">
        <f t="shared" si="2"/>
        <v>0.9999976323342592</v>
      </c>
    </row>
    <row r="25" spans="1:12" s="5" customFormat="1" ht="15.75" customHeight="1" x14ac:dyDescent="0.3">
      <c r="A25" s="272" t="s">
        <v>60</v>
      </c>
      <c r="B25" s="276" t="s">
        <v>61</v>
      </c>
      <c r="C25" s="274" t="s">
        <v>59</v>
      </c>
      <c r="D25" s="378">
        <v>50000000</v>
      </c>
      <c r="E25" s="382"/>
      <c r="F25" s="275">
        <v>50000000</v>
      </c>
      <c r="G25" s="252">
        <v>0</v>
      </c>
      <c r="H25" s="252">
        <v>-50000000</v>
      </c>
      <c r="I25" s="252">
        <f t="shared" si="1"/>
        <v>0</v>
      </c>
      <c r="J25" s="255">
        <v>0</v>
      </c>
      <c r="K25" s="223">
        <v>0</v>
      </c>
      <c r="L25" s="659" t="s">
        <v>801</v>
      </c>
    </row>
    <row r="26" spans="1:12" s="5" customFormat="1" ht="24" customHeight="1" x14ac:dyDescent="0.3">
      <c r="A26" s="272" t="s">
        <v>62</v>
      </c>
      <c r="B26" s="284" t="s">
        <v>63</v>
      </c>
      <c r="C26" s="274" t="s">
        <v>59</v>
      </c>
      <c r="D26" s="382"/>
      <c r="E26" s="382"/>
      <c r="F26" s="275"/>
      <c r="G26" s="252">
        <v>1157803187</v>
      </c>
      <c r="H26" s="252">
        <v>494482000</v>
      </c>
      <c r="I26" s="252">
        <f t="shared" si="1"/>
        <v>881856308</v>
      </c>
      <c r="J26" s="255">
        <v>2534141495</v>
      </c>
      <c r="K26" s="255">
        <v>2534135495</v>
      </c>
      <c r="L26" s="660">
        <f t="shared" si="2"/>
        <v>0.9999976323342592</v>
      </c>
    </row>
    <row r="27" spans="1:12" s="5" customFormat="1" ht="15.75" customHeight="1" x14ac:dyDescent="0.3">
      <c r="A27" s="272" t="s">
        <v>64</v>
      </c>
      <c r="B27" s="284" t="s">
        <v>65</v>
      </c>
      <c r="C27" s="274" t="s">
        <v>59</v>
      </c>
      <c r="D27" s="382"/>
      <c r="E27" s="382"/>
      <c r="F27" s="275"/>
      <c r="G27" s="252">
        <f t="shared" ref="G27:G71" si="12">J27-F27</f>
        <v>0</v>
      </c>
      <c r="H27" s="252">
        <f t="shared" ref="H27:H30" si="13">J27-F27-G27</f>
        <v>0</v>
      </c>
      <c r="I27" s="252">
        <f t="shared" si="1"/>
        <v>0</v>
      </c>
      <c r="J27" s="255"/>
      <c r="K27" s="223"/>
      <c r="L27" s="659"/>
    </row>
    <row r="28" spans="1:12" s="5" customFormat="1" ht="15.75" customHeight="1" x14ac:dyDescent="0.3">
      <c r="A28" s="272" t="s">
        <v>66</v>
      </c>
      <c r="B28" s="284" t="s">
        <v>67</v>
      </c>
      <c r="C28" s="274" t="s">
        <v>59</v>
      </c>
      <c r="D28" s="382"/>
      <c r="E28" s="382"/>
      <c r="F28" s="275"/>
      <c r="G28" s="252">
        <f t="shared" si="12"/>
        <v>0</v>
      </c>
      <c r="H28" s="252">
        <f t="shared" si="13"/>
        <v>0</v>
      </c>
      <c r="I28" s="252">
        <f t="shared" si="1"/>
        <v>0</v>
      </c>
      <c r="J28" s="255"/>
      <c r="K28" s="223"/>
      <c r="L28" s="659"/>
    </row>
    <row r="29" spans="1:12" s="5" customFormat="1" ht="24.75" customHeight="1" x14ac:dyDescent="0.3">
      <c r="A29" s="272" t="s">
        <v>68</v>
      </c>
      <c r="B29" s="284" t="s">
        <v>69</v>
      </c>
      <c r="C29" s="274" t="s">
        <v>59</v>
      </c>
      <c r="D29" s="382"/>
      <c r="E29" s="382"/>
      <c r="F29" s="275"/>
      <c r="G29" s="252">
        <f t="shared" si="12"/>
        <v>0</v>
      </c>
      <c r="H29" s="252">
        <f t="shared" si="13"/>
        <v>0</v>
      </c>
      <c r="I29" s="252">
        <f t="shared" si="1"/>
        <v>0</v>
      </c>
      <c r="J29" s="255"/>
      <c r="K29" s="223"/>
      <c r="L29" s="659"/>
    </row>
    <row r="30" spans="1:12" s="5" customFormat="1" ht="24" customHeight="1" x14ac:dyDescent="0.3">
      <c r="A30" s="272" t="s">
        <v>70</v>
      </c>
      <c r="B30" s="284" t="s">
        <v>71</v>
      </c>
      <c r="C30" s="274" t="s">
        <v>59</v>
      </c>
      <c r="D30" s="382"/>
      <c r="E30" s="382"/>
      <c r="F30" s="383"/>
      <c r="G30" s="252">
        <f t="shared" si="12"/>
        <v>0</v>
      </c>
      <c r="H30" s="252">
        <f t="shared" si="13"/>
        <v>0</v>
      </c>
      <c r="I30" s="252">
        <f t="shared" si="1"/>
        <v>0</v>
      </c>
      <c r="J30" s="255"/>
      <c r="K30" s="223"/>
      <c r="L30" s="659"/>
    </row>
    <row r="31" spans="1:12" s="533" customFormat="1" ht="22.5" customHeight="1" x14ac:dyDescent="0.3">
      <c r="A31" s="94" t="s">
        <v>72</v>
      </c>
      <c r="B31" s="85" t="s">
        <v>73</v>
      </c>
      <c r="C31" s="88" t="s">
        <v>74</v>
      </c>
      <c r="D31" s="96">
        <f t="shared" ref="D31:E31" si="14">SUM(D23+D24)</f>
        <v>50000000</v>
      </c>
      <c r="E31" s="96">
        <f t="shared" si="14"/>
        <v>0</v>
      </c>
      <c r="F31" s="96">
        <f>SUM(F23+F24)</f>
        <v>50000000</v>
      </c>
      <c r="G31" s="96">
        <f t="shared" ref="G31:K31" si="15">SUM(G23+G24)</f>
        <v>1157803187</v>
      </c>
      <c r="H31" s="96">
        <f t="shared" si="15"/>
        <v>494482000</v>
      </c>
      <c r="I31" s="96">
        <f t="shared" si="15"/>
        <v>888134783</v>
      </c>
      <c r="J31" s="96">
        <f>SUM(J23+J24)</f>
        <v>2590419970</v>
      </c>
      <c r="K31" s="612">
        <f t="shared" si="15"/>
        <v>2590413970</v>
      </c>
      <c r="L31" s="659">
        <f t="shared" si="2"/>
        <v>0.99999768377326093</v>
      </c>
    </row>
    <row r="32" spans="1:12" s="5" customFormat="1" ht="14.25" customHeight="1" x14ac:dyDescent="0.3">
      <c r="A32" s="272" t="s">
        <v>75</v>
      </c>
      <c r="B32" s="285" t="s">
        <v>76</v>
      </c>
      <c r="C32" s="286" t="s">
        <v>77</v>
      </c>
      <c r="D32" s="384"/>
      <c r="E32" s="384"/>
      <c r="F32" s="287"/>
      <c r="G32" s="252">
        <v>0</v>
      </c>
      <c r="H32" s="252"/>
      <c r="I32" s="255">
        <f t="shared" si="1"/>
        <v>6911</v>
      </c>
      <c r="J32" s="255">
        <v>6911</v>
      </c>
      <c r="K32" s="577">
        <v>6910</v>
      </c>
      <c r="L32" s="659"/>
    </row>
    <row r="33" spans="1:12" s="5" customFormat="1" ht="14.25" customHeight="1" x14ac:dyDescent="0.3">
      <c r="A33" s="272" t="s">
        <v>78</v>
      </c>
      <c r="B33" s="273" t="s">
        <v>79</v>
      </c>
      <c r="C33" s="274" t="s">
        <v>80</v>
      </c>
      <c r="D33" s="379">
        <f t="shared" ref="D33:E33" si="16">SUM(D34:D36)</f>
        <v>131000000</v>
      </c>
      <c r="E33" s="379">
        <f t="shared" si="16"/>
        <v>0</v>
      </c>
      <c r="F33" s="275">
        <f>SUM(F34:F36)</f>
        <v>131000000</v>
      </c>
      <c r="G33" s="379">
        <f t="shared" ref="G33:K33" si="17">SUM(G34:G36)</f>
        <v>0</v>
      </c>
      <c r="H33" s="379">
        <f t="shared" si="17"/>
        <v>-1608935</v>
      </c>
      <c r="I33" s="379">
        <f t="shared" si="17"/>
        <v>5236945</v>
      </c>
      <c r="J33" s="379">
        <f t="shared" si="17"/>
        <v>134628010</v>
      </c>
      <c r="K33" s="275">
        <f t="shared" si="17"/>
        <v>134458900</v>
      </c>
      <c r="L33" s="659">
        <f t="shared" si="2"/>
        <v>0.99874387209615589</v>
      </c>
    </row>
    <row r="34" spans="1:12" s="5" customFormat="1" ht="14.25" customHeight="1" x14ac:dyDescent="0.3">
      <c r="A34" s="272" t="s">
        <v>81</v>
      </c>
      <c r="B34" s="288" t="s">
        <v>82</v>
      </c>
      <c r="C34" s="289" t="s">
        <v>80</v>
      </c>
      <c r="D34" s="385">
        <v>75000000</v>
      </c>
      <c r="E34" s="385"/>
      <c r="F34" s="277">
        <v>75000000</v>
      </c>
      <c r="G34" s="255">
        <v>0</v>
      </c>
      <c r="H34" s="255">
        <v>-1954161</v>
      </c>
      <c r="I34" s="255">
        <f t="shared" si="1"/>
        <v>3895245</v>
      </c>
      <c r="J34" s="255">
        <v>76941084</v>
      </c>
      <c r="K34" s="223">
        <v>76848736</v>
      </c>
      <c r="L34" s="659">
        <f t="shared" si="2"/>
        <v>0.99879975696729206</v>
      </c>
    </row>
    <row r="35" spans="1:12" s="5" customFormat="1" ht="14.25" customHeight="1" x14ac:dyDescent="0.3">
      <c r="A35" s="272" t="s">
        <v>83</v>
      </c>
      <c r="B35" s="291" t="s">
        <v>84</v>
      </c>
      <c r="C35" s="289" t="s">
        <v>80</v>
      </c>
      <c r="D35" s="385">
        <v>8000000</v>
      </c>
      <c r="E35" s="385"/>
      <c r="F35" s="277">
        <v>8000000</v>
      </c>
      <c r="G35" s="255">
        <v>0</v>
      </c>
      <c r="H35" s="255">
        <v>0</v>
      </c>
      <c r="I35" s="255">
        <f t="shared" si="1"/>
        <v>-1600000</v>
      </c>
      <c r="J35" s="255">
        <v>6400000</v>
      </c>
      <c r="K35" s="223">
        <v>6326336</v>
      </c>
      <c r="L35" s="659">
        <f t="shared" si="2"/>
        <v>0.98848999999999998</v>
      </c>
    </row>
    <row r="36" spans="1:12" s="5" customFormat="1" ht="14.25" customHeight="1" x14ac:dyDescent="0.3">
      <c r="A36" s="272" t="s">
        <v>85</v>
      </c>
      <c r="B36" s="291" t="s">
        <v>86</v>
      </c>
      <c r="C36" s="289" t="s">
        <v>80</v>
      </c>
      <c r="D36" s="385">
        <v>48000000</v>
      </c>
      <c r="E36" s="385"/>
      <c r="F36" s="277">
        <v>48000000</v>
      </c>
      <c r="G36" s="255">
        <v>0</v>
      </c>
      <c r="H36" s="255">
        <v>345226</v>
      </c>
      <c r="I36" s="255">
        <f t="shared" si="1"/>
        <v>2941700</v>
      </c>
      <c r="J36" s="255">
        <v>51286926</v>
      </c>
      <c r="K36" s="223">
        <v>51283828</v>
      </c>
      <c r="L36" s="659">
        <f t="shared" si="2"/>
        <v>0.99993959474194261</v>
      </c>
    </row>
    <row r="37" spans="1:12" s="5" customFormat="1" ht="14.25" customHeight="1" x14ac:dyDescent="0.3">
      <c r="A37" s="272" t="s">
        <v>87</v>
      </c>
      <c r="B37" s="292" t="s">
        <v>88</v>
      </c>
      <c r="C37" s="274" t="s">
        <v>89</v>
      </c>
      <c r="D37" s="379">
        <f t="shared" ref="D37:E37" si="18">SUM(D38:D39)</f>
        <v>580000000</v>
      </c>
      <c r="E37" s="379">
        <f t="shared" si="18"/>
        <v>0</v>
      </c>
      <c r="F37" s="275">
        <f>SUM(F38:F39)</f>
        <v>580000000</v>
      </c>
      <c r="G37" s="379">
        <f t="shared" ref="G37:K37" si="19">SUM(G38:G39)</f>
        <v>0</v>
      </c>
      <c r="H37" s="379">
        <f t="shared" si="19"/>
        <v>0</v>
      </c>
      <c r="I37" s="379">
        <f t="shared" si="19"/>
        <v>42757855</v>
      </c>
      <c r="J37" s="379">
        <f t="shared" si="19"/>
        <v>622757855</v>
      </c>
      <c r="K37" s="275">
        <f t="shared" si="19"/>
        <v>622692815</v>
      </c>
      <c r="L37" s="659">
        <f t="shared" si="2"/>
        <v>0.99989556133338531</v>
      </c>
    </row>
    <row r="38" spans="1:12" s="5" customFormat="1" ht="14.25" customHeight="1" x14ac:dyDescent="0.3">
      <c r="A38" s="272" t="s">
        <v>90</v>
      </c>
      <c r="B38" s="293" t="s">
        <v>91</v>
      </c>
      <c r="C38" s="289" t="s">
        <v>89</v>
      </c>
      <c r="D38" s="385">
        <v>580000000</v>
      </c>
      <c r="E38" s="385"/>
      <c r="F38" s="277">
        <v>580000000</v>
      </c>
      <c r="G38" s="255">
        <v>0</v>
      </c>
      <c r="H38" s="255">
        <v>0</v>
      </c>
      <c r="I38" s="255">
        <f t="shared" si="1"/>
        <v>42757855</v>
      </c>
      <c r="J38" s="255">
        <v>622757855</v>
      </c>
      <c r="K38" s="223">
        <v>622692815</v>
      </c>
      <c r="L38" s="659">
        <f t="shared" si="2"/>
        <v>0.99989556133338531</v>
      </c>
    </row>
    <row r="39" spans="1:12" s="5" customFormat="1" ht="14.25" customHeight="1" x14ac:dyDescent="0.3">
      <c r="A39" s="272" t="s">
        <v>92</v>
      </c>
      <c r="B39" s="293" t="s">
        <v>93</v>
      </c>
      <c r="C39" s="289" t="s">
        <v>89</v>
      </c>
      <c r="D39" s="385"/>
      <c r="E39" s="385"/>
      <c r="F39" s="275"/>
      <c r="G39" s="255">
        <v>0</v>
      </c>
      <c r="H39" s="255">
        <v>0</v>
      </c>
      <c r="I39" s="255">
        <f t="shared" si="1"/>
        <v>0</v>
      </c>
      <c r="J39" s="255"/>
      <c r="K39" s="223"/>
      <c r="L39" s="659" t="s">
        <v>801</v>
      </c>
    </row>
    <row r="40" spans="1:12" s="5" customFormat="1" ht="17.25" customHeight="1" x14ac:dyDescent="0.3">
      <c r="A40" s="272" t="s">
        <v>94</v>
      </c>
      <c r="B40" s="294" t="s">
        <v>95</v>
      </c>
      <c r="C40" s="274" t="s">
        <v>96</v>
      </c>
      <c r="D40" s="378">
        <v>38000000</v>
      </c>
      <c r="E40" s="378"/>
      <c r="F40" s="275">
        <v>38000000</v>
      </c>
      <c r="G40" s="255">
        <v>0</v>
      </c>
      <c r="H40" s="255">
        <v>0</v>
      </c>
      <c r="I40" s="255">
        <f t="shared" si="1"/>
        <v>3156521</v>
      </c>
      <c r="J40" s="255">
        <v>41156521</v>
      </c>
      <c r="K40" s="223">
        <v>41156521</v>
      </c>
      <c r="L40" s="659">
        <f t="shared" si="2"/>
        <v>1</v>
      </c>
    </row>
    <row r="41" spans="1:12" s="5" customFormat="1" ht="17.25" customHeight="1" x14ac:dyDescent="0.3">
      <c r="A41" s="272" t="s">
        <v>97</v>
      </c>
      <c r="B41" s="292" t="s">
        <v>98</v>
      </c>
      <c r="C41" s="274" t="s">
        <v>99</v>
      </c>
      <c r="D41" s="379">
        <f t="shared" ref="D41:E41" si="20">SUM(D42:D43)</f>
        <v>0</v>
      </c>
      <c r="E41" s="379">
        <f t="shared" si="20"/>
        <v>0</v>
      </c>
      <c r="F41" s="275">
        <f>SUM(F42:F43)</f>
        <v>0</v>
      </c>
      <c r="G41" s="379">
        <f t="shared" ref="G41:K41" si="21">SUM(G42:G43)</f>
        <v>669400</v>
      </c>
      <c r="H41" s="379">
        <f t="shared" si="21"/>
        <v>891000</v>
      </c>
      <c r="I41" s="379">
        <f t="shared" si="21"/>
        <v>444600</v>
      </c>
      <c r="J41" s="379">
        <f t="shared" si="21"/>
        <v>2005000</v>
      </c>
      <c r="K41" s="275">
        <f t="shared" si="21"/>
        <v>2004600</v>
      </c>
      <c r="L41" s="659">
        <f t="shared" si="2"/>
        <v>0.99980049875311716</v>
      </c>
    </row>
    <row r="42" spans="1:12" s="5" customFormat="1" ht="14.25" customHeight="1" x14ac:dyDescent="0.3">
      <c r="A42" s="272" t="s">
        <v>100</v>
      </c>
      <c r="B42" s="293" t="s">
        <v>101</v>
      </c>
      <c r="C42" s="289" t="s">
        <v>99</v>
      </c>
      <c r="D42" s="385"/>
      <c r="E42" s="385"/>
      <c r="F42" s="275"/>
      <c r="G42" s="255">
        <v>669400</v>
      </c>
      <c r="H42" s="255">
        <v>891000</v>
      </c>
      <c r="I42" s="255">
        <f t="shared" si="1"/>
        <v>444600</v>
      </c>
      <c r="J42" s="255">
        <v>2005000</v>
      </c>
      <c r="K42" s="223">
        <v>2004600</v>
      </c>
      <c r="L42" s="659">
        <f t="shared" si="2"/>
        <v>0.99980049875311716</v>
      </c>
    </row>
    <row r="43" spans="1:12" s="5" customFormat="1" ht="14.25" customHeight="1" x14ac:dyDescent="0.3">
      <c r="A43" s="272" t="s">
        <v>102</v>
      </c>
      <c r="B43" s="293" t="s">
        <v>103</v>
      </c>
      <c r="C43" s="289" t="s">
        <v>99</v>
      </c>
      <c r="D43" s="385"/>
      <c r="E43" s="385"/>
      <c r="F43" s="275"/>
      <c r="G43" s="255">
        <f t="shared" si="12"/>
        <v>0</v>
      </c>
      <c r="H43" s="255">
        <v>0</v>
      </c>
      <c r="I43" s="255">
        <f t="shared" si="1"/>
        <v>0</v>
      </c>
      <c r="J43" s="255"/>
      <c r="K43" s="223"/>
      <c r="L43" s="659"/>
    </row>
    <row r="44" spans="1:12" s="5" customFormat="1" ht="14.25" customHeight="1" x14ac:dyDescent="0.3">
      <c r="A44" s="272" t="s">
        <v>104</v>
      </c>
      <c r="B44" s="283" t="s">
        <v>105</v>
      </c>
      <c r="C44" s="295" t="s">
        <v>106</v>
      </c>
      <c r="D44" s="386">
        <v>2000000</v>
      </c>
      <c r="E44" s="386"/>
      <c r="F44" s="275">
        <v>2000000</v>
      </c>
      <c r="G44" s="255">
        <v>593953</v>
      </c>
      <c r="H44" s="255">
        <v>1246862</v>
      </c>
      <c r="I44" s="255">
        <f t="shared" si="1"/>
        <v>127732</v>
      </c>
      <c r="J44" s="255">
        <v>3968547</v>
      </c>
      <c r="K44" s="223">
        <v>3799055</v>
      </c>
      <c r="L44" s="659">
        <f t="shared" si="2"/>
        <v>0.95729116979085793</v>
      </c>
    </row>
    <row r="45" spans="1:12" s="533" customFormat="1" ht="17.25" customHeight="1" x14ac:dyDescent="0.3">
      <c r="A45" s="94" t="s">
        <v>107</v>
      </c>
      <c r="B45" s="85" t="s">
        <v>108</v>
      </c>
      <c r="C45" s="88" t="s">
        <v>109</v>
      </c>
      <c r="D45" s="96">
        <f t="shared" ref="D45:E45" si="22">SUM(D32+D33+D37+D40+D41+D44)</f>
        <v>751000000</v>
      </c>
      <c r="E45" s="96">
        <f t="shared" si="22"/>
        <v>0</v>
      </c>
      <c r="F45" s="96">
        <f>SUM(F32+F33+F37+F40+F41+F44)</f>
        <v>751000000</v>
      </c>
      <c r="G45" s="87">
        <f t="shared" ref="G45:K45" si="23">SUM(G32+G33+G37+G40+G41+G44)</f>
        <v>1263353</v>
      </c>
      <c r="H45" s="87">
        <f t="shared" si="23"/>
        <v>528927</v>
      </c>
      <c r="I45" s="87">
        <f t="shared" si="23"/>
        <v>51730564</v>
      </c>
      <c r="J45" s="87">
        <f t="shared" si="23"/>
        <v>804522844</v>
      </c>
      <c r="K45" s="96">
        <f t="shared" si="23"/>
        <v>804118801</v>
      </c>
      <c r="L45" s="659">
        <f t="shared" si="2"/>
        <v>0.99949778554703161</v>
      </c>
    </row>
    <row r="46" spans="1:12" s="5" customFormat="1" ht="14.25" customHeight="1" x14ac:dyDescent="0.3">
      <c r="A46" s="272" t="s">
        <v>110</v>
      </c>
      <c r="B46" s="283" t="s">
        <v>111</v>
      </c>
      <c r="C46" s="295" t="s">
        <v>112</v>
      </c>
      <c r="D46" s="386">
        <v>5000000</v>
      </c>
      <c r="E46" s="386">
        <v>45457314</v>
      </c>
      <c r="F46" s="275">
        <f>3937000+46520314</f>
        <v>50457314</v>
      </c>
      <c r="G46" s="255">
        <v>-304090</v>
      </c>
      <c r="H46" s="255">
        <v>1143053</v>
      </c>
      <c r="I46" s="255">
        <f t="shared" si="1"/>
        <v>591605</v>
      </c>
      <c r="J46" s="255">
        <v>51887882</v>
      </c>
      <c r="K46" s="223">
        <v>51887882</v>
      </c>
      <c r="L46" s="659">
        <f t="shared" si="2"/>
        <v>1</v>
      </c>
    </row>
    <row r="47" spans="1:12" s="5" customFormat="1" ht="14.25" customHeight="1" x14ac:dyDescent="0.3">
      <c r="A47" s="272" t="s">
        <v>113</v>
      </c>
      <c r="B47" s="283" t="s">
        <v>114</v>
      </c>
      <c r="C47" s="295" t="s">
        <v>115</v>
      </c>
      <c r="D47" s="386">
        <v>23000000</v>
      </c>
      <c r="E47" s="386"/>
      <c r="F47" s="275">
        <f>35000000-12000000</f>
        <v>23000000</v>
      </c>
      <c r="G47" s="255">
        <v>487768</v>
      </c>
      <c r="H47" s="255">
        <v>2560710</v>
      </c>
      <c r="I47" s="255">
        <f t="shared" si="1"/>
        <v>7877217</v>
      </c>
      <c r="J47" s="255">
        <v>33925695</v>
      </c>
      <c r="K47" s="223">
        <v>32369853</v>
      </c>
      <c r="L47" s="659">
        <f t="shared" si="2"/>
        <v>0.95413971622394178</v>
      </c>
    </row>
    <row r="48" spans="1:12" s="5" customFormat="1" ht="14.25" customHeight="1" x14ac:dyDescent="0.3">
      <c r="A48" s="272" t="s">
        <v>116</v>
      </c>
      <c r="B48" s="283" t="s">
        <v>117</v>
      </c>
      <c r="C48" s="295" t="s">
        <v>118</v>
      </c>
      <c r="D48" s="386">
        <v>24000000</v>
      </c>
      <c r="E48" s="386"/>
      <c r="F48" s="275">
        <f>12000000+12000000</f>
        <v>24000000</v>
      </c>
      <c r="G48" s="255">
        <v>1348440</v>
      </c>
      <c r="H48" s="255">
        <v>595242</v>
      </c>
      <c r="I48" s="255">
        <f t="shared" si="1"/>
        <v>-13867074</v>
      </c>
      <c r="J48" s="255">
        <v>12076608</v>
      </c>
      <c r="K48" s="223">
        <v>12041527</v>
      </c>
      <c r="L48" s="659">
        <f t="shared" si="2"/>
        <v>0.99709512803595179</v>
      </c>
    </row>
    <row r="49" spans="1:12" s="5" customFormat="1" ht="14.25" customHeight="1" x14ac:dyDescent="0.3">
      <c r="A49" s="272" t="s">
        <v>119</v>
      </c>
      <c r="B49" s="283" t="s">
        <v>120</v>
      </c>
      <c r="C49" s="295" t="s">
        <v>121</v>
      </c>
      <c r="D49" s="386">
        <v>23275230</v>
      </c>
      <c r="E49" s="386"/>
      <c r="F49" s="275">
        <f>16552170+6723060</f>
        <v>23275230</v>
      </c>
      <c r="G49" s="255">
        <v>0</v>
      </c>
      <c r="H49" s="255">
        <v>0</v>
      </c>
      <c r="I49" s="255">
        <f t="shared" si="1"/>
        <v>-5733493</v>
      </c>
      <c r="J49" s="255">
        <v>17541737</v>
      </c>
      <c r="K49" s="223">
        <v>17518677</v>
      </c>
      <c r="L49" s="659">
        <f t="shared" si="2"/>
        <v>0.99868542094776591</v>
      </c>
    </row>
    <row r="50" spans="1:12" s="5" customFormat="1" ht="14.25" customHeight="1" x14ac:dyDescent="0.3">
      <c r="A50" s="272" t="s">
        <v>122</v>
      </c>
      <c r="B50" s="283" t="s">
        <v>123</v>
      </c>
      <c r="C50" s="295" t="s">
        <v>124</v>
      </c>
      <c r="D50" s="386">
        <v>24000000</v>
      </c>
      <c r="E50" s="386"/>
      <c r="F50" s="275">
        <v>24000000</v>
      </c>
      <c r="G50" s="255">
        <v>0</v>
      </c>
      <c r="H50" s="255">
        <v>8259</v>
      </c>
      <c r="I50" s="255">
        <f t="shared" si="1"/>
        <v>-640000</v>
      </c>
      <c r="J50" s="255">
        <v>23368259</v>
      </c>
      <c r="K50" s="223">
        <v>23365432</v>
      </c>
      <c r="L50" s="659">
        <f t="shared" si="2"/>
        <v>0.99987902393584394</v>
      </c>
    </row>
    <row r="51" spans="1:12" s="5" customFormat="1" ht="14.25" customHeight="1" x14ac:dyDescent="0.3">
      <c r="A51" s="272" t="s">
        <v>125</v>
      </c>
      <c r="B51" s="283" t="s">
        <v>126</v>
      </c>
      <c r="C51" s="295" t="s">
        <v>127</v>
      </c>
      <c r="D51" s="386">
        <v>17060554</v>
      </c>
      <c r="E51" s="386">
        <v>12273474</v>
      </c>
      <c r="F51" s="275">
        <f>SUM(F46:F50)*0.27-12560484+2816725</f>
        <v>29334027.880000003</v>
      </c>
      <c r="G51" s="255">
        <v>552836</v>
      </c>
      <c r="H51" s="255">
        <f t="shared" ref="H51" si="24">J51-F51-G51</f>
        <v>5884856.1199999973</v>
      </c>
      <c r="I51" s="255">
        <f t="shared" si="1"/>
        <v>0</v>
      </c>
      <c r="J51" s="255">
        <v>35771720</v>
      </c>
      <c r="K51" s="223">
        <v>33279638</v>
      </c>
      <c r="L51" s="659">
        <f t="shared" si="2"/>
        <v>0.9303337384951017</v>
      </c>
    </row>
    <row r="52" spans="1:12" s="5" customFormat="1" ht="14.25" customHeight="1" x14ac:dyDescent="0.3">
      <c r="A52" s="272" t="s">
        <v>128</v>
      </c>
      <c r="B52" s="283" t="s">
        <v>129</v>
      </c>
      <c r="C52" s="295" t="s">
        <v>130</v>
      </c>
      <c r="D52" s="386"/>
      <c r="E52" s="386"/>
      <c r="F52" s="275"/>
      <c r="G52" s="255">
        <v>0</v>
      </c>
      <c r="H52" s="255">
        <v>0</v>
      </c>
      <c r="I52" s="255">
        <f t="shared" si="1"/>
        <v>0</v>
      </c>
      <c r="J52" s="255"/>
      <c r="K52" s="223"/>
      <c r="L52" s="659"/>
    </row>
    <row r="53" spans="1:12" s="5" customFormat="1" ht="14.25" customHeight="1" x14ac:dyDescent="0.3">
      <c r="A53" s="272" t="s">
        <v>131</v>
      </c>
      <c r="B53" s="283" t="s">
        <v>132</v>
      </c>
      <c r="C53" s="295" t="s">
        <v>133</v>
      </c>
      <c r="D53" s="386">
        <v>500000</v>
      </c>
      <c r="E53" s="386"/>
      <c r="F53" s="275">
        <v>500000</v>
      </c>
      <c r="G53" s="255">
        <v>484400</v>
      </c>
      <c r="H53" s="255">
        <v>452374</v>
      </c>
      <c r="I53" s="255">
        <f t="shared" si="1"/>
        <v>1100012</v>
      </c>
      <c r="J53" s="255">
        <v>2536786</v>
      </c>
      <c r="K53" s="223">
        <v>2524728</v>
      </c>
      <c r="L53" s="659">
        <f t="shared" si="2"/>
        <v>0.99524674134909286</v>
      </c>
    </row>
    <row r="54" spans="1:12" s="5" customFormat="1" ht="14.25" customHeight="1" x14ac:dyDescent="0.3">
      <c r="A54" s="272" t="s">
        <v>134</v>
      </c>
      <c r="B54" s="283" t="s">
        <v>135</v>
      </c>
      <c r="C54" s="295" t="s">
        <v>136</v>
      </c>
      <c r="D54" s="386"/>
      <c r="E54" s="386"/>
      <c r="F54" s="298"/>
      <c r="G54" s="255">
        <v>6</v>
      </c>
      <c r="H54" s="255">
        <v>0</v>
      </c>
      <c r="I54" s="255">
        <f t="shared" si="1"/>
        <v>-6</v>
      </c>
      <c r="J54" s="255">
        <v>0</v>
      </c>
      <c r="K54" s="223">
        <v>0</v>
      </c>
      <c r="L54" s="659">
        <v>0</v>
      </c>
    </row>
    <row r="55" spans="1:12" s="5" customFormat="1" ht="14.25" customHeight="1" x14ac:dyDescent="0.3">
      <c r="A55" s="272" t="s">
        <v>137</v>
      </c>
      <c r="B55" s="283" t="s">
        <v>138</v>
      </c>
      <c r="C55" s="295" t="s">
        <v>139</v>
      </c>
      <c r="D55" s="386">
        <v>500000</v>
      </c>
      <c r="E55" s="386"/>
      <c r="F55" s="298">
        <v>500000</v>
      </c>
      <c r="G55" s="255">
        <v>2028359</v>
      </c>
      <c r="H55" s="255">
        <v>944491</v>
      </c>
      <c r="I55" s="255">
        <f t="shared" si="1"/>
        <v>-30000</v>
      </c>
      <c r="J55" s="255">
        <v>3442850</v>
      </c>
      <c r="K55" s="223">
        <v>3441430</v>
      </c>
      <c r="L55" s="659">
        <f t="shared" si="2"/>
        <v>0.99958755101151664</v>
      </c>
    </row>
    <row r="56" spans="1:12" s="5" customFormat="1" ht="14.25" customHeight="1" x14ac:dyDescent="0.3">
      <c r="A56" s="272" t="s">
        <v>140</v>
      </c>
      <c r="B56" s="273" t="s">
        <v>141</v>
      </c>
      <c r="C56" s="295" t="s">
        <v>142</v>
      </c>
      <c r="D56" s="386">
        <v>2250000</v>
      </c>
      <c r="E56" s="386"/>
      <c r="F56" s="298">
        <f>2000000+250000</f>
        <v>2250000</v>
      </c>
      <c r="G56" s="255">
        <v>118155</v>
      </c>
      <c r="H56" s="255">
        <v>3164</v>
      </c>
      <c r="I56" s="255">
        <f t="shared" si="1"/>
        <v>-400000</v>
      </c>
      <c r="J56" s="255">
        <v>1971319</v>
      </c>
      <c r="K56" s="223">
        <v>1267558</v>
      </c>
      <c r="L56" s="659">
        <f t="shared" si="2"/>
        <v>0.64299994064887522</v>
      </c>
    </row>
    <row r="57" spans="1:12" s="534" customFormat="1" ht="15.75" customHeight="1" x14ac:dyDescent="0.3">
      <c r="A57" s="279" t="s">
        <v>143</v>
      </c>
      <c r="B57" s="296" t="s">
        <v>144</v>
      </c>
      <c r="C57" s="281" t="s">
        <v>145</v>
      </c>
      <c r="D57" s="214">
        <f t="shared" ref="D57:E57" si="25">SUM(D46:D56)</f>
        <v>119585784</v>
      </c>
      <c r="E57" s="214">
        <f t="shared" si="25"/>
        <v>57730788</v>
      </c>
      <c r="F57" s="214">
        <f>SUM(F46:F56)</f>
        <v>177316571.88</v>
      </c>
      <c r="G57" s="388">
        <f t="shared" ref="G57:K57" si="26">SUM(G46:G56)</f>
        <v>4715874</v>
      </c>
      <c r="H57" s="388">
        <f t="shared" si="26"/>
        <v>11592149.119999997</v>
      </c>
      <c r="I57" s="388">
        <f t="shared" si="26"/>
        <v>-11101739</v>
      </c>
      <c r="J57" s="388">
        <f t="shared" si="26"/>
        <v>182522856</v>
      </c>
      <c r="K57" s="214">
        <f t="shared" si="26"/>
        <v>177696725</v>
      </c>
      <c r="L57" s="659">
        <f t="shared" si="2"/>
        <v>0.97355875803302139</v>
      </c>
    </row>
    <row r="58" spans="1:12" s="5" customFormat="1" ht="14.25" customHeight="1" x14ac:dyDescent="0.3">
      <c r="A58" s="297" t="s">
        <v>146</v>
      </c>
      <c r="B58" s="283" t="s">
        <v>147</v>
      </c>
      <c r="C58" s="295" t="s">
        <v>148</v>
      </c>
      <c r="D58" s="386"/>
      <c r="E58" s="386"/>
      <c r="F58" s="298"/>
      <c r="G58" s="255">
        <v>0</v>
      </c>
      <c r="H58" s="255">
        <v>0</v>
      </c>
      <c r="I58" s="255">
        <f t="shared" si="1"/>
        <v>0</v>
      </c>
      <c r="J58" s="255"/>
      <c r="K58" s="223"/>
      <c r="L58" s="659"/>
    </row>
    <row r="59" spans="1:12" s="5" customFormat="1" ht="14.25" customHeight="1" x14ac:dyDescent="0.3">
      <c r="A59" s="297" t="s">
        <v>149</v>
      </c>
      <c r="B59" s="283" t="s">
        <v>150</v>
      </c>
      <c r="C59" s="295" t="s">
        <v>151</v>
      </c>
      <c r="D59" s="386"/>
      <c r="E59" s="386"/>
      <c r="F59" s="298"/>
      <c r="G59" s="255">
        <v>3962074</v>
      </c>
      <c r="H59" s="255">
        <v>510000</v>
      </c>
      <c r="I59" s="255">
        <f t="shared" si="1"/>
        <v>11494110</v>
      </c>
      <c r="J59" s="256">
        <v>15966184</v>
      </c>
      <c r="K59" s="223">
        <v>15966184</v>
      </c>
      <c r="L59" s="659">
        <f t="shared" si="2"/>
        <v>1</v>
      </c>
    </row>
    <row r="60" spans="1:12" s="5" customFormat="1" ht="14.25" customHeight="1" x14ac:dyDescent="0.3">
      <c r="A60" s="297" t="s">
        <v>152</v>
      </c>
      <c r="B60" s="283" t="s">
        <v>153</v>
      </c>
      <c r="C60" s="295" t="s">
        <v>154</v>
      </c>
      <c r="D60" s="386">
        <v>2160072</v>
      </c>
      <c r="E60" s="386"/>
      <c r="F60" s="298">
        <f>180006*12</f>
        <v>2160072</v>
      </c>
      <c r="G60" s="255">
        <v>101065</v>
      </c>
      <c r="H60" s="255">
        <v>417000</v>
      </c>
      <c r="I60" s="255">
        <f t="shared" si="1"/>
        <v>900000</v>
      </c>
      <c r="J60" s="255">
        <v>3578137</v>
      </c>
      <c r="K60" s="223">
        <v>3577393</v>
      </c>
      <c r="L60" s="659">
        <f t="shared" si="2"/>
        <v>0.99979207056633101</v>
      </c>
    </row>
    <row r="61" spans="1:12" s="5" customFormat="1" ht="14.25" customHeight="1" x14ac:dyDescent="0.3">
      <c r="A61" s="297" t="s">
        <v>155</v>
      </c>
      <c r="B61" s="283" t="s">
        <v>156</v>
      </c>
      <c r="C61" s="295" t="s">
        <v>157</v>
      </c>
      <c r="D61" s="386"/>
      <c r="E61" s="386"/>
      <c r="F61" s="298"/>
      <c r="G61" s="255">
        <v>0</v>
      </c>
      <c r="H61" s="255">
        <v>0</v>
      </c>
      <c r="I61" s="255">
        <f t="shared" si="1"/>
        <v>0</v>
      </c>
      <c r="J61" s="255"/>
      <c r="K61" s="223"/>
      <c r="L61" s="659"/>
    </row>
    <row r="62" spans="1:12" s="5" customFormat="1" ht="14.25" customHeight="1" x14ac:dyDescent="0.3">
      <c r="A62" s="297" t="s">
        <v>158</v>
      </c>
      <c r="B62" s="273" t="s">
        <v>159</v>
      </c>
      <c r="C62" s="295" t="s">
        <v>160</v>
      </c>
      <c r="D62" s="386"/>
      <c r="E62" s="386"/>
      <c r="F62" s="298"/>
      <c r="G62" s="255">
        <v>0</v>
      </c>
      <c r="H62" s="255">
        <v>0</v>
      </c>
      <c r="I62" s="255">
        <f t="shared" si="1"/>
        <v>0</v>
      </c>
      <c r="J62" s="255"/>
      <c r="K62" s="223"/>
      <c r="L62" s="659"/>
    </row>
    <row r="63" spans="1:12" s="534" customFormat="1" ht="19.5" customHeight="1" x14ac:dyDescent="0.3">
      <c r="A63" s="94" t="s">
        <v>161</v>
      </c>
      <c r="B63" s="296" t="s">
        <v>162</v>
      </c>
      <c r="C63" s="303" t="s">
        <v>163</v>
      </c>
      <c r="D63" s="282">
        <f t="shared" ref="D63:E63" si="27">SUM(D58:D62)</f>
        <v>2160072</v>
      </c>
      <c r="E63" s="282">
        <f t="shared" si="27"/>
        <v>0</v>
      </c>
      <c r="F63" s="282">
        <f>SUM(F58:F62)</f>
        <v>2160072</v>
      </c>
      <c r="G63" s="381">
        <f t="shared" ref="G63:K63" si="28">SUM(G58:G62)</f>
        <v>4063139</v>
      </c>
      <c r="H63" s="381">
        <f t="shared" si="28"/>
        <v>927000</v>
      </c>
      <c r="I63" s="255">
        <f t="shared" si="1"/>
        <v>12394110</v>
      </c>
      <c r="J63" s="381">
        <f t="shared" si="28"/>
        <v>19544321</v>
      </c>
      <c r="K63" s="96">
        <f t="shared" si="28"/>
        <v>19543577</v>
      </c>
      <c r="L63" s="659">
        <f t="shared" si="2"/>
        <v>0.9999619326759932</v>
      </c>
    </row>
    <row r="64" spans="1:12" s="5" customFormat="1" ht="24" customHeight="1" x14ac:dyDescent="0.3">
      <c r="A64" s="272" t="s">
        <v>164</v>
      </c>
      <c r="B64" s="273" t="s">
        <v>165</v>
      </c>
      <c r="C64" s="274" t="s">
        <v>166</v>
      </c>
      <c r="D64" s="382"/>
      <c r="E64" s="382"/>
      <c r="F64" s="275"/>
      <c r="G64" s="255">
        <v>0</v>
      </c>
      <c r="H64" s="255">
        <v>0</v>
      </c>
      <c r="I64" s="255">
        <f t="shared" si="1"/>
        <v>0</v>
      </c>
      <c r="J64" s="255"/>
      <c r="K64" s="223"/>
      <c r="L64" s="659"/>
    </row>
    <row r="65" spans="1:15" s="5" customFormat="1" ht="17.25" customHeight="1" x14ac:dyDescent="0.3">
      <c r="A65" s="272" t="s">
        <v>167</v>
      </c>
      <c r="B65" s="273" t="s">
        <v>168</v>
      </c>
      <c r="C65" s="274" t="s">
        <v>169</v>
      </c>
      <c r="D65" s="382"/>
      <c r="E65" s="382"/>
      <c r="F65" s="275"/>
      <c r="G65" s="255">
        <v>2313497</v>
      </c>
      <c r="H65" s="255">
        <v>0</v>
      </c>
      <c r="I65" s="255">
        <f t="shared" si="1"/>
        <v>0</v>
      </c>
      <c r="J65" s="255">
        <v>2313497</v>
      </c>
      <c r="K65" s="223">
        <v>2310997</v>
      </c>
      <c r="L65" s="659">
        <f t="shared" si="2"/>
        <v>0.9989193848100949</v>
      </c>
    </row>
    <row r="66" spans="1:15" s="5" customFormat="1" ht="17.25" customHeight="1" x14ac:dyDescent="0.3">
      <c r="A66" s="94" t="s">
        <v>170</v>
      </c>
      <c r="B66" s="280" t="s">
        <v>171</v>
      </c>
      <c r="C66" s="281" t="s">
        <v>172</v>
      </c>
      <c r="D66" s="381">
        <f t="shared" ref="D66:E66" si="29">SUM(D64:D65)</f>
        <v>0</v>
      </c>
      <c r="E66" s="381">
        <f t="shared" si="29"/>
        <v>0</v>
      </c>
      <c r="F66" s="381">
        <f>SUM(F64:F65)</f>
        <v>0</v>
      </c>
      <c r="G66" s="255">
        <v>2313497</v>
      </c>
      <c r="H66" s="255">
        <v>0</v>
      </c>
      <c r="I66" s="255">
        <f t="shared" si="1"/>
        <v>0</v>
      </c>
      <c r="J66" s="381">
        <f t="shared" ref="J66:K66" si="30">SUM(J64:J65)</f>
        <v>2313497</v>
      </c>
      <c r="K66" s="87">
        <f t="shared" si="30"/>
        <v>2310997</v>
      </c>
      <c r="L66" s="659">
        <f t="shared" si="2"/>
        <v>0.9989193848100949</v>
      </c>
    </row>
    <row r="67" spans="1:15" s="5" customFormat="1" ht="16.5" customHeight="1" x14ac:dyDescent="0.3">
      <c r="A67" s="272" t="s">
        <v>173</v>
      </c>
      <c r="B67" s="273" t="s">
        <v>174</v>
      </c>
      <c r="C67" s="274" t="s">
        <v>175</v>
      </c>
      <c r="D67" s="382"/>
      <c r="E67" s="382"/>
      <c r="F67" s="387"/>
      <c r="G67" s="255">
        <v>926787</v>
      </c>
      <c r="H67" s="255">
        <v>-792000</v>
      </c>
      <c r="I67" s="255">
        <f t="shared" si="1"/>
        <v>0</v>
      </c>
      <c r="J67" s="255">
        <v>134787</v>
      </c>
      <c r="K67" s="223">
        <v>134787</v>
      </c>
      <c r="L67" s="659">
        <f t="shared" si="2"/>
        <v>1</v>
      </c>
    </row>
    <row r="68" spans="1:15" s="5" customFormat="1" ht="14.25" customHeight="1" x14ac:dyDescent="0.3">
      <c r="A68" s="272" t="s">
        <v>176</v>
      </c>
      <c r="B68" s="273" t="s">
        <v>177</v>
      </c>
      <c r="C68" s="274" t="s">
        <v>178</v>
      </c>
      <c r="D68" s="382"/>
      <c r="E68" s="382"/>
      <c r="F68" s="387"/>
      <c r="G68" s="256">
        <v>0</v>
      </c>
      <c r="H68" s="255">
        <v>1436000</v>
      </c>
      <c r="I68" s="255">
        <f t="shared" si="1"/>
        <v>-259512</v>
      </c>
      <c r="J68" s="255">
        <v>1176488</v>
      </c>
      <c r="K68" s="223">
        <v>1168811</v>
      </c>
      <c r="L68" s="659">
        <f t="shared" si="2"/>
        <v>0.99347464657523066</v>
      </c>
    </row>
    <row r="69" spans="1:15" s="5" customFormat="1" ht="15.75" customHeight="1" x14ac:dyDescent="0.3">
      <c r="A69" s="272" t="s">
        <v>179</v>
      </c>
      <c r="B69" s="280" t="s">
        <v>180</v>
      </c>
      <c r="C69" s="281" t="s">
        <v>181</v>
      </c>
      <c r="D69" s="388">
        <f t="shared" ref="D69:E69" si="31">SUM(D67:D68)</f>
        <v>0</v>
      </c>
      <c r="E69" s="388">
        <f t="shared" si="31"/>
        <v>0</v>
      </c>
      <c r="F69" s="388">
        <f>SUM(F67:F68)</f>
        <v>0</v>
      </c>
      <c r="G69" s="255">
        <v>926787</v>
      </c>
      <c r="H69" s="255">
        <v>644000</v>
      </c>
      <c r="I69" s="255">
        <f t="shared" si="1"/>
        <v>-259512</v>
      </c>
      <c r="J69" s="388">
        <f t="shared" ref="J69:K69" si="32">SUM(J67:J68)</f>
        <v>1311275</v>
      </c>
      <c r="K69" s="388">
        <f t="shared" si="32"/>
        <v>1303598</v>
      </c>
      <c r="L69" s="659">
        <f t="shared" si="2"/>
        <v>0.99414539284284376</v>
      </c>
    </row>
    <row r="70" spans="1:15" s="533" customFormat="1" ht="25.5" customHeight="1" x14ac:dyDescent="0.3">
      <c r="A70" s="94" t="s">
        <v>182</v>
      </c>
      <c r="B70" s="85" t="s">
        <v>183</v>
      </c>
      <c r="C70" s="95" t="s">
        <v>184</v>
      </c>
      <c r="D70" s="96">
        <f t="shared" ref="D70:E70" si="33">SUM(D22+D31+D45+D57+D63+D66+D69)</f>
        <v>1809121792</v>
      </c>
      <c r="E70" s="96">
        <f t="shared" si="33"/>
        <v>128605968</v>
      </c>
      <c r="F70" s="96">
        <f>SUM(F22+F31+F45+F57+F63+F66+F69)</f>
        <v>1937727759.8800001</v>
      </c>
      <c r="G70" s="87">
        <f t="shared" ref="G70:K70" si="34">SUM(G22+G31+G45+G57+G63+G66+G69)</f>
        <v>1474696098</v>
      </c>
      <c r="H70" s="87">
        <f t="shared" si="34"/>
        <v>547705247.12</v>
      </c>
      <c r="I70" s="87">
        <f t="shared" si="34"/>
        <v>955960362</v>
      </c>
      <c r="J70" s="87">
        <f t="shared" si="34"/>
        <v>4916089467</v>
      </c>
      <c r="K70" s="96">
        <f t="shared" si="34"/>
        <v>4910841190</v>
      </c>
      <c r="L70" s="659">
        <f t="shared" si="2"/>
        <v>0.99893242850130581</v>
      </c>
    </row>
    <row r="71" spans="1:15" s="5" customFormat="1" ht="14.25" customHeight="1" x14ac:dyDescent="0.3">
      <c r="A71" s="272" t="s">
        <v>185</v>
      </c>
      <c r="B71" s="273" t="s">
        <v>186</v>
      </c>
      <c r="C71" s="274" t="s">
        <v>187</v>
      </c>
      <c r="D71" s="378"/>
      <c r="E71" s="378"/>
      <c r="F71" s="299"/>
      <c r="G71" s="255">
        <f t="shared" si="12"/>
        <v>0</v>
      </c>
      <c r="H71" s="255"/>
      <c r="I71" s="255">
        <f t="shared" ref="I71:I74" si="35">J71-F71-G71-H71</f>
        <v>0</v>
      </c>
      <c r="J71" s="255"/>
      <c r="K71" s="223"/>
      <c r="L71" s="659" t="s">
        <v>801</v>
      </c>
    </row>
    <row r="72" spans="1:15" s="5" customFormat="1" ht="14.25" customHeight="1" x14ac:dyDescent="0.3">
      <c r="A72" s="272" t="s">
        <v>188</v>
      </c>
      <c r="B72" s="273" t="s">
        <v>189</v>
      </c>
      <c r="C72" s="274" t="s">
        <v>190</v>
      </c>
      <c r="D72" s="299">
        <f t="shared" ref="D72:E72" si="36">SUM(D73:D74)</f>
        <v>223223597</v>
      </c>
      <c r="E72" s="299">
        <f t="shared" si="36"/>
        <v>81271029</v>
      </c>
      <c r="F72" s="299">
        <f>SUM(F73:F74)</f>
        <v>304494626</v>
      </c>
      <c r="G72" s="255">
        <v>105159782</v>
      </c>
      <c r="H72" s="255">
        <v>0</v>
      </c>
      <c r="I72" s="255">
        <f t="shared" si="35"/>
        <v>0</v>
      </c>
      <c r="J72" s="395">
        <v>409654408</v>
      </c>
      <c r="K72" s="223">
        <v>409654408</v>
      </c>
      <c r="L72" s="659">
        <f t="shared" ref="L72:L77" si="37">K72/J72</f>
        <v>1</v>
      </c>
    </row>
    <row r="73" spans="1:15" s="5" customFormat="1" ht="14.25" customHeight="1" x14ac:dyDescent="0.3">
      <c r="A73" s="272" t="s">
        <v>191</v>
      </c>
      <c r="B73" s="300" t="s">
        <v>192</v>
      </c>
      <c r="C73" s="274" t="s">
        <v>193</v>
      </c>
      <c r="D73" s="378">
        <v>223223597</v>
      </c>
      <c r="E73" s="378">
        <v>51271029</v>
      </c>
      <c r="F73" s="298">
        <f>30364900+52858697+32320000+16951029+2000000+140000000</f>
        <v>274494626</v>
      </c>
      <c r="G73" s="255">
        <v>99042272</v>
      </c>
      <c r="H73" s="255">
        <v>43200</v>
      </c>
      <c r="I73" s="255">
        <f t="shared" si="35"/>
        <v>0</v>
      </c>
      <c r="J73" s="395">
        <v>373580098</v>
      </c>
      <c r="K73" s="223">
        <v>373580098</v>
      </c>
      <c r="L73" s="659">
        <f t="shared" si="37"/>
        <v>1</v>
      </c>
    </row>
    <row r="74" spans="1:15" s="5" customFormat="1" ht="14.25" customHeight="1" x14ac:dyDescent="0.3">
      <c r="A74" s="272" t="s">
        <v>194</v>
      </c>
      <c r="B74" s="301" t="s">
        <v>195</v>
      </c>
      <c r="C74" s="274" t="s">
        <v>196</v>
      </c>
      <c r="D74" s="378"/>
      <c r="E74" s="378">
        <v>30000000</v>
      </c>
      <c r="F74" s="298">
        <v>30000000</v>
      </c>
      <c r="G74" s="255">
        <v>6117510</v>
      </c>
      <c r="H74" s="255">
        <v>-43200</v>
      </c>
      <c r="I74" s="255">
        <f t="shared" si="35"/>
        <v>0</v>
      </c>
      <c r="J74" s="395">
        <v>36074310</v>
      </c>
      <c r="K74" s="223">
        <v>36074310</v>
      </c>
      <c r="L74" s="659">
        <f t="shared" si="37"/>
        <v>1</v>
      </c>
    </row>
    <row r="75" spans="1:15" s="5" customFormat="1" ht="14.25" customHeight="1" x14ac:dyDescent="0.3">
      <c r="A75" s="272" t="s">
        <v>197</v>
      </c>
      <c r="B75" s="273" t="s">
        <v>956</v>
      </c>
      <c r="C75" s="274" t="s">
        <v>957</v>
      </c>
      <c r="D75" s="378"/>
      <c r="E75" s="378"/>
      <c r="F75" s="298"/>
      <c r="G75" s="255"/>
      <c r="H75" s="255"/>
      <c r="I75" s="255">
        <v>31792796</v>
      </c>
      <c r="J75" s="395">
        <v>31792796</v>
      </c>
      <c r="K75" s="223">
        <v>31792796</v>
      </c>
      <c r="L75" s="659">
        <f t="shared" si="37"/>
        <v>1</v>
      </c>
    </row>
    <row r="76" spans="1:15" s="534" customFormat="1" ht="24.75" customHeight="1" x14ac:dyDescent="0.3">
      <c r="A76" s="94" t="s">
        <v>200</v>
      </c>
      <c r="B76" s="389" t="s">
        <v>198</v>
      </c>
      <c r="C76" s="281" t="s">
        <v>199</v>
      </c>
      <c r="D76" s="96">
        <f t="shared" ref="D76:E76" si="38">SUM(D71:D72)</f>
        <v>223223597</v>
      </c>
      <c r="E76" s="96">
        <f t="shared" si="38"/>
        <v>81271029</v>
      </c>
      <c r="F76" s="96">
        <f>SUM(F71:F72)</f>
        <v>304494626</v>
      </c>
      <c r="G76" s="87">
        <f t="shared" ref="G76:I76" si="39">SUM(G71:G72)</f>
        <v>105159782</v>
      </c>
      <c r="H76" s="87">
        <f t="shared" si="39"/>
        <v>0</v>
      </c>
      <c r="I76" s="87">
        <f t="shared" si="39"/>
        <v>0</v>
      </c>
      <c r="J76" s="87">
        <f>SUM(J71:J72)+J75</f>
        <v>441447204</v>
      </c>
      <c r="K76" s="96">
        <f>SUM(K71:K72)+K75</f>
        <v>441447204</v>
      </c>
      <c r="L76" s="659">
        <f t="shared" si="37"/>
        <v>1</v>
      </c>
    </row>
    <row r="77" spans="1:15" s="5" customFormat="1" ht="27" customHeight="1" x14ac:dyDescent="0.3">
      <c r="A77" s="94" t="s">
        <v>718</v>
      </c>
      <c r="B77" s="389" t="s">
        <v>201</v>
      </c>
      <c r="C77" s="281" t="s">
        <v>721</v>
      </c>
      <c r="D77" s="96">
        <f t="shared" ref="D77:E77" si="40">SUM(D76,D70)</f>
        <v>2032345389</v>
      </c>
      <c r="E77" s="96">
        <f t="shared" si="40"/>
        <v>209876997</v>
      </c>
      <c r="F77" s="96">
        <f>SUM(F76,F70)</f>
        <v>2242222385.8800001</v>
      </c>
      <c r="G77" s="87">
        <f t="shared" ref="G77:J77" si="41">SUM(G76,G70)</f>
        <v>1579855880</v>
      </c>
      <c r="H77" s="87">
        <f t="shared" si="41"/>
        <v>547705247.12</v>
      </c>
      <c r="I77" s="87">
        <f>SUM(I76,I70)+I75</f>
        <v>987753158</v>
      </c>
      <c r="J77" s="87">
        <f t="shared" si="41"/>
        <v>5357536671</v>
      </c>
      <c r="K77" s="96">
        <f t="shared" ref="K77" si="42">SUM(K76,K70)</f>
        <v>5352288394</v>
      </c>
      <c r="L77" s="659">
        <f t="shared" si="37"/>
        <v>0.99902039363941109</v>
      </c>
      <c r="O77" s="757"/>
    </row>
    <row r="78" spans="1:15" ht="17.25" customHeight="1" x14ac:dyDescent="0.35">
      <c r="A78" s="878"/>
      <c r="B78" s="878"/>
      <c r="C78" s="878"/>
      <c r="D78" s="878"/>
      <c r="E78" s="265"/>
      <c r="F78" s="265"/>
      <c r="G78" s="253"/>
      <c r="H78" s="253"/>
      <c r="I78" s="253"/>
      <c r="O78" s="757"/>
    </row>
    <row r="79" spans="1:15" s="6" customFormat="1" ht="16.5" customHeight="1" x14ac:dyDescent="0.35">
      <c r="A79" s="879" t="s">
        <v>202</v>
      </c>
      <c r="B79" s="879"/>
      <c r="C79" s="879"/>
      <c r="D79" s="879"/>
      <c r="E79" s="879"/>
      <c r="F79" s="879"/>
      <c r="G79" s="879"/>
      <c r="H79" s="879"/>
      <c r="I79" s="879"/>
      <c r="J79" s="879"/>
      <c r="K79" s="879"/>
      <c r="L79" s="879"/>
      <c r="O79" s="758"/>
    </row>
    <row r="80" spans="1:15" s="7" customFormat="1" ht="38.15" customHeight="1" x14ac:dyDescent="0.3">
      <c r="A80" s="88" t="s">
        <v>2</v>
      </c>
      <c r="B80" s="88" t="s">
        <v>203</v>
      </c>
      <c r="C80" s="88" t="s">
        <v>4</v>
      </c>
      <c r="D80" s="88" t="s">
        <v>470</v>
      </c>
      <c r="E80" s="88" t="s">
        <v>471</v>
      </c>
      <c r="F80" s="88" t="str">
        <f>+F4</f>
        <v>2017. évi eredeti előirányzat</v>
      </c>
      <c r="G80" s="219" t="s">
        <v>824</v>
      </c>
      <c r="H80" s="219" t="s">
        <v>825</v>
      </c>
      <c r="I80" s="219" t="s">
        <v>856</v>
      </c>
      <c r="J80" s="219" t="s">
        <v>798</v>
      </c>
      <c r="K80" s="218" t="s">
        <v>826</v>
      </c>
      <c r="L80" s="658" t="s">
        <v>827</v>
      </c>
    </row>
    <row r="81" spans="1:12" s="569" customFormat="1" ht="12" customHeight="1" x14ac:dyDescent="0.3">
      <c r="A81" s="88" t="s">
        <v>6</v>
      </c>
      <c r="B81" s="88" t="s">
        <v>7</v>
      </c>
      <c r="C81" s="88" t="s">
        <v>8</v>
      </c>
      <c r="D81" s="88" t="s">
        <v>9</v>
      </c>
      <c r="E81" s="88" t="s">
        <v>269</v>
      </c>
      <c r="F81" s="88" t="s">
        <v>472</v>
      </c>
      <c r="G81" s="218" t="s">
        <v>796</v>
      </c>
      <c r="H81" s="218" t="s">
        <v>799</v>
      </c>
      <c r="I81" s="219" t="s">
        <v>800</v>
      </c>
      <c r="J81" s="570" t="s">
        <v>828</v>
      </c>
      <c r="K81" s="570" t="s">
        <v>829</v>
      </c>
      <c r="L81" s="657" t="s">
        <v>830</v>
      </c>
    </row>
    <row r="82" spans="1:12" ht="16.5" customHeight="1" x14ac:dyDescent="0.35">
      <c r="A82" s="297" t="s">
        <v>10</v>
      </c>
      <c r="B82" s="285" t="s">
        <v>204</v>
      </c>
      <c r="C82" s="286" t="s">
        <v>205</v>
      </c>
      <c r="D82" s="390">
        <v>125812685</v>
      </c>
      <c r="E82" s="390"/>
      <c r="F82" s="275">
        <f>122972660+'[16]8.sz.mell. '!C24</f>
        <v>125812685</v>
      </c>
      <c r="G82" s="255">
        <v>171764382</v>
      </c>
      <c r="H82" s="255">
        <v>999916</v>
      </c>
      <c r="I82" s="688">
        <f>J82-F82-G82-H82</f>
        <v>9850371</v>
      </c>
      <c r="J82" s="255">
        <v>308427354</v>
      </c>
      <c r="K82" s="223">
        <v>246278037</v>
      </c>
      <c r="L82" s="660">
        <f>K82/J82</f>
        <v>0.79849609253529441</v>
      </c>
    </row>
    <row r="83" spans="1:12" ht="16.5" customHeight="1" x14ac:dyDescent="0.35">
      <c r="A83" s="297" t="s">
        <v>13</v>
      </c>
      <c r="B83" s="285" t="s">
        <v>206</v>
      </c>
      <c r="C83" s="286" t="s">
        <v>207</v>
      </c>
      <c r="D83" s="390">
        <v>26778920</v>
      </c>
      <c r="E83" s="390"/>
      <c r="F83" s="275">
        <f>26066120+'[16]8.sz.mell. '!C25</f>
        <v>26778920</v>
      </c>
      <c r="G83" s="255">
        <v>19297897</v>
      </c>
      <c r="H83" s="255">
        <v>0</v>
      </c>
      <c r="I83" s="688">
        <f t="shared" ref="I83:I95" si="43">J83-F83-G83-H83</f>
        <v>1209003</v>
      </c>
      <c r="J83" s="255">
        <v>47285820</v>
      </c>
      <c r="K83" s="223">
        <v>35628177</v>
      </c>
      <c r="L83" s="660">
        <f t="shared" ref="L83:L114" si="44">K83/J83</f>
        <v>0.75346429436985551</v>
      </c>
    </row>
    <row r="84" spans="1:12" ht="16.5" customHeight="1" x14ac:dyDescent="0.35">
      <c r="A84" s="297" t="s">
        <v>16</v>
      </c>
      <c r="B84" s="285" t="s">
        <v>208</v>
      </c>
      <c r="C84" s="286" t="s">
        <v>209</v>
      </c>
      <c r="D84" s="390">
        <v>459704657</v>
      </c>
      <c r="E84" s="390">
        <v>56107776</v>
      </c>
      <c r="F84" s="275">
        <f>'[16]8.sz.mell. '!C26+484663421</f>
        <v>515812433</v>
      </c>
      <c r="G84" s="255">
        <v>1284531551</v>
      </c>
      <c r="H84" s="255">
        <v>-49375433</v>
      </c>
      <c r="I84" s="688">
        <f t="shared" si="43"/>
        <v>480180481</v>
      </c>
      <c r="J84" s="255">
        <v>2231149032</v>
      </c>
      <c r="K84" s="223">
        <v>567625640</v>
      </c>
      <c r="L84" s="660">
        <f t="shared" si="44"/>
        <v>0.25440955841985191</v>
      </c>
    </row>
    <row r="85" spans="1:12" ht="16.5" customHeight="1" x14ac:dyDescent="0.35">
      <c r="A85" s="297" t="s">
        <v>19</v>
      </c>
      <c r="B85" s="285" t="s">
        <v>210</v>
      </c>
      <c r="C85" s="286" t="s">
        <v>211</v>
      </c>
      <c r="D85" s="390">
        <v>66143000</v>
      </c>
      <c r="E85" s="390"/>
      <c r="F85" s="275">
        <f>71143000-5000000</f>
        <v>66143000</v>
      </c>
      <c r="G85" s="255">
        <v>-6763829</v>
      </c>
      <c r="H85" s="255">
        <v>-1200000</v>
      </c>
      <c r="I85" s="688">
        <f t="shared" si="43"/>
        <v>15740063</v>
      </c>
      <c r="J85" s="255">
        <v>73919234</v>
      </c>
      <c r="K85" s="223">
        <v>73763446</v>
      </c>
      <c r="L85" s="660">
        <f t="shared" si="44"/>
        <v>0.997892456515445</v>
      </c>
    </row>
    <row r="86" spans="1:12" ht="16.5" customHeight="1" x14ac:dyDescent="0.35">
      <c r="A86" s="297" t="s">
        <v>22</v>
      </c>
      <c r="B86" s="285" t="s">
        <v>212</v>
      </c>
      <c r="C86" s="286" t="s">
        <v>213</v>
      </c>
      <c r="D86" s="379">
        <f t="shared" ref="D86:E86" si="45">SUM(D87:D93)</f>
        <v>925218634</v>
      </c>
      <c r="E86" s="379">
        <f t="shared" si="45"/>
        <v>40296343</v>
      </c>
      <c r="F86" s="275">
        <f>SUM(F87:F93)</f>
        <v>965514977</v>
      </c>
      <c r="G86" s="379">
        <v>146158392</v>
      </c>
      <c r="H86" s="379">
        <f t="shared" ref="H86" si="46">SUM(H87:H93)</f>
        <v>-39987326</v>
      </c>
      <c r="I86" s="688">
        <f t="shared" si="43"/>
        <v>30328457</v>
      </c>
      <c r="J86" s="379">
        <v>1102014500</v>
      </c>
      <c r="K86" s="275">
        <v>962359564</v>
      </c>
      <c r="L86" s="660">
        <f t="shared" si="44"/>
        <v>0.87327305039997205</v>
      </c>
    </row>
    <row r="87" spans="1:12" ht="16.5" customHeight="1" x14ac:dyDescent="0.35">
      <c r="A87" s="297" t="s">
        <v>25</v>
      </c>
      <c r="B87" s="285" t="s">
        <v>214</v>
      </c>
      <c r="C87" s="286" t="s">
        <v>215</v>
      </c>
      <c r="D87" s="390">
        <v>11554719</v>
      </c>
      <c r="E87" s="390"/>
      <c r="F87" s="275">
        <v>11554719</v>
      </c>
      <c r="G87" s="255">
        <v>2887042</v>
      </c>
      <c r="H87" s="255">
        <v>0</v>
      </c>
      <c r="I87" s="688">
        <f t="shared" si="43"/>
        <v>2887042</v>
      </c>
      <c r="J87" s="255">
        <v>17328803</v>
      </c>
      <c r="K87" s="223">
        <v>17328803</v>
      </c>
      <c r="L87" s="660">
        <f t="shared" si="44"/>
        <v>1</v>
      </c>
    </row>
    <row r="88" spans="1:12" ht="16.5" customHeight="1" x14ac:dyDescent="0.35">
      <c r="A88" s="297" t="s">
        <v>28</v>
      </c>
      <c r="B88" s="305" t="s">
        <v>216</v>
      </c>
      <c r="C88" s="306" t="s">
        <v>217</v>
      </c>
      <c r="D88" s="391"/>
      <c r="E88" s="391"/>
      <c r="F88" s="290"/>
      <c r="G88" s="255">
        <f t="shared" ref="G88:G91" si="47">J88-D88</f>
        <v>0</v>
      </c>
      <c r="H88" s="255">
        <v>0</v>
      </c>
      <c r="I88" s="688">
        <f t="shared" si="43"/>
        <v>0</v>
      </c>
      <c r="J88" s="255"/>
      <c r="K88" s="223"/>
      <c r="L88" s="660"/>
    </row>
    <row r="89" spans="1:12" ht="16.5" customHeight="1" x14ac:dyDescent="0.35">
      <c r="A89" s="297" t="s">
        <v>31</v>
      </c>
      <c r="B89" s="305" t="s">
        <v>218</v>
      </c>
      <c r="C89" s="306" t="s">
        <v>219</v>
      </c>
      <c r="D89" s="391"/>
      <c r="E89" s="391"/>
      <c r="F89" s="290"/>
      <c r="G89" s="255">
        <f t="shared" si="47"/>
        <v>0</v>
      </c>
      <c r="H89" s="255">
        <v>0</v>
      </c>
      <c r="I89" s="688">
        <f t="shared" si="43"/>
        <v>0</v>
      </c>
      <c r="J89" s="255"/>
      <c r="K89" s="223"/>
      <c r="L89" s="660"/>
    </row>
    <row r="90" spans="1:12" ht="16.5" customHeight="1" x14ac:dyDescent="0.35">
      <c r="A90" s="297" t="s">
        <v>34</v>
      </c>
      <c r="B90" s="307" t="s">
        <v>220</v>
      </c>
      <c r="C90" s="306" t="s">
        <v>221</v>
      </c>
      <c r="D90" s="391">
        <v>435516731</v>
      </c>
      <c r="E90" s="391"/>
      <c r="F90" s="392">
        <f>SUM(139880306+30000000+397510+242687617+21734382+216916+600000)</f>
        <v>435516731</v>
      </c>
      <c r="G90" s="255">
        <v>25844448</v>
      </c>
      <c r="H90" s="255">
        <v>23266125</v>
      </c>
      <c r="I90" s="688">
        <f t="shared" si="43"/>
        <v>18373183</v>
      </c>
      <c r="J90" s="255">
        <v>503000487</v>
      </c>
      <c r="K90" s="223">
        <v>485873368</v>
      </c>
      <c r="L90" s="660">
        <f t="shared" si="44"/>
        <v>0.96595009459702574</v>
      </c>
    </row>
    <row r="91" spans="1:12" ht="16.5" customHeight="1" x14ac:dyDescent="0.35">
      <c r="A91" s="297" t="s">
        <v>37</v>
      </c>
      <c r="B91" s="305" t="s">
        <v>222</v>
      </c>
      <c r="C91" s="306" t="s">
        <v>223</v>
      </c>
      <c r="D91" s="391"/>
      <c r="E91" s="391"/>
      <c r="F91" s="290"/>
      <c r="G91" s="255">
        <f t="shared" si="47"/>
        <v>0</v>
      </c>
      <c r="H91" s="255">
        <v>0</v>
      </c>
      <c r="I91" s="688">
        <f t="shared" si="43"/>
        <v>0</v>
      </c>
      <c r="J91" s="255"/>
      <c r="K91" s="223"/>
      <c r="L91" s="660"/>
    </row>
    <row r="92" spans="1:12" ht="16.5" customHeight="1" x14ac:dyDescent="0.35">
      <c r="A92" s="297" t="s">
        <v>39</v>
      </c>
      <c r="B92" s="305" t="s">
        <v>224</v>
      </c>
      <c r="C92" s="306" t="s">
        <v>225</v>
      </c>
      <c r="D92" s="391">
        <f>431297184-E92</f>
        <v>408147184</v>
      </c>
      <c r="E92" s="391">
        <v>23150000</v>
      </c>
      <c r="F92" s="392">
        <f>'[16]5.sz.mell'!E20</f>
        <v>431297184</v>
      </c>
      <c r="G92" s="255">
        <v>60750000</v>
      </c>
      <c r="H92" s="255">
        <v>-22650220</v>
      </c>
      <c r="I92" s="688">
        <f t="shared" si="43"/>
        <v>-718686</v>
      </c>
      <c r="J92" s="255">
        <v>468678278</v>
      </c>
      <c r="K92" s="223">
        <v>459157393</v>
      </c>
      <c r="L92" s="660">
        <f t="shared" si="44"/>
        <v>0.97968567043339694</v>
      </c>
    </row>
    <row r="93" spans="1:12" ht="16.5" customHeight="1" x14ac:dyDescent="0.35">
      <c r="A93" s="776" t="s">
        <v>41</v>
      </c>
      <c r="B93" s="777" t="s">
        <v>226</v>
      </c>
      <c r="C93" s="778" t="s">
        <v>227</v>
      </c>
      <c r="D93" s="779">
        <f>SUM(D94:D95)</f>
        <v>70000000</v>
      </c>
      <c r="E93" s="779">
        <f>SUM(E94:E95)</f>
        <v>17146343</v>
      </c>
      <c r="F93" s="780">
        <f>SUM(F94:F95)</f>
        <v>87146343</v>
      </c>
      <c r="G93" s="395">
        <v>68576902</v>
      </c>
      <c r="H93" s="395">
        <v>-40603231</v>
      </c>
      <c r="I93" s="781">
        <f t="shared" si="43"/>
        <v>-2113082</v>
      </c>
      <c r="J93" s="395">
        <v>113006932</v>
      </c>
      <c r="K93" s="782"/>
      <c r="L93" s="783">
        <f t="shared" si="44"/>
        <v>0</v>
      </c>
    </row>
    <row r="94" spans="1:12" ht="16.5" customHeight="1" x14ac:dyDescent="0.35">
      <c r="A94" s="776" t="s">
        <v>43</v>
      </c>
      <c r="B94" s="777" t="s">
        <v>228</v>
      </c>
      <c r="C94" s="784" t="s">
        <v>227</v>
      </c>
      <c r="D94" s="785">
        <v>70000000</v>
      </c>
      <c r="E94" s="785"/>
      <c r="F94" s="780">
        <v>70000000</v>
      </c>
      <c r="G94" s="395">
        <v>51430559</v>
      </c>
      <c r="H94" s="395">
        <v>-23456888</v>
      </c>
      <c r="I94" s="781">
        <f t="shared" si="43"/>
        <v>-97973671</v>
      </c>
      <c r="J94" s="395">
        <v>0</v>
      </c>
      <c r="K94" s="782"/>
      <c r="L94" s="783" t="s">
        <v>801</v>
      </c>
    </row>
    <row r="95" spans="1:12" ht="16.5" customHeight="1" x14ac:dyDescent="0.35">
      <c r="A95" s="776" t="s">
        <v>45</v>
      </c>
      <c r="B95" s="786" t="s">
        <v>229</v>
      </c>
      <c r="C95" s="784" t="s">
        <v>227</v>
      </c>
      <c r="D95" s="785"/>
      <c r="E95" s="785">
        <v>17146343</v>
      </c>
      <c r="F95" s="780">
        <f>'[16]8.sz.mell. '!D22+'[16]8.sz.mell. '!E22</f>
        <v>17146343</v>
      </c>
      <c r="G95" s="395">
        <v>17146343</v>
      </c>
      <c r="H95" s="395">
        <v>-17146343</v>
      </c>
      <c r="I95" s="781">
        <f t="shared" si="43"/>
        <v>-17146343</v>
      </c>
      <c r="J95" s="395">
        <v>0</v>
      </c>
      <c r="K95" s="782"/>
      <c r="L95" s="783" t="s">
        <v>801</v>
      </c>
    </row>
    <row r="96" spans="1:12" ht="16.5" customHeight="1" x14ac:dyDescent="0.35">
      <c r="A96" s="309" t="s">
        <v>47</v>
      </c>
      <c r="B96" s="310" t="s">
        <v>466</v>
      </c>
      <c r="C96" s="88" t="s">
        <v>230</v>
      </c>
      <c r="D96" s="254">
        <f t="shared" ref="D96:E96" si="48">SUM(D82:D86)</f>
        <v>1603657896</v>
      </c>
      <c r="E96" s="254">
        <f t="shared" si="48"/>
        <v>96404119</v>
      </c>
      <c r="F96" s="214">
        <f>SUM(F82:F86)</f>
        <v>1700062015</v>
      </c>
      <c r="G96" s="388">
        <f t="shared" ref="G96:K96" si="49">SUM(G82:G86)</f>
        <v>1614988393</v>
      </c>
      <c r="H96" s="388">
        <f t="shared" si="49"/>
        <v>-89562843</v>
      </c>
      <c r="I96" s="388">
        <f>SUM(I82:I86)</f>
        <v>537308375</v>
      </c>
      <c r="J96" s="388">
        <f>SUM(J82:J86)</f>
        <v>3762795940</v>
      </c>
      <c r="K96" s="214">
        <f t="shared" si="49"/>
        <v>1885654864</v>
      </c>
      <c r="L96" s="660">
        <f t="shared" si="44"/>
        <v>0.50113131141520262</v>
      </c>
    </row>
    <row r="97" spans="1:12" ht="16.5" customHeight="1" x14ac:dyDescent="0.35">
      <c r="A97" s="297" t="s">
        <v>49</v>
      </c>
      <c r="B97" s="285" t="s">
        <v>231</v>
      </c>
      <c r="C97" s="286" t="s">
        <v>232</v>
      </c>
      <c r="D97" s="390">
        <v>13000000</v>
      </c>
      <c r="E97" s="390">
        <v>45440500</v>
      </c>
      <c r="F97" s="275">
        <f>'[16]4. sz.mell'!G13</f>
        <v>58440500</v>
      </c>
      <c r="G97" s="255">
        <v>73033639</v>
      </c>
      <c r="H97" s="255">
        <v>548913900</v>
      </c>
      <c r="I97" s="688">
        <f>J97-F97-G97-H97</f>
        <v>346179851</v>
      </c>
      <c r="J97" s="255">
        <v>1026567890</v>
      </c>
      <c r="K97" s="223">
        <v>72771006</v>
      </c>
      <c r="L97" s="660">
        <f t="shared" si="44"/>
        <v>7.0887670176397202E-2</v>
      </c>
    </row>
    <row r="98" spans="1:12" ht="16.5" customHeight="1" x14ac:dyDescent="0.35">
      <c r="A98" s="297" t="s">
        <v>51</v>
      </c>
      <c r="B98" s="285" t="s">
        <v>233</v>
      </c>
      <c r="C98" s="286" t="s">
        <v>234</v>
      </c>
      <c r="D98" s="390">
        <v>81359542</v>
      </c>
      <c r="E98" s="390">
        <v>42451029</v>
      </c>
      <c r="F98" s="275">
        <f>'[16]4. sz.mell'!G19</f>
        <v>123810571</v>
      </c>
      <c r="G98" s="255">
        <v>71712571</v>
      </c>
      <c r="H98" s="255">
        <v>-37510434</v>
      </c>
      <c r="I98" s="688">
        <f t="shared" ref="I98:I113" si="50">J98-F98-G98-H98</f>
        <v>22936689</v>
      </c>
      <c r="J98" s="255">
        <v>180949397</v>
      </c>
      <c r="K98" s="223">
        <v>126942757</v>
      </c>
      <c r="L98" s="660">
        <f t="shared" si="44"/>
        <v>0.70153733090362269</v>
      </c>
    </row>
    <row r="99" spans="1:12" ht="16.5" customHeight="1" x14ac:dyDescent="0.35">
      <c r="A99" s="297" t="s">
        <v>54</v>
      </c>
      <c r="B99" s="273" t="s">
        <v>235</v>
      </c>
      <c r="C99" s="274" t="s">
        <v>236</v>
      </c>
      <c r="D99" s="378">
        <f t="shared" ref="D99:E99" si="51">SUM(D100:D105)</f>
        <v>5000000</v>
      </c>
      <c r="E99" s="378">
        <f t="shared" si="51"/>
        <v>0</v>
      </c>
      <c r="F99" s="275">
        <f>SUM(F100:F105)</f>
        <v>5000000</v>
      </c>
      <c r="G99" s="255">
        <v>1075000</v>
      </c>
      <c r="H99" s="255">
        <v>16531648</v>
      </c>
      <c r="I99" s="688">
        <f t="shared" si="50"/>
        <v>124000</v>
      </c>
      <c r="J99" s="255">
        <v>22730648</v>
      </c>
      <c r="K99" s="223">
        <v>15424342</v>
      </c>
      <c r="L99" s="660">
        <f t="shared" si="44"/>
        <v>0.67857027217173926</v>
      </c>
    </row>
    <row r="100" spans="1:12" ht="16.5" customHeight="1" x14ac:dyDescent="0.35">
      <c r="A100" s="297" t="s">
        <v>57</v>
      </c>
      <c r="B100" s="311" t="s">
        <v>237</v>
      </c>
      <c r="C100" s="289" t="s">
        <v>238</v>
      </c>
      <c r="D100" s="385"/>
      <c r="E100" s="385"/>
      <c r="F100" s="277"/>
      <c r="G100" s="255">
        <f t="shared" ref="G100:G103" si="52">J100-D100</f>
        <v>0</v>
      </c>
      <c r="H100" s="255">
        <v>0</v>
      </c>
      <c r="I100" s="688">
        <f t="shared" si="50"/>
        <v>0</v>
      </c>
      <c r="J100" s="255"/>
      <c r="K100" s="223"/>
      <c r="L100" s="660"/>
    </row>
    <row r="101" spans="1:12" ht="16.5" customHeight="1" x14ac:dyDescent="0.35">
      <c r="A101" s="297" t="s">
        <v>60</v>
      </c>
      <c r="B101" s="312" t="s">
        <v>218</v>
      </c>
      <c r="C101" s="289" t="s">
        <v>239</v>
      </c>
      <c r="D101" s="385"/>
      <c r="E101" s="385"/>
      <c r="F101" s="277"/>
      <c r="G101" s="255">
        <f t="shared" si="52"/>
        <v>0</v>
      </c>
      <c r="H101" s="255">
        <v>0</v>
      </c>
      <c r="I101" s="688">
        <f t="shared" si="50"/>
        <v>0</v>
      </c>
      <c r="J101" s="255"/>
      <c r="K101" s="223"/>
      <c r="L101" s="660"/>
    </row>
    <row r="102" spans="1:12" ht="16.5" customHeight="1" x14ac:dyDescent="0.35">
      <c r="A102" s="297" t="s">
        <v>62</v>
      </c>
      <c r="B102" s="312" t="s">
        <v>240</v>
      </c>
      <c r="C102" s="289" t="s">
        <v>241</v>
      </c>
      <c r="D102" s="385"/>
      <c r="E102" s="385"/>
      <c r="F102" s="277"/>
      <c r="G102" s="255">
        <f t="shared" si="52"/>
        <v>0</v>
      </c>
      <c r="H102" s="255">
        <v>0</v>
      </c>
      <c r="I102" s="688">
        <f t="shared" si="50"/>
        <v>0</v>
      </c>
      <c r="J102" s="255"/>
      <c r="K102" s="223"/>
      <c r="L102" s="660"/>
    </row>
    <row r="103" spans="1:12" ht="16.5" customHeight="1" x14ac:dyDescent="0.35">
      <c r="A103" s="297" t="s">
        <v>64</v>
      </c>
      <c r="B103" s="312" t="s">
        <v>242</v>
      </c>
      <c r="C103" s="289" t="s">
        <v>243</v>
      </c>
      <c r="D103" s="385"/>
      <c r="E103" s="385"/>
      <c r="F103" s="277"/>
      <c r="G103" s="255">
        <f t="shared" si="52"/>
        <v>0</v>
      </c>
      <c r="H103" s="255">
        <v>0</v>
      </c>
      <c r="I103" s="688">
        <f t="shared" si="50"/>
        <v>0</v>
      </c>
      <c r="J103" s="255"/>
      <c r="K103" s="223"/>
      <c r="L103" s="660"/>
    </row>
    <row r="104" spans="1:12" ht="16.5" customHeight="1" x14ac:dyDescent="0.35">
      <c r="A104" s="297" t="s">
        <v>66</v>
      </c>
      <c r="B104" s="312" t="s">
        <v>244</v>
      </c>
      <c r="C104" s="289" t="s">
        <v>245</v>
      </c>
      <c r="D104" s="385">
        <v>5000000</v>
      </c>
      <c r="E104" s="385"/>
      <c r="F104" s="277">
        <v>5000000</v>
      </c>
      <c r="G104" s="255">
        <v>1075000</v>
      </c>
      <c r="H104" s="255">
        <v>1340000</v>
      </c>
      <c r="I104" s="688">
        <f t="shared" si="50"/>
        <v>124000</v>
      </c>
      <c r="J104" s="255">
        <v>7539000</v>
      </c>
      <c r="K104" s="223">
        <v>232694</v>
      </c>
      <c r="L104" s="660">
        <f t="shared" si="44"/>
        <v>3.0865366759517177E-2</v>
      </c>
    </row>
    <row r="105" spans="1:12" ht="16.5" customHeight="1" x14ac:dyDescent="0.35">
      <c r="A105" s="297" t="s">
        <v>68</v>
      </c>
      <c r="B105" s="312" t="s">
        <v>246</v>
      </c>
      <c r="C105" s="289" t="s">
        <v>247</v>
      </c>
      <c r="D105" s="385"/>
      <c r="E105" s="385"/>
      <c r="F105" s="277"/>
      <c r="G105" s="255"/>
      <c r="H105" s="255">
        <v>15191648</v>
      </c>
      <c r="I105" s="688">
        <f t="shared" si="50"/>
        <v>0</v>
      </c>
      <c r="J105" s="255">
        <v>15191648</v>
      </c>
      <c r="K105" s="223">
        <v>15191648</v>
      </c>
      <c r="L105" s="660">
        <f t="shared" si="44"/>
        <v>1</v>
      </c>
    </row>
    <row r="106" spans="1:12" ht="16.5" customHeight="1" x14ac:dyDescent="0.35">
      <c r="A106" s="309" t="s">
        <v>70</v>
      </c>
      <c r="B106" s="310" t="s">
        <v>465</v>
      </c>
      <c r="C106" s="88" t="s">
        <v>248</v>
      </c>
      <c r="D106" s="254">
        <f t="shared" ref="D106:E106" si="53">+D97+D98+D99</f>
        <v>99359542</v>
      </c>
      <c r="E106" s="254">
        <f t="shared" si="53"/>
        <v>87891529</v>
      </c>
      <c r="F106" s="96">
        <f>+F97+F98+F99</f>
        <v>187251071</v>
      </c>
      <c r="G106" s="87">
        <f t="shared" ref="G106:K106" si="54">+G97+G98+G99</f>
        <v>145821210</v>
      </c>
      <c r="H106" s="87">
        <f t="shared" si="54"/>
        <v>527935114</v>
      </c>
      <c r="I106" s="254">
        <f t="shared" si="50"/>
        <v>369240540</v>
      </c>
      <c r="J106" s="87">
        <f t="shared" si="54"/>
        <v>1230247935</v>
      </c>
      <c r="K106" s="96">
        <f t="shared" si="54"/>
        <v>215138105</v>
      </c>
      <c r="L106" s="660">
        <f t="shared" si="44"/>
        <v>0.17487377859325567</v>
      </c>
    </row>
    <row r="107" spans="1:12" ht="16.5" customHeight="1" x14ac:dyDescent="0.35">
      <c r="A107" s="94" t="s">
        <v>72</v>
      </c>
      <c r="B107" s="296" t="s">
        <v>249</v>
      </c>
      <c r="C107" s="88" t="s">
        <v>250</v>
      </c>
      <c r="D107" s="254">
        <f t="shared" ref="D107:E107" si="55">SUM(D96+D106)</f>
        <v>1703017438</v>
      </c>
      <c r="E107" s="254">
        <f t="shared" si="55"/>
        <v>184295648</v>
      </c>
      <c r="F107" s="282">
        <f>SUM(F96+F106)</f>
        <v>1887313086</v>
      </c>
      <c r="G107" s="381">
        <f t="shared" ref="G107:K107" si="56">SUM(G96+G106)</f>
        <v>1760809603</v>
      </c>
      <c r="H107" s="381">
        <f t="shared" si="56"/>
        <v>438372271</v>
      </c>
      <c r="I107" s="254">
        <f t="shared" si="50"/>
        <v>906548915</v>
      </c>
      <c r="J107" s="381">
        <f>SUM(J96+J106)</f>
        <v>4993043875</v>
      </c>
      <c r="K107" s="282">
        <f t="shared" si="56"/>
        <v>2100792969</v>
      </c>
      <c r="L107" s="660">
        <f t="shared" si="44"/>
        <v>0.42074394329250714</v>
      </c>
    </row>
    <row r="108" spans="1:12" ht="16.5" customHeight="1" x14ac:dyDescent="0.35">
      <c r="A108" s="297" t="s">
        <v>75</v>
      </c>
      <c r="B108" s="231" t="s">
        <v>251</v>
      </c>
      <c r="C108" s="313" t="s">
        <v>252</v>
      </c>
      <c r="D108" s="393">
        <v>23997938</v>
      </c>
      <c r="E108" s="393"/>
      <c r="F108" s="299">
        <f>'[16]17.sz.mell'!D8</f>
        <v>23997938</v>
      </c>
      <c r="G108" s="255">
        <v>0</v>
      </c>
      <c r="H108" s="255">
        <v>0</v>
      </c>
      <c r="I108" s="688">
        <f t="shared" si="50"/>
        <v>3100000</v>
      </c>
      <c r="J108" s="255">
        <v>27097938</v>
      </c>
      <c r="K108" s="223">
        <v>27091108</v>
      </c>
      <c r="L108" s="660">
        <f t="shared" si="44"/>
        <v>0.99974795130168204</v>
      </c>
    </row>
    <row r="109" spans="1:12" ht="16.5" customHeight="1" x14ac:dyDescent="0.35">
      <c r="A109" s="297" t="s">
        <v>78</v>
      </c>
      <c r="B109" s="232" t="s">
        <v>253</v>
      </c>
      <c r="C109" s="286" t="s">
        <v>254</v>
      </c>
      <c r="D109" s="390"/>
      <c r="E109" s="390"/>
      <c r="F109" s="275"/>
      <c r="G109" s="255">
        <f>J109-D109</f>
        <v>0</v>
      </c>
      <c r="H109" s="255">
        <v>0</v>
      </c>
      <c r="I109" s="688">
        <f t="shared" si="50"/>
        <v>0</v>
      </c>
      <c r="J109" s="255"/>
      <c r="K109" s="223"/>
      <c r="L109" s="660"/>
    </row>
    <row r="110" spans="1:12" ht="16.5" customHeight="1" x14ac:dyDescent="0.35">
      <c r="A110" s="314" t="s">
        <v>81</v>
      </c>
      <c r="B110" s="232" t="s">
        <v>255</v>
      </c>
      <c r="C110" s="286" t="s">
        <v>256</v>
      </c>
      <c r="D110" s="390">
        <v>30364900</v>
      </c>
      <c r="E110" s="390"/>
      <c r="F110" s="275">
        <v>30364900</v>
      </c>
      <c r="G110" s="255">
        <f>J110-D110</f>
        <v>0</v>
      </c>
      <c r="H110" s="255">
        <v>0</v>
      </c>
      <c r="I110" s="688">
        <f t="shared" si="50"/>
        <v>0</v>
      </c>
      <c r="J110" s="255">
        <v>30364900</v>
      </c>
      <c r="K110" s="223">
        <v>30364900</v>
      </c>
      <c r="L110" s="660">
        <f t="shared" si="44"/>
        <v>1</v>
      </c>
    </row>
    <row r="111" spans="1:12" ht="16.5" customHeight="1" x14ac:dyDescent="0.35">
      <c r="A111" s="297" t="s">
        <v>83</v>
      </c>
      <c r="B111" s="232" t="s">
        <v>448</v>
      </c>
      <c r="C111" s="286" t="s">
        <v>447</v>
      </c>
      <c r="D111" s="390">
        <v>291413794</v>
      </c>
      <c r="E111" s="390">
        <v>9132668</v>
      </c>
      <c r="F111" s="275">
        <f>'[16]10.sz.mell'!G37+'[16]11.sz.mell'!F37</f>
        <v>300546462</v>
      </c>
      <c r="G111" s="255">
        <v>12474593</v>
      </c>
      <c r="H111" s="255">
        <v>-951942</v>
      </c>
      <c r="I111" s="688">
        <f t="shared" si="50"/>
        <v>-5039155</v>
      </c>
      <c r="J111" s="255">
        <v>307029958</v>
      </c>
      <c r="K111" s="223">
        <v>294065424</v>
      </c>
      <c r="L111" s="660">
        <f t="shared" si="44"/>
        <v>0.95777436806345784</v>
      </c>
    </row>
    <row r="112" spans="1:12" ht="16.5" customHeight="1" x14ac:dyDescent="0.35">
      <c r="A112" s="314" t="s">
        <v>85</v>
      </c>
      <c r="B112" s="232" t="s">
        <v>257</v>
      </c>
      <c r="C112" s="286" t="s">
        <v>258</v>
      </c>
      <c r="D112" s="390"/>
      <c r="E112" s="390"/>
      <c r="F112" s="275"/>
      <c r="G112" s="255"/>
      <c r="H112" s="255">
        <v>0</v>
      </c>
      <c r="I112" s="688">
        <f t="shared" si="50"/>
        <v>0</v>
      </c>
      <c r="J112" s="255"/>
      <c r="K112" s="223"/>
      <c r="L112" s="660"/>
    </row>
    <row r="113" spans="1:15" s="7" customFormat="1" ht="16.5" customHeight="1" x14ac:dyDescent="0.3">
      <c r="A113" s="315" t="s">
        <v>87</v>
      </c>
      <c r="B113" s="85" t="s">
        <v>259</v>
      </c>
      <c r="C113" s="88" t="s">
        <v>260</v>
      </c>
      <c r="D113" s="254">
        <f t="shared" ref="D113:E113" si="57">SUM(D108:D112)</f>
        <v>345776632</v>
      </c>
      <c r="E113" s="254">
        <f t="shared" si="57"/>
        <v>9132668</v>
      </c>
      <c r="F113" s="316">
        <f>SUM(F108:F112)</f>
        <v>354909300</v>
      </c>
      <c r="G113" s="759">
        <f t="shared" ref="G113:H113" si="58">SUM(G108:G112)</f>
        <v>12474593</v>
      </c>
      <c r="H113" s="759">
        <f t="shared" si="58"/>
        <v>-951942</v>
      </c>
      <c r="I113" s="254">
        <f t="shared" si="50"/>
        <v>-1939155</v>
      </c>
      <c r="J113" s="759">
        <f>SUM(J108:J112)</f>
        <v>364492796</v>
      </c>
      <c r="K113" s="316">
        <f t="shared" ref="K113" si="59">SUM(K108:K112)</f>
        <v>351521432</v>
      </c>
      <c r="L113" s="660">
        <f t="shared" si="44"/>
        <v>0.96441256413748155</v>
      </c>
    </row>
    <row r="114" spans="1:15" s="534" customFormat="1" ht="24.75" customHeight="1" x14ac:dyDescent="0.3">
      <c r="A114" s="213" t="s">
        <v>90</v>
      </c>
      <c r="B114" s="280" t="s">
        <v>261</v>
      </c>
      <c r="C114" s="317" t="s">
        <v>262</v>
      </c>
      <c r="D114" s="394">
        <f t="shared" ref="D114:E114" si="60">D107+D113</f>
        <v>2048794070</v>
      </c>
      <c r="E114" s="394">
        <f t="shared" si="60"/>
        <v>193428316</v>
      </c>
      <c r="F114" s="316">
        <f>F107+F113</f>
        <v>2242222386</v>
      </c>
      <c r="G114" s="759">
        <f t="shared" ref="G114:H114" si="61">G107+G113</f>
        <v>1773284196</v>
      </c>
      <c r="H114" s="759">
        <f t="shared" si="61"/>
        <v>437420329</v>
      </c>
      <c r="I114" s="759">
        <f>I107+I113</f>
        <v>904609760</v>
      </c>
      <c r="J114" s="759">
        <f>J107+J113</f>
        <v>5357536671</v>
      </c>
      <c r="K114" s="316">
        <f t="shared" ref="K114" si="62">K107+K113</f>
        <v>2452314401</v>
      </c>
      <c r="L114" s="660">
        <f t="shared" si="44"/>
        <v>0.45773170611677183</v>
      </c>
      <c r="O114" s="757"/>
    </row>
    <row r="115" spans="1:15" ht="16.5" customHeight="1" x14ac:dyDescent="0.35">
      <c r="G115" s="253"/>
      <c r="H115" s="253"/>
      <c r="I115" s="253"/>
      <c r="O115" s="757"/>
    </row>
    <row r="116" spans="1:15" x14ac:dyDescent="0.35">
      <c r="F116" s="147"/>
      <c r="G116" s="253"/>
      <c r="H116" s="253"/>
      <c r="I116" s="253"/>
      <c r="O116" s="757"/>
    </row>
    <row r="118" spans="1:15" x14ac:dyDescent="0.35">
      <c r="I118" s="253"/>
    </row>
  </sheetData>
  <mergeCells count="5">
    <mergeCell ref="A1:L1"/>
    <mergeCell ref="A3:B3"/>
    <mergeCell ref="A78:D78"/>
    <mergeCell ref="A2:L2"/>
    <mergeCell ref="A79:L79"/>
  </mergeCells>
  <printOptions horizontalCentered="1"/>
  <pageMargins left="0.25" right="0.25" top="0.75" bottom="0.75" header="0.3" footer="0.3"/>
  <pageSetup paperSize="9" scale="64" fitToHeight="2" orientation="landscape" r:id="rId1"/>
  <headerFooter alignWithMargins="0">
    <oddHeader>&amp;R&amp;"Times New Roman CE,Félkövér dőlt"&amp;11 9. melléklet a 4/2018. (III.19.)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view="pageLayout" zoomScaleNormal="100" workbookViewId="0">
      <selection activeCell="D4" sqref="D4"/>
    </sheetView>
  </sheetViews>
  <sheetFormatPr defaultRowHeight="13" x14ac:dyDescent="0.3"/>
  <cols>
    <col min="1" max="1" width="9.296875" style="690"/>
    <col min="2" max="2" width="36.796875" bestFit="1" customWidth="1"/>
    <col min="3" max="3" width="15.69921875" style="692" customWidth="1"/>
    <col min="4" max="5" width="16" style="695" customWidth="1"/>
    <col min="6" max="6" width="15.69921875" style="695" customWidth="1"/>
  </cols>
  <sheetData>
    <row r="1" spans="1:12" ht="18" customHeight="1" x14ac:dyDescent="0.3">
      <c r="A1" s="876" t="s">
        <v>863</v>
      </c>
      <c r="B1" s="876"/>
      <c r="C1" s="876"/>
      <c r="D1" s="876"/>
      <c r="E1" s="876"/>
      <c r="F1" s="876"/>
      <c r="G1" s="689"/>
      <c r="H1" s="689"/>
      <c r="I1" s="689"/>
      <c r="J1" s="689"/>
      <c r="K1" s="689"/>
      <c r="L1" s="689"/>
    </row>
    <row r="2" spans="1:12" ht="17.5" x14ac:dyDescent="0.3">
      <c r="A2" s="876"/>
      <c r="B2" s="876"/>
      <c r="C2" s="876"/>
      <c r="D2" s="876"/>
      <c r="E2" s="876"/>
      <c r="F2" s="876"/>
      <c r="G2" s="689"/>
      <c r="H2" s="689"/>
      <c r="I2" s="689"/>
      <c r="J2" s="689"/>
      <c r="K2" s="689"/>
      <c r="L2" s="689"/>
    </row>
    <row r="3" spans="1:12" ht="12.75" customHeight="1" x14ac:dyDescent="0.35">
      <c r="A3" s="686"/>
      <c r="B3" s="689"/>
      <c r="C3" s="693"/>
      <c r="D3" s="691"/>
      <c r="E3" s="691"/>
      <c r="F3" s="691"/>
      <c r="G3" s="689"/>
      <c r="H3" s="689"/>
      <c r="I3" s="689"/>
      <c r="J3" s="689"/>
      <c r="K3" s="689"/>
      <c r="L3" s="689"/>
    </row>
    <row r="4" spans="1:12" x14ac:dyDescent="0.3">
      <c r="F4" s="656" t="s">
        <v>1</v>
      </c>
    </row>
    <row r="5" spans="1:12" ht="26" x14ac:dyDescent="0.3">
      <c r="A5" s="396" t="s">
        <v>404</v>
      </c>
      <c r="B5" s="396" t="s">
        <v>449</v>
      </c>
      <c r="C5" s="694" t="s">
        <v>450</v>
      </c>
      <c r="D5" s="696" t="s">
        <v>959</v>
      </c>
      <c r="E5" s="696" t="s">
        <v>960</v>
      </c>
      <c r="F5" s="696" t="s">
        <v>826</v>
      </c>
    </row>
    <row r="6" spans="1:12" ht="20.149999999999999" customHeight="1" x14ac:dyDescent="0.3">
      <c r="A6" s="698">
        <v>1</v>
      </c>
      <c r="B6" s="699" t="s">
        <v>864</v>
      </c>
      <c r="C6" s="700" t="s">
        <v>457</v>
      </c>
      <c r="D6" s="697">
        <v>19640663</v>
      </c>
      <c r="E6" s="697">
        <v>19640663</v>
      </c>
      <c r="F6" s="697">
        <v>123083749</v>
      </c>
    </row>
    <row r="7" spans="1:12" ht="20.149999999999999" customHeight="1" x14ac:dyDescent="0.3">
      <c r="A7" s="698">
        <v>2</v>
      </c>
      <c r="B7" s="699" t="s">
        <v>865</v>
      </c>
      <c r="C7" s="700" t="s">
        <v>757</v>
      </c>
      <c r="D7" s="697"/>
      <c r="E7" s="697"/>
      <c r="F7" s="697">
        <v>375423</v>
      </c>
    </row>
    <row r="8" spans="1:12" ht="20.149999999999999" customHeight="1" x14ac:dyDescent="0.3">
      <c r="A8" s="698">
        <v>3</v>
      </c>
      <c r="B8" s="699" t="s">
        <v>866</v>
      </c>
      <c r="C8" s="700" t="s">
        <v>741</v>
      </c>
      <c r="D8" s="697">
        <v>389064573</v>
      </c>
      <c r="E8" s="697">
        <v>389064573</v>
      </c>
      <c r="F8" s="697">
        <v>56721110</v>
      </c>
    </row>
    <row r="9" spans="1:12" ht="20.149999999999999" customHeight="1" x14ac:dyDescent="0.3">
      <c r="A9" s="698">
        <v>4</v>
      </c>
      <c r="B9" s="699" t="s">
        <v>931</v>
      </c>
      <c r="C9" s="700" t="s">
        <v>758</v>
      </c>
      <c r="D9" s="697">
        <v>4535717</v>
      </c>
      <c r="E9" s="697">
        <v>4535717</v>
      </c>
      <c r="F9" s="697">
        <v>5742996</v>
      </c>
    </row>
    <row r="10" spans="1:12" ht="20.149999999999999" customHeight="1" x14ac:dyDescent="0.3">
      <c r="A10" s="698">
        <v>5</v>
      </c>
      <c r="B10" s="699" t="s">
        <v>932</v>
      </c>
      <c r="C10" s="700" t="s">
        <v>742</v>
      </c>
      <c r="D10" s="697">
        <v>964523969</v>
      </c>
      <c r="E10" s="697">
        <v>964523969</v>
      </c>
      <c r="F10" s="697">
        <v>47693703</v>
      </c>
    </row>
    <row r="11" spans="1:12" ht="20.149999999999999" customHeight="1" x14ac:dyDescent="0.3">
      <c r="A11" s="698">
        <v>6</v>
      </c>
      <c r="B11" s="699" t="s">
        <v>867</v>
      </c>
      <c r="C11" s="700" t="s">
        <v>459</v>
      </c>
      <c r="D11" s="697">
        <v>373580098</v>
      </c>
      <c r="E11" s="697">
        <v>373580098</v>
      </c>
      <c r="F11" s="697">
        <v>779261622</v>
      </c>
    </row>
    <row r="12" spans="1:12" ht="20.149999999999999" customHeight="1" x14ac:dyDescent="0.3">
      <c r="A12" s="698">
        <v>7</v>
      </c>
      <c r="B12" s="699" t="s">
        <v>933</v>
      </c>
      <c r="C12" s="700" t="s">
        <v>729</v>
      </c>
      <c r="D12" s="697">
        <v>58648661</v>
      </c>
      <c r="E12" s="697">
        <v>58648661</v>
      </c>
      <c r="F12" s="697">
        <v>43729316</v>
      </c>
    </row>
    <row r="13" spans="1:12" ht="20.149999999999999" customHeight="1" x14ac:dyDescent="0.3">
      <c r="A13" s="698">
        <v>8</v>
      </c>
      <c r="B13" s="699" t="s">
        <v>934</v>
      </c>
      <c r="C13" s="700" t="s">
        <v>743</v>
      </c>
      <c r="D13" s="697">
        <v>217058501</v>
      </c>
      <c r="E13" s="697">
        <v>217058501</v>
      </c>
      <c r="F13" s="697">
        <v>251024988</v>
      </c>
    </row>
    <row r="14" spans="1:12" ht="20.149999999999999" customHeight="1" x14ac:dyDescent="0.3">
      <c r="A14" s="698">
        <v>9</v>
      </c>
      <c r="B14" s="699" t="s">
        <v>935</v>
      </c>
      <c r="C14" s="700" t="s">
        <v>748</v>
      </c>
      <c r="D14" s="697">
        <v>1313497</v>
      </c>
      <c r="E14" s="697">
        <v>1313497</v>
      </c>
      <c r="F14" s="697">
        <v>15862074</v>
      </c>
    </row>
    <row r="15" spans="1:12" ht="20.149999999999999" customHeight="1" x14ac:dyDescent="0.3">
      <c r="A15" s="698">
        <v>10</v>
      </c>
      <c r="B15" s="699" t="s">
        <v>936</v>
      </c>
      <c r="C15" s="700" t="s">
        <v>803</v>
      </c>
      <c r="D15" s="697">
        <v>747857850</v>
      </c>
      <c r="E15" s="697">
        <v>747857850</v>
      </c>
      <c r="F15" s="697">
        <v>8547350</v>
      </c>
    </row>
    <row r="16" spans="1:12" ht="20.149999999999999" customHeight="1" x14ac:dyDescent="0.3">
      <c r="A16" s="698">
        <v>11</v>
      </c>
      <c r="B16" s="699" t="s">
        <v>937</v>
      </c>
      <c r="C16" s="700" t="s">
        <v>759</v>
      </c>
      <c r="D16" s="697">
        <v>50000000</v>
      </c>
      <c r="E16" s="697">
        <v>50000000</v>
      </c>
      <c r="F16" s="697">
        <v>74863510</v>
      </c>
    </row>
    <row r="17" spans="1:6" ht="20.149999999999999" customHeight="1" x14ac:dyDescent="0.3">
      <c r="A17" s="698">
        <v>12</v>
      </c>
      <c r="B17" s="699" t="s">
        <v>868</v>
      </c>
      <c r="C17" s="700" t="s">
        <v>760</v>
      </c>
      <c r="D17" s="697">
        <v>6005957</v>
      </c>
      <c r="E17" s="697">
        <v>6005957</v>
      </c>
      <c r="F17" s="697">
        <v>17063030</v>
      </c>
    </row>
    <row r="18" spans="1:6" ht="20.149999999999999" customHeight="1" x14ac:dyDescent="0.3">
      <c r="A18" s="698">
        <v>13</v>
      </c>
      <c r="B18" s="699" t="s">
        <v>805</v>
      </c>
      <c r="C18" s="700" t="s">
        <v>804</v>
      </c>
      <c r="D18" s="697">
        <v>60000000</v>
      </c>
      <c r="E18" s="697">
        <v>60000000</v>
      </c>
      <c r="F18" s="697">
        <v>2600125</v>
      </c>
    </row>
    <row r="19" spans="1:6" ht="20.149999999999999" customHeight="1" x14ac:dyDescent="0.3">
      <c r="A19" s="698">
        <v>14</v>
      </c>
      <c r="B19" s="699" t="s">
        <v>938</v>
      </c>
      <c r="C19" s="700" t="s">
        <v>869</v>
      </c>
      <c r="D19" s="697">
        <v>400025148</v>
      </c>
      <c r="E19" s="697">
        <v>400025148</v>
      </c>
      <c r="F19" s="697"/>
    </row>
    <row r="20" spans="1:6" ht="20.149999999999999" customHeight="1" x14ac:dyDescent="0.3">
      <c r="A20" s="698">
        <v>15</v>
      </c>
      <c r="B20" s="699" t="s">
        <v>870</v>
      </c>
      <c r="C20" s="700" t="s">
        <v>788</v>
      </c>
      <c r="D20" s="697">
        <v>277000000</v>
      </c>
      <c r="E20" s="697">
        <v>277000000</v>
      </c>
      <c r="F20" s="697">
        <v>1079451</v>
      </c>
    </row>
    <row r="21" spans="1:6" ht="20.149999999999999" customHeight="1" x14ac:dyDescent="0.3">
      <c r="A21" s="698">
        <v>16</v>
      </c>
      <c r="B21" s="699" t="s">
        <v>939</v>
      </c>
      <c r="C21" s="700" t="s">
        <v>761</v>
      </c>
      <c r="D21" s="697"/>
      <c r="E21" s="697"/>
      <c r="F21" s="697">
        <v>9945559</v>
      </c>
    </row>
    <row r="22" spans="1:6" ht="20.149999999999999" customHeight="1" x14ac:dyDescent="0.3">
      <c r="A22" s="698">
        <v>17</v>
      </c>
      <c r="B22" s="699" t="s">
        <v>940</v>
      </c>
      <c r="C22" s="700" t="s">
        <v>762</v>
      </c>
      <c r="D22" s="697">
        <v>599411</v>
      </c>
      <c r="E22" s="697">
        <v>599411</v>
      </c>
      <c r="F22" s="697">
        <v>7231635</v>
      </c>
    </row>
    <row r="23" spans="1:6" ht="20.149999999999999" customHeight="1" x14ac:dyDescent="0.3">
      <c r="A23" s="698">
        <v>18</v>
      </c>
      <c r="B23" s="699" t="s">
        <v>941</v>
      </c>
      <c r="C23" s="700" t="s">
        <v>763</v>
      </c>
      <c r="D23" s="697">
        <v>23158755</v>
      </c>
      <c r="E23" s="697">
        <v>23158755</v>
      </c>
      <c r="F23" s="697">
        <v>44254686</v>
      </c>
    </row>
    <row r="24" spans="1:6" ht="20.149999999999999" customHeight="1" x14ac:dyDescent="0.3">
      <c r="A24" s="698">
        <v>19</v>
      </c>
      <c r="B24" s="699" t="s">
        <v>958</v>
      </c>
      <c r="C24" s="700" t="s">
        <v>802</v>
      </c>
      <c r="D24" s="697">
        <v>187189</v>
      </c>
      <c r="E24" s="697">
        <v>187189</v>
      </c>
      <c r="F24" s="697"/>
    </row>
    <row r="25" spans="1:6" ht="20.149999999999999" customHeight="1" x14ac:dyDescent="0.3">
      <c r="A25" s="698">
        <v>20</v>
      </c>
      <c r="B25" s="699" t="s">
        <v>871</v>
      </c>
      <c r="C25" s="700" t="s">
        <v>806</v>
      </c>
      <c r="D25" s="697">
        <v>581427658</v>
      </c>
      <c r="E25" s="697">
        <v>581427658</v>
      </c>
      <c r="F25" s="697">
        <v>7763500</v>
      </c>
    </row>
    <row r="26" spans="1:6" ht="20.149999999999999" customHeight="1" x14ac:dyDescent="0.3">
      <c r="A26" s="698">
        <v>21</v>
      </c>
      <c r="B26" s="699" t="s">
        <v>942</v>
      </c>
      <c r="C26" s="700" t="s">
        <v>764</v>
      </c>
      <c r="D26" s="697"/>
      <c r="E26" s="697"/>
      <c r="F26" s="697">
        <v>13472834</v>
      </c>
    </row>
    <row r="27" spans="1:6" ht="20.149999999999999" customHeight="1" x14ac:dyDescent="0.3">
      <c r="A27" s="698">
        <v>22</v>
      </c>
      <c r="B27" s="699" t="s">
        <v>789</v>
      </c>
      <c r="C27" s="700" t="s">
        <v>765</v>
      </c>
      <c r="D27" s="697"/>
      <c r="E27" s="697"/>
      <c r="F27" s="697">
        <v>28668176</v>
      </c>
    </row>
    <row r="28" spans="1:6" ht="20.149999999999999" customHeight="1" x14ac:dyDescent="0.3">
      <c r="A28" s="698">
        <v>23</v>
      </c>
      <c r="B28" s="699" t="s">
        <v>872</v>
      </c>
      <c r="C28" s="700" t="s">
        <v>790</v>
      </c>
      <c r="D28" s="697"/>
      <c r="E28" s="697"/>
      <c r="F28" s="697">
        <v>12098336</v>
      </c>
    </row>
    <row r="29" spans="1:6" ht="20.149999999999999" customHeight="1" x14ac:dyDescent="0.3">
      <c r="A29" s="698">
        <v>24</v>
      </c>
      <c r="B29" s="699" t="s">
        <v>873</v>
      </c>
      <c r="C29" s="700" t="s">
        <v>766</v>
      </c>
      <c r="D29" s="697">
        <v>5082932</v>
      </c>
      <c r="E29" s="697">
        <v>5082932</v>
      </c>
      <c r="F29" s="697">
        <v>260863079</v>
      </c>
    </row>
    <row r="30" spans="1:6" ht="20.149999999999999" customHeight="1" x14ac:dyDescent="0.3">
      <c r="A30" s="698">
        <v>25</v>
      </c>
      <c r="B30" s="699" t="s">
        <v>747</v>
      </c>
      <c r="C30" s="700" t="s">
        <v>746</v>
      </c>
      <c r="D30" s="697">
        <v>15470500</v>
      </c>
      <c r="E30" s="697">
        <v>15470500</v>
      </c>
      <c r="F30" s="697">
        <v>13913158</v>
      </c>
    </row>
    <row r="31" spans="1:6" ht="20.149999999999999" customHeight="1" x14ac:dyDescent="0.3">
      <c r="A31" s="698">
        <v>26</v>
      </c>
      <c r="B31" s="699" t="s">
        <v>791</v>
      </c>
      <c r="C31" s="700" t="s">
        <v>767</v>
      </c>
      <c r="D31" s="697"/>
      <c r="E31" s="697"/>
      <c r="F31" s="697">
        <v>13267472</v>
      </c>
    </row>
    <row r="32" spans="1:6" ht="20.149999999999999" customHeight="1" x14ac:dyDescent="0.3">
      <c r="A32" s="698">
        <v>27</v>
      </c>
      <c r="B32" s="699" t="s">
        <v>874</v>
      </c>
      <c r="C32" s="700" t="s">
        <v>768</v>
      </c>
      <c r="D32" s="697"/>
      <c r="E32" s="697"/>
      <c r="F32" s="697">
        <v>49150000</v>
      </c>
    </row>
    <row r="33" spans="1:6" ht="20.149999999999999" customHeight="1" x14ac:dyDescent="0.3">
      <c r="A33" s="698">
        <v>28</v>
      </c>
      <c r="B33" s="699" t="s">
        <v>875</v>
      </c>
      <c r="C33" s="700" t="s">
        <v>769</v>
      </c>
      <c r="D33" s="697"/>
      <c r="E33" s="697"/>
      <c r="F33" s="697">
        <v>25128991</v>
      </c>
    </row>
    <row r="34" spans="1:6" ht="20.149999999999999" customHeight="1" x14ac:dyDescent="0.3">
      <c r="A34" s="698">
        <v>29</v>
      </c>
      <c r="B34" s="699" t="s">
        <v>876</v>
      </c>
      <c r="C34" s="700" t="s">
        <v>770</v>
      </c>
      <c r="D34" s="697"/>
      <c r="E34" s="697"/>
      <c r="F34" s="697">
        <v>26111895</v>
      </c>
    </row>
    <row r="35" spans="1:6" ht="20.149999999999999" customHeight="1" x14ac:dyDescent="0.3">
      <c r="A35" s="698">
        <v>30</v>
      </c>
      <c r="B35" s="699" t="s">
        <v>877</v>
      </c>
      <c r="C35" s="700" t="s">
        <v>771</v>
      </c>
      <c r="D35" s="697"/>
      <c r="E35" s="697"/>
      <c r="F35" s="697">
        <v>302000</v>
      </c>
    </row>
    <row r="36" spans="1:6" ht="20.149999999999999" customHeight="1" x14ac:dyDescent="0.3">
      <c r="A36" s="698">
        <v>31</v>
      </c>
      <c r="B36" s="699" t="s">
        <v>878</v>
      </c>
      <c r="C36" s="700" t="s">
        <v>792</v>
      </c>
      <c r="D36" s="697">
        <v>700000</v>
      </c>
      <c r="E36" s="697">
        <v>700000</v>
      </c>
      <c r="F36" s="697">
        <v>12549871</v>
      </c>
    </row>
    <row r="37" spans="1:6" ht="20.149999999999999" customHeight="1" x14ac:dyDescent="0.3">
      <c r="A37" s="698">
        <v>32</v>
      </c>
      <c r="B37" s="699" t="s">
        <v>879</v>
      </c>
      <c r="C37" s="700" t="s">
        <v>772</v>
      </c>
      <c r="D37" s="697">
        <v>997500</v>
      </c>
      <c r="E37" s="697">
        <v>997500</v>
      </c>
      <c r="F37" s="697">
        <v>97223134</v>
      </c>
    </row>
    <row r="38" spans="1:6" ht="20.149999999999999" customHeight="1" x14ac:dyDescent="0.3">
      <c r="A38" s="698">
        <v>33</v>
      </c>
      <c r="B38" s="699" t="s">
        <v>880</v>
      </c>
      <c r="C38" s="700" t="s">
        <v>773</v>
      </c>
      <c r="D38" s="697"/>
      <c r="E38" s="697"/>
      <c r="F38" s="697">
        <v>9867000</v>
      </c>
    </row>
    <row r="39" spans="1:6" ht="20.149999999999999" customHeight="1" x14ac:dyDescent="0.3">
      <c r="A39" s="698">
        <v>34</v>
      </c>
      <c r="B39" s="699" t="s">
        <v>881</v>
      </c>
      <c r="C39" s="700" t="s">
        <v>774</v>
      </c>
      <c r="D39" s="697"/>
      <c r="E39" s="697"/>
      <c r="F39" s="697">
        <v>5250000</v>
      </c>
    </row>
    <row r="40" spans="1:6" ht="20.149999999999999" customHeight="1" x14ac:dyDescent="0.3">
      <c r="A40" s="698">
        <v>35</v>
      </c>
      <c r="B40" s="699" t="s">
        <v>943</v>
      </c>
      <c r="C40" s="700" t="s">
        <v>775</v>
      </c>
      <c r="D40" s="697"/>
      <c r="E40" s="697"/>
      <c r="F40" s="697">
        <v>1031212</v>
      </c>
    </row>
    <row r="41" spans="1:6" ht="20.149999999999999" customHeight="1" x14ac:dyDescent="0.3">
      <c r="A41" s="698">
        <v>36</v>
      </c>
      <c r="B41" s="699" t="s">
        <v>944</v>
      </c>
      <c r="C41" s="700" t="s">
        <v>776</v>
      </c>
      <c r="D41" s="697">
        <v>233679</v>
      </c>
      <c r="E41" s="697">
        <v>233679</v>
      </c>
      <c r="F41" s="697">
        <v>3162791</v>
      </c>
    </row>
    <row r="42" spans="1:6" ht="20.149999999999999" customHeight="1" x14ac:dyDescent="0.3">
      <c r="A42" s="698">
        <v>37</v>
      </c>
      <c r="B42" s="699" t="s">
        <v>945</v>
      </c>
      <c r="C42" s="700" t="s">
        <v>777</v>
      </c>
      <c r="D42" s="697">
        <v>23287</v>
      </c>
      <c r="E42" s="697">
        <v>23287</v>
      </c>
      <c r="F42" s="697">
        <v>619395</v>
      </c>
    </row>
    <row r="43" spans="1:6" ht="20.149999999999999" customHeight="1" x14ac:dyDescent="0.3">
      <c r="A43" s="698">
        <v>38</v>
      </c>
      <c r="B43" s="699" t="s">
        <v>882</v>
      </c>
      <c r="C43" s="700" t="s">
        <v>778</v>
      </c>
      <c r="D43" s="697">
        <v>246515</v>
      </c>
      <c r="E43" s="697">
        <v>246515</v>
      </c>
      <c r="F43" s="697">
        <v>2711669</v>
      </c>
    </row>
    <row r="44" spans="1:6" ht="20.149999999999999" customHeight="1" x14ac:dyDescent="0.3">
      <c r="A44" s="698">
        <v>39</v>
      </c>
      <c r="B44" s="699" t="s">
        <v>883</v>
      </c>
      <c r="C44" s="700" t="s">
        <v>779</v>
      </c>
      <c r="D44" s="697">
        <v>6782832</v>
      </c>
      <c r="E44" s="697">
        <v>6782832</v>
      </c>
      <c r="F44" s="697">
        <v>18339836</v>
      </c>
    </row>
    <row r="45" spans="1:6" ht="20.149999999999999" customHeight="1" x14ac:dyDescent="0.3">
      <c r="A45" s="698">
        <v>40</v>
      </c>
      <c r="B45" s="699" t="s">
        <v>947</v>
      </c>
      <c r="C45" s="700" t="s">
        <v>780</v>
      </c>
      <c r="D45" s="697">
        <v>1967167</v>
      </c>
      <c r="E45" s="697">
        <v>1967167</v>
      </c>
      <c r="F45" s="697">
        <v>3728163</v>
      </c>
    </row>
    <row r="46" spans="1:6" ht="20.149999999999999" customHeight="1" x14ac:dyDescent="0.3">
      <c r="A46" s="698">
        <v>41</v>
      </c>
      <c r="B46" s="699" t="s">
        <v>884</v>
      </c>
      <c r="C46" s="700" t="s">
        <v>781</v>
      </c>
      <c r="D46" s="697">
        <v>29674094</v>
      </c>
      <c r="E46" s="697">
        <v>29674094</v>
      </c>
      <c r="F46" s="697">
        <v>157628851</v>
      </c>
    </row>
    <row r="47" spans="1:6" ht="20.149999999999999" customHeight="1" x14ac:dyDescent="0.3">
      <c r="A47" s="698">
        <v>42</v>
      </c>
      <c r="B47" s="699" t="s">
        <v>946</v>
      </c>
      <c r="C47" s="700" t="s">
        <v>782</v>
      </c>
      <c r="D47" s="697"/>
      <c r="E47" s="697"/>
      <c r="F47" s="697">
        <v>1416671</v>
      </c>
    </row>
    <row r="48" spans="1:6" ht="20.149999999999999" customHeight="1" x14ac:dyDescent="0.3">
      <c r="A48" s="698">
        <v>43</v>
      </c>
      <c r="B48" s="699" t="s">
        <v>948</v>
      </c>
      <c r="C48" s="700" t="s">
        <v>783</v>
      </c>
      <c r="D48" s="697">
        <v>2438</v>
      </c>
      <c r="E48" s="697">
        <v>2438</v>
      </c>
      <c r="F48" s="697">
        <v>509384</v>
      </c>
    </row>
    <row r="49" spans="1:6" ht="20.149999999999999" customHeight="1" x14ac:dyDescent="0.3">
      <c r="A49" s="698">
        <v>44</v>
      </c>
      <c r="B49" s="699" t="s">
        <v>823</v>
      </c>
      <c r="C49" s="700" t="s">
        <v>807</v>
      </c>
      <c r="D49" s="697">
        <v>90000000</v>
      </c>
      <c r="E49" s="697">
        <v>90000000</v>
      </c>
      <c r="F49" s="697">
        <v>617500</v>
      </c>
    </row>
    <row r="50" spans="1:6" ht="20.149999999999999" customHeight="1" x14ac:dyDescent="0.3">
      <c r="A50" s="698">
        <v>45</v>
      </c>
      <c r="B50" s="699" t="s">
        <v>885</v>
      </c>
      <c r="C50" s="700" t="s">
        <v>784</v>
      </c>
      <c r="D50" s="697"/>
      <c r="E50" s="697"/>
      <c r="F50" s="697">
        <v>10360416</v>
      </c>
    </row>
    <row r="51" spans="1:6" ht="20.149999999999999" customHeight="1" x14ac:dyDescent="0.3">
      <c r="A51" s="698">
        <v>46</v>
      </c>
      <c r="B51" s="699" t="s">
        <v>793</v>
      </c>
      <c r="C51" s="700" t="s">
        <v>785</v>
      </c>
      <c r="D51" s="697"/>
      <c r="E51" s="697"/>
      <c r="F51" s="697">
        <v>5531882</v>
      </c>
    </row>
    <row r="52" spans="1:6" ht="20.149999999999999" customHeight="1" x14ac:dyDescent="0.3">
      <c r="A52" s="698">
        <v>47</v>
      </c>
      <c r="B52" s="699" t="s">
        <v>951</v>
      </c>
      <c r="C52" s="700" t="s">
        <v>754</v>
      </c>
      <c r="D52" s="697">
        <v>828360</v>
      </c>
      <c r="E52" s="697">
        <v>828360</v>
      </c>
      <c r="F52" s="697"/>
    </row>
    <row r="53" spans="1:6" ht="20.149999999999999" customHeight="1" x14ac:dyDescent="0.3">
      <c r="A53" s="698">
        <v>48</v>
      </c>
      <c r="B53" s="699" t="s">
        <v>952</v>
      </c>
      <c r="C53" s="700" t="s">
        <v>744</v>
      </c>
      <c r="D53" s="697">
        <v>55826180</v>
      </c>
      <c r="E53" s="697">
        <v>55826180</v>
      </c>
      <c r="F53" s="697">
        <v>24961192</v>
      </c>
    </row>
    <row r="54" spans="1:6" ht="20.149999999999999" customHeight="1" x14ac:dyDescent="0.3">
      <c r="A54" s="698">
        <v>49</v>
      </c>
      <c r="B54" s="699" t="s">
        <v>949</v>
      </c>
      <c r="C54" s="700" t="s">
        <v>808</v>
      </c>
      <c r="D54" s="697">
        <v>60348839</v>
      </c>
      <c r="E54" s="697">
        <v>60348839</v>
      </c>
      <c r="F54" s="697">
        <v>1105180</v>
      </c>
    </row>
    <row r="55" spans="1:6" ht="20.149999999999999" customHeight="1" x14ac:dyDescent="0.3">
      <c r="A55" s="698">
        <v>50</v>
      </c>
      <c r="B55" s="699" t="s">
        <v>950</v>
      </c>
      <c r="C55" s="700" t="s">
        <v>786</v>
      </c>
      <c r="D55" s="697">
        <v>71587</v>
      </c>
      <c r="E55" s="697">
        <v>71587</v>
      </c>
      <c r="F55" s="697">
        <v>74650116</v>
      </c>
    </row>
    <row r="56" spans="1:6" ht="20.149999999999999" customHeight="1" x14ac:dyDescent="0.3">
      <c r="A56" s="698">
        <v>51</v>
      </c>
      <c r="B56" s="699" t="s">
        <v>953</v>
      </c>
      <c r="C56" s="700" t="s">
        <v>749</v>
      </c>
      <c r="D56" s="697">
        <v>804118801</v>
      </c>
      <c r="E56" s="697">
        <v>804118801</v>
      </c>
      <c r="F56" s="697"/>
    </row>
    <row r="57" spans="1:6" ht="20.149999999999999" customHeight="1" x14ac:dyDescent="0.3">
      <c r="A57" s="698">
        <v>52</v>
      </c>
      <c r="B57" s="699" t="s">
        <v>954</v>
      </c>
      <c r="C57" s="700" t="s">
        <v>787</v>
      </c>
      <c r="D57" s="697"/>
      <c r="E57" s="697"/>
      <c r="F57" s="697">
        <v>27826836</v>
      </c>
    </row>
    <row r="58" spans="1:6" ht="20.149999999999999" customHeight="1" x14ac:dyDescent="0.3">
      <c r="A58" s="698">
        <v>53</v>
      </c>
      <c r="B58" s="699" t="s">
        <v>955</v>
      </c>
      <c r="C58" s="700" t="s">
        <v>745</v>
      </c>
      <c r="D58" s="697">
        <v>110534313</v>
      </c>
      <c r="E58" s="697">
        <v>110534313</v>
      </c>
      <c r="F58" s="697">
        <v>53403534</v>
      </c>
    </row>
    <row r="59" spans="1:6" s="704" customFormat="1" ht="20.149999999999999" customHeight="1" x14ac:dyDescent="0.3">
      <c r="A59" s="687">
        <v>54</v>
      </c>
      <c r="B59" s="701" t="s">
        <v>405</v>
      </c>
      <c r="C59" s="702"/>
      <c r="D59" s="703">
        <f>SUM(D6:D58)</f>
        <v>5357536671</v>
      </c>
      <c r="E59" s="703">
        <f>SUM(E6:E58)</f>
        <v>5357536671</v>
      </c>
      <c r="F59" s="703">
        <f>SUM(F6:F58)</f>
        <v>2452314401</v>
      </c>
    </row>
  </sheetData>
  <mergeCells count="1">
    <mergeCell ref="A1:F2"/>
  </mergeCells>
  <pageMargins left="0.25" right="0.25" top="0.75" bottom="0.75" header="0.3" footer="0.3"/>
  <pageSetup paperSize="9" orientation="portrait" r:id="rId1"/>
  <headerFooter>
    <oddHeader>&amp;R 9.1-2. melléklet a 4/2018. (III.19.)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view="pageLayout" topLeftCell="C1" zoomScaleNormal="100" zoomScaleSheetLayoutView="100" workbookViewId="0">
      <selection activeCell="H2" sqref="H2"/>
    </sheetView>
  </sheetViews>
  <sheetFormatPr defaultRowHeight="13" x14ac:dyDescent="0.3"/>
  <cols>
    <col min="1" max="1" width="6.796875" style="102" customWidth="1"/>
    <col min="2" max="2" width="60.19921875" style="103" customWidth="1"/>
    <col min="3" max="3" width="8.19921875" style="103" customWidth="1"/>
    <col min="4" max="5" width="14.5" style="80" customWidth="1"/>
    <col min="6" max="6" width="16" style="80" customWidth="1"/>
    <col min="7" max="7" width="14.5" style="80" customWidth="1"/>
    <col min="8" max="8" width="15.19921875" style="588" bestFit="1" customWidth="1"/>
    <col min="9" max="10" width="15" style="263" customWidth="1"/>
    <col min="11" max="12" width="14.69921875" style="263" bestFit="1" customWidth="1"/>
    <col min="13" max="13" width="11" style="598" bestFit="1" customWidth="1"/>
    <col min="14" max="259" width="9.296875" style="80"/>
    <col min="260" max="260" width="6.796875" style="80" customWidth="1"/>
    <col min="261" max="261" width="60.19921875" style="80" customWidth="1"/>
    <col min="262" max="262" width="8.19921875" style="80" customWidth="1"/>
    <col min="263" max="265" width="14.5" style="80" customWidth="1"/>
    <col min="266" max="515" width="9.296875" style="80"/>
    <col min="516" max="516" width="6.796875" style="80" customWidth="1"/>
    <col min="517" max="517" width="60.19921875" style="80" customWidth="1"/>
    <col min="518" max="518" width="8.19921875" style="80" customWidth="1"/>
    <col min="519" max="521" width="14.5" style="80" customWidth="1"/>
    <col min="522" max="771" width="9.296875" style="80"/>
    <col min="772" max="772" width="6.796875" style="80" customWidth="1"/>
    <col min="773" max="773" width="60.19921875" style="80" customWidth="1"/>
    <col min="774" max="774" width="8.19921875" style="80" customWidth="1"/>
    <col min="775" max="777" width="14.5" style="80" customWidth="1"/>
    <col min="778" max="1027" width="9.296875" style="80"/>
    <col min="1028" max="1028" width="6.796875" style="80" customWidth="1"/>
    <col min="1029" max="1029" width="60.19921875" style="80" customWidth="1"/>
    <col min="1030" max="1030" width="8.19921875" style="80" customWidth="1"/>
    <col min="1031" max="1033" width="14.5" style="80" customWidth="1"/>
    <col min="1034" max="1283" width="9.296875" style="80"/>
    <col min="1284" max="1284" width="6.796875" style="80" customWidth="1"/>
    <col min="1285" max="1285" width="60.19921875" style="80" customWidth="1"/>
    <col min="1286" max="1286" width="8.19921875" style="80" customWidth="1"/>
    <col min="1287" max="1289" width="14.5" style="80" customWidth="1"/>
    <col min="1290" max="1539" width="9.296875" style="80"/>
    <col min="1540" max="1540" width="6.796875" style="80" customWidth="1"/>
    <col min="1541" max="1541" width="60.19921875" style="80" customWidth="1"/>
    <col min="1542" max="1542" width="8.19921875" style="80" customWidth="1"/>
    <col min="1543" max="1545" width="14.5" style="80" customWidth="1"/>
    <col min="1546" max="1795" width="9.296875" style="80"/>
    <col min="1796" max="1796" width="6.796875" style="80" customWidth="1"/>
    <col min="1797" max="1797" width="60.19921875" style="80" customWidth="1"/>
    <col min="1798" max="1798" width="8.19921875" style="80" customWidth="1"/>
    <col min="1799" max="1801" width="14.5" style="80" customWidth="1"/>
    <col min="1802" max="2051" width="9.296875" style="80"/>
    <col min="2052" max="2052" width="6.796875" style="80" customWidth="1"/>
    <col min="2053" max="2053" width="60.19921875" style="80" customWidth="1"/>
    <col min="2054" max="2054" width="8.19921875" style="80" customWidth="1"/>
    <col min="2055" max="2057" width="14.5" style="80" customWidth="1"/>
    <col min="2058" max="2307" width="9.296875" style="80"/>
    <col min="2308" max="2308" width="6.796875" style="80" customWidth="1"/>
    <col min="2309" max="2309" width="60.19921875" style="80" customWidth="1"/>
    <col min="2310" max="2310" width="8.19921875" style="80" customWidth="1"/>
    <col min="2311" max="2313" width="14.5" style="80" customWidth="1"/>
    <col min="2314" max="2563" width="9.296875" style="80"/>
    <col min="2564" max="2564" width="6.796875" style="80" customWidth="1"/>
    <col min="2565" max="2565" width="60.19921875" style="80" customWidth="1"/>
    <col min="2566" max="2566" width="8.19921875" style="80" customWidth="1"/>
    <col min="2567" max="2569" width="14.5" style="80" customWidth="1"/>
    <col min="2570" max="2819" width="9.296875" style="80"/>
    <col min="2820" max="2820" width="6.796875" style="80" customWidth="1"/>
    <col min="2821" max="2821" width="60.19921875" style="80" customWidth="1"/>
    <col min="2822" max="2822" width="8.19921875" style="80" customWidth="1"/>
    <col min="2823" max="2825" width="14.5" style="80" customWidth="1"/>
    <col min="2826" max="3075" width="9.296875" style="80"/>
    <col min="3076" max="3076" width="6.796875" style="80" customWidth="1"/>
    <col min="3077" max="3077" width="60.19921875" style="80" customWidth="1"/>
    <col min="3078" max="3078" width="8.19921875" style="80" customWidth="1"/>
    <col min="3079" max="3081" width="14.5" style="80" customWidth="1"/>
    <col min="3082" max="3331" width="9.296875" style="80"/>
    <col min="3332" max="3332" width="6.796875" style="80" customWidth="1"/>
    <col min="3333" max="3333" width="60.19921875" style="80" customWidth="1"/>
    <col min="3334" max="3334" width="8.19921875" style="80" customWidth="1"/>
    <col min="3335" max="3337" width="14.5" style="80" customWidth="1"/>
    <col min="3338" max="3587" width="9.296875" style="80"/>
    <col min="3588" max="3588" width="6.796875" style="80" customWidth="1"/>
    <col min="3589" max="3589" width="60.19921875" style="80" customWidth="1"/>
    <col min="3590" max="3590" width="8.19921875" style="80" customWidth="1"/>
    <col min="3591" max="3593" width="14.5" style="80" customWidth="1"/>
    <col min="3594" max="3843" width="9.296875" style="80"/>
    <col min="3844" max="3844" width="6.796875" style="80" customWidth="1"/>
    <col min="3845" max="3845" width="60.19921875" style="80" customWidth="1"/>
    <col min="3846" max="3846" width="8.19921875" style="80" customWidth="1"/>
    <col min="3847" max="3849" width="14.5" style="80" customWidth="1"/>
    <col min="3850" max="4099" width="9.296875" style="80"/>
    <col min="4100" max="4100" width="6.796875" style="80" customWidth="1"/>
    <col min="4101" max="4101" width="60.19921875" style="80" customWidth="1"/>
    <col min="4102" max="4102" width="8.19921875" style="80" customWidth="1"/>
    <col min="4103" max="4105" width="14.5" style="80" customWidth="1"/>
    <col min="4106" max="4355" width="9.296875" style="80"/>
    <col min="4356" max="4356" width="6.796875" style="80" customWidth="1"/>
    <col min="4357" max="4357" width="60.19921875" style="80" customWidth="1"/>
    <col min="4358" max="4358" width="8.19921875" style="80" customWidth="1"/>
    <col min="4359" max="4361" width="14.5" style="80" customWidth="1"/>
    <col min="4362" max="4611" width="9.296875" style="80"/>
    <col min="4612" max="4612" width="6.796875" style="80" customWidth="1"/>
    <col min="4613" max="4613" width="60.19921875" style="80" customWidth="1"/>
    <col min="4614" max="4614" width="8.19921875" style="80" customWidth="1"/>
    <col min="4615" max="4617" width="14.5" style="80" customWidth="1"/>
    <col min="4618" max="4867" width="9.296875" style="80"/>
    <col min="4868" max="4868" width="6.796875" style="80" customWidth="1"/>
    <col min="4869" max="4869" width="60.19921875" style="80" customWidth="1"/>
    <col min="4870" max="4870" width="8.19921875" style="80" customWidth="1"/>
    <col min="4871" max="4873" width="14.5" style="80" customWidth="1"/>
    <col min="4874" max="5123" width="9.296875" style="80"/>
    <col min="5124" max="5124" width="6.796875" style="80" customWidth="1"/>
    <col min="5125" max="5125" width="60.19921875" style="80" customWidth="1"/>
    <col min="5126" max="5126" width="8.19921875" style="80" customWidth="1"/>
    <col min="5127" max="5129" width="14.5" style="80" customWidth="1"/>
    <col min="5130" max="5379" width="9.296875" style="80"/>
    <col min="5380" max="5380" width="6.796875" style="80" customWidth="1"/>
    <col min="5381" max="5381" width="60.19921875" style="80" customWidth="1"/>
    <col min="5382" max="5382" width="8.19921875" style="80" customWidth="1"/>
    <col min="5383" max="5385" width="14.5" style="80" customWidth="1"/>
    <col min="5386" max="5635" width="9.296875" style="80"/>
    <col min="5636" max="5636" width="6.796875" style="80" customWidth="1"/>
    <col min="5637" max="5637" width="60.19921875" style="80" customWidth="1"/>
    <col min="5638" max="5638" width="8.19921875" style="80" customWidth="1"/>
    <col min="5639" max="5641" width="14.5" style="80" customWidth="1"/>
    <col min="5642" max="5891" width="9.296875" style="80"/>
    <col min="5892" max="5892" width="6.796875" style="80" customWidth="1"/>
    <col min="5893" max="5893" width="60.19921875" style="80" customWidth="1"/>
    <col min="5894" max="5894" width="8.19921875" style="80" customWidth="1"/>
    <col min="5895" max="5897" width="14.5" style="80" customWidth="1"/>
    <col min="5898" max="6147" width="9.296875" style="80"/>
    <col min="6148" max="6148" width="6.796875" style="80" customWidth="1"/>
    <col min="6149" max="6149" width="60.19921875" style="80" customWidth="1"/>
    <col min="6150" max="6150" width="8.19921875" style="80" customWidth="1"/>
    <col min="6151" max="6153" width="14.5" style="80" customWidth="1"/>
    <col min="6154" max="6403" width="9.296875" style="80"/>
    <col min="6404" max="6404" width="6.796875" style="80" customWidth="1"/>
    <col min="6405" max="6405" width="60.19921875" style="80" customWidth="1"/>
    <col min="6406" max="6406" width="8.19921875" style="80" customWidth="1"/>
    <col min="6407" max="6409" width="14.5" style="80" customWidth="1"/>
    <col min="6410" max="6659" width="9.296875" style="80"/>
    <col min="6660" max="6660" width="6.796875" style="80" customWidth="1"/>
    <col min="6661" max="6661" width="60.19921875" style="80" customWidth="1"/>
    <col min="6662" max="6662" width="8.19921875" style="80" customWidth="1"/>
    <col min="6663" max="6665" width="14.5" style="80" customWidth="1"/>
    <col min="6666" max="6915" width="9.296875" style="80"/>
    <col min="6916" max="6916" width="6.796875" style="80" customWidth="1"/>
    <col min="6917" max="6917" width="60.19921875" style="80" customWidth="1"/>
    <col min="6918" max="6918" width="8.19921875" style="80" customWidth="1"/>
    <col min="6919" max="6921" width="14.5" style="80" customWidth="1"/>
    <col min="6922" max="7171" width="9.296875" style="80"/>
    <col min="7172" max="7172" width="6.796875" style="80" customWidth="1"/>
    <col min="7173" max="7173" width="60.19921875" style="80" customWidth="1"/>
    <col min="7174" max="7174" width="8.19921875" style="80" customWidth="1"/>
    <col min="7175" max="7177" width="14.5" style="80" customWidth="1"/>
    <col min="7178" max="7427" width="9.296875" style="80"/>
    <col min="7428" max="7428" width="6.796875" style="80" customWidth="1"/>
    <col min="7429" max="7429" width="60.19921875" style="80" customWidth="1"/>
    <col min="7430" max="7430" width="8.19921875" style="80" customWidth="1"/>
    <col min="7431" max="7433" width="14.5" style="80" customWidth="1"/>
    <col min="7434" max="7683" width="9.296875" style="80"/>
    <col min="7684" max="7684" width="6.796875" style="80" customWidth="1"/>
    <col min="7685" max="7685" width="60.19921875" style="80" customWidth="1"/>
    <col min="7686" max="7686" width="8.19921875" style="80" customWidth="1"/>
    <col min="7687" max="7689" width="14.5" style="80" customWidth="1"/>
    <col min="7690" max="7939" width="9.296875" style="80"/>
    <col min="7940" max="7940" width="6.796875" style="80" customWidth="1"/>
    <col min="7941" max="7941" width="60.19921875" style="80" customWidth="1"/>
    <col min="7942" max="7942" width="8.19921875" style="80" customWidth="1"/>
    <col min="7943" max="7945" width="14.5" style="80" customWidth="1"/>
    <col min="7946" max="8195" width="9.296875" style="80"/>
    <col min="8196" max="8196" width="6.796875" style="80" customWidth="1"/>
    <col min="8197" max="8197" width="60.19921875" style="80" customWidth="1"/>
    <col min="8198" max="8198" width="8.19921875" style="80" customWidth="1"/>
    <col min="8199" max="8201" width="14.5" style="80" customWidth="1"/>
    <col min="8202" max="8451" width="9.296875" style="80"/>
    <col min="8452" max="8452" width="6.796875" style="80" customWidth="1"/>
    <col min="8453" max="8453" width="60.19921875" style="80" customWidth="1"/>
    <col min="8454" max="8454" width="8.19921875" style="80" customWidth="1"/>
    <col min="8455" max="8457" width="14.5" style="80" customWidth="1"/>
    <col min="8458" max="8707" width="9.296875" style="80"/>
    <col min="8708" max="8708" width="6.796875" style="80" customWidth="1"/>
    <col min="8709" max="8709" width="60.19921875" style="80" customWidth="1"/>
    <col min="8710" max="8710" width="8.19921875" style="80" customWidth="1"/>
    <col min="8711" max="8713" width="14.5" style="80" customWidth="1"/>
    <col min="8714" max="8963" width="9.296875" style="80"/>
    <col min="8964" max="8964" width="6.796875" style="80" customWidth="1"/>
    <col min="8965" max="8965" width="60.19921875" style="80" customWidth="1"/>
    <col min="8966" max="8966" width="8.19921875" style="80" customWidth="1"/>
    <col min="8967" max="8969" width="14.5" style="80" customWidth="1"/>
    <col min="8970" max="9219" width="9.296875" style="80"/>
    <col min="9220" max="9220" width="6.796875" style="80" customWidth="1"/>
    <col min="9221" max="9221" width="60.19921875" style="80" customWidth="1"/>
    <col min="9222" max="9222" width="8.19921875" style="80" customWidth="1"/>
    <col min="9223" max="9225" width="14.5" style="80" customWidth="1"/>
    <col min="9226" max="9475" width="9.296875" style="80"/>
    <col min="9476" max="9476" width="6.796875" style="80" customWidth="1"/>
    <col min="9477" max="9477" width="60.19921875" style="80" customWidth="1"/>
    <col min="9478" max="9478" width="8.19921875" style="80" customWidth="1"/>
    <col min="9479" max="9481" width="14.5" style="80" customWidth="1"/>
    <col min="9482" max="9731" width="9.296875" style="80"/>
    <col min="9732" max="9732" width="6.796875" style="80" customWidth="1"/>
    <col min="9733" max="9733" width="60.19921875" style="80" customWidth="1"/>
    <col min="9734" max="9734" width="8.19921875" style="80" customWidth="1"/>
    <col min="9735" max="9737" width="14.5" style="80" customWidth="1"/>
    <col min="9738" max="9987" width="9.296875" style="80"/>
    <col min="9988" max="9988" width="6.796875" style="80" customWidth="1"/>
    <col min="9989" max="9989" width="60.19921875" style="80" customWidth="1"/>
    <col min="9990" max="9990" width="8.19921875" style="80" customWidth="1"/>
    <col min="9991" max="9993" width="14.5" style="80" customWidth="1"/>
    <col min="9994" max="10243" width="9.296875" style="80"/>
    <col min="10244" max="10244" width="6.796875" style="80" customWidth="1"/>
    <col min="10245" max="10245" width="60.19921875" style="80" customWidth="1"/>
    <col min="10246" max="10246" width="8.19921875" style="80" customWidth="1"/>
    <col min="10247" max="10249" width="14.5" style="80" customWidth="1"/>
    <col min="10250" max="10499" width="9.296875" style="80"/>
    <col min="10500" max="10500" width="6.796875" style="80" customWidth="1"/>
    <col min="10501" max="10501" width="60.19921875" style="80" customWidth="1"/>
    <col min="10502" max="10502" width="8.19921875" style="80" customWidth="1"/>
    <col min="10503" max="10505" width="14.5" style="80" customWidth="1"/>
    <col min="10506" max="10755" width="9.296875" style="80"/>
    <col min="10756" max="10756" width="6.796875" style="80" customWidth="1"/>
    <col min="10757" max="10757" width="60.19921875" style="80" customWidth="1"/>
    <col min="10758" max="10758" width="8.19921875" style="80" customWidth="1"/>
    <col min="10759" max="10761" width="14.5" style="80" customWidth="1"/>
    <col min="10762" max="11011" width="9.296875" style="80"/>
    <col min="11012" max="11012" width="6.796875" style="80" customWidth="1"/>
    <col min="11013" max="11013" width="60.19921875" style="80" customWidth="1"/>
    <col min="11014" max="11014" width="8.19921875" style="80" customWidth="1"/>
    <col min="11015" max="11017" width="14.5" style="80" customWidth="1"/>
    <col min="11018" max="11267" width="9.296875" style="80"/>
    <col min="11268" max="11268" width="6.796875" style="80" customWidth="1"/>
    <col min="11269" max="11269" width="60.19921875" style="80" customWidth="1"/>
    <col min="11270" max="11270" width="8.19921875" style="80" customWidth="1"/>
    <col min="11271" max="11273" width="14.5" style="80" customWidth="1"/>
    <col min="11274" max="11523" width="9.296875" style="80"/>
    <col min="11524" max="11524" width="6.796875" style="80" customWidth="1"/>
    <col min="11525" max="11525" width="60.19921875" style="80" customWidth="1"/>
    <col min="11526" max="11526" width="8.19921875" style="80" customWidth="1"/>
    <col min="11527" max="11529" width="14.5" style="80" customWidth="1"/>
    <col min="11530" max="11779" width="9.296875" style="80"/>
    <col min="11780" max="11780" width="6.796875" style="80" customWidth="1"/>
    <col min="11781" max="11781" width="60.19921875" style="80" customWidth="1"/>
    <col min="11782" max="11782" width="8.19921875" style="80" customWidth="1"/>
    <col min="11783" max="11785" width="14.5" style="80" customWidth="1"/>
    <col min="11786" max="12035" width="9.296875" style="80"/>
    <col min="12036" max="12036" width="6.796875" style="80" customWidth="1"/>
    <col min="12037" max="12037" width="60.19921875" style="80" customWidth="1"/>
    <col min="12038" max="12038" width="8.19921875" style="80" customWidth="1"/>
    <col min="12039" max="12041" width="14.5" style="80" customWidth="1"/>
    <col min="12042" max="12291" width="9.296875" style="80"/>
    <col min="12292" max="12292" width="6.796875" style="80" customWidth="1"/>
    <col min="12293" max="12293" width="60.19921875" style="80" customWidth="1"/>
    <col min="12294" max="12294" width="8.19921875" style="80" customWidth="1"/>
    <col min="12295" max="12297" width="14.5" style="80" customWidth="1"/>
    <col min="12298" max="12547" width="9.296875" style="80"/>
    <col min="12548" max="12548" width="6.796875" style="80" customWidth="1"/>
    <col min="12549" max="12549" width="60.19921875" style="80" customWidth="1"/>
    <col min="12550" max="12550" width="8.19921875" style="80" customWidth="1"/>
    <col min="12551" max="12553" width="14.5" style="80" customWidth="1"/>
    <col min="12554" max="12803" width="9.296875" style="80"/>
    <col min="12804" max="12804" width="6.796875" style="80" customWidth="1"/>
    <col min="12805" max="12805" width="60.19921875" style="80" customWidth="1"/>
    <col min="12806" max="12806" width="8.19921875" style="80" customWidth="1"/>
    <col min="12807" max="12809" width="14.5" style="80" customWidth="1"/>
    <col min="12810" max="13059" width="9.296875" style="80"/>
    <col min="13060" max="13060" width="6.796875" style="80" customWidth="1"/>
    <col min="13061" max="13061" width="60.19921875" style="80" customWidth="1"/>
    <col min="13062" max="13062" width="8.19921875" style="80" customWidth="1"/>
    <col min="13063" max="13065" width="14.5" style="80" customWidth="1"/>
    <col min="13066" max="13315" width="9.296875" style="80"/>
    <col min="13316" max="13316" width="6.796875" style="80" customWidth="1"/>
    <col min="13317" max="13317" width="60.19921875" style="80" customWidth="1"/>
    <col min="13318" max="13318" width="8.19921875" style="80" customWidth="1"/>
    <col min="13319" max="13321" width="14.5" style="80" customWidth="1"/>
    <col min="13322" max="13571" width="9.296875" style="80"/>
    <col min="13572" max="13572" width="6.796875" style="80" customWidth="1"/>
    <col min="13573" max="13573" width="60.19921875" style="80" customWidth="1"/>
    <col min="13574" max="13574" width="8.19921875" style="80" customWidth="1"/>
    <col min="13575" max="13577" width="14.5" style="80" customWidth="1"/>
    <col min="13578" max="13827" width="9.296875" style="80"/>
    <col min="13828" max="13828" width="6.796875" style="80" customWidth="1"/>
    <col min="13829" max="13829" width="60.19921875" style="80" customWidth="1"/>
    <col min="13830" max="13830" width="8.19921875" style="80" customWidth="1"/>
    <col min="13831" max="13833" width="14.5" style="80" customWidth="1"/>
    <col min="13834" max="14083" width="9.296875" style="80"/>
    <col min="14084" max="14084" width="6.796875" style="80" customWidth="1"/>
    <col min="14085" max="14085" width="60.19921875" style="80" customWidth="1"/>
    <col min="14086" max="14086" width="8.19921875" style="80" customWidth="1"/>
    <col min="14087" max="14089" width="14.5" style="80" customWidth="1"/>
    <col min="14090" max="14339" width="9.296875" style="80"/>
    <col min="14340" max="14340" width="6.796875" style="80" customWidth="1"/>
    <col min="14341" max="14341" width="60.19921875" style="80" customWidth="1"/>
    <col min="14342" max="14342" width="8.19921875" style="80" customWidth="1"/>
    <col min="14343" max="14345" width="14.5" style="80" customWidth="1"/>
    <col min="14346" max="14595" width="9.296875" style="80"/>
    <col min="14596" max="14596" width="6.796875" style="80" customWidth="1"/>
    <col min="14597" max="14597" width="60.19921875" style="80" customWidth="1"/>
    <col min="14598" max="14598" width="8.19921875" style="80" customWidth="1"/>
    <col min="14599" max="14601" width="14.5" style="80" customWidth="1"/>
    <col min="14602" max="14851" width="9.296875" style="80"/>
    <col min="14852" max="14852" width="6.796875" style="80" customWidth="1"/>
    <col min="14853" max="14853" width="60.19921875" style="80" customWidth="1"/>
    <col min="14854" max="14854" width="8.19921875" style="80" customWidth="1"/>
    <col min="14855" max="14857" width="14.5" style="80" customWidth="1"/>
    <col min="14858" max="15107" width="9.296875" style="80"/>
    <col min="15108" max="15108" width="6.796875" style="80" customWidth="1"/>
    <col min="15109" max="15109" width="60.19921875" style="80" customWidth="1"/>
    <col min="15110" max="15110" width="8.19921875" style="80" customWidth="1"/>
    <col min="15111" max="15113" width="14.5" style="80" customWidth="1"/>
    <col min="15114" max="15363" width="9.296875" style="80"/>
    <col min="15364" max="15364" width="6.796875" style="80" customWidth="1"/>
    <col min="15365" max="15365" width="60.19921875" style="80" customWidth="1"/>
    <col min="15366" max="15366" width="8.19921875" style="80" customWidth="1"/>
    <col min="15367" max="15369" width="14.5" style="80" customWidth="1"/>
    <col min="15370" max="15619" width="9.296875" style="80"/>
    <col min="15620" max="15620" width="6.796875" style="80" customWidth="1"/>
    <col min="15621" max="15621" width="60.19921875" style="80" customWidth="1"/>
    <col min="15622" max="15622" width="8.19921875" style="80" customWidth="1"/>
    <col min="15623" max="15625" width="14.5" style="80" customWidth="1"/>
    <col min="15626" max="15875" width="9.296875" style="80"/>
    <col min="15876" max="15876" width="6.796875" style="80" customWidth="1"/>
    <col min="15877" max="15877" width="60.19921875" style="80" customWidth="1"/>
    <col min="15878" max="15878" width="8.19921875" style="80" customWidth="1"/>
    <col min="15879" max="15881" width="14.5" style="80" customWidth="1"/>
    <col min="15882" max="16131" width="9.296875" style="80"/>
    <col min="16132" max="16132" width="6.796875" style="80" customWidth="1"/>
    <col min="16133" max="16133" width="60.19921875" style="80" customWidth="1"/>
    <col min="16134" max="16134" width="8.19921875" style="80" customWidth="1"/>
    <col min="16135" max="16137" width="14.5" style="80" customWidth="1"/>
    <col min="16138" max="16384" width="9.296875" style="80"/>
  </cols>
  <sheetData>
    <row r="1" spans="1:13" s="74" customFormat="1" ht="51.75" customHeight="1" x14ac:dyDescent="0.3">
      <c r="A1" s="881" t="s">
        <v>623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</row>
    <row r="2" spans="1:13" s="77" customFormat="1" ht="12" customHeight="1" x14ac:dyDescent="0.3">
      <c r="A2" s="75"/>
      <c r="B2" s="75"/>
      <c r="C2" s="76"/>
      <c r="D2" s="76"/>
      <c r="E2" s="76"/>
      <c r="F2" s="76"/>
      <c r="I2" s="590"/>
      <c r="J2" s="590"/>
      <c r="K2" s="591" t="s">
        <v>801</v>
      </c>
      <c r="L2" s="590"/>
      <c r="M2" s="592" t="s">
        <v>1</v>
      </c>
    </row>
    <row r="3" spans="1:13" s="426" customFormat="1" ht="38.25" customHeight="1" x14ac:dyDescent="0.3">
      <c r="A3" s="425" t="s">
        <v>404</v>
      </c>
      <c r="B3" s="425" t="s">
        <v>468</v>
      </c>
      <c r="C3" s="88" t="s">
        <v>469</v>
      </c>
      <c r="D3" s="88" t="s">
        <v>470</v>
      </c>
      <c r="E3" s="88" t="s">
        <v>471</v>
      </c>
      <c r="F3" s="88" t="s">
        <v>795</v>
      </c>
      <c r="G3" s="88" t="s">
        <v>268</v>
      </c>
      <c r="H3" s="583" t="s">
        <v>824</v>
      </c>
      <c r="I3" s="594" t="s">
        <v>825</v>
      </c>
      <c r="J3" s="594" t="s">
        <v>856</v>
      </c>
      <c r="K3" s="594" t="s">
        <v>798</v>
      </c>
      <c r="L3" s="594" t="s">
        <v>826</v>
      </c>
      <c r="M3" s="595" t="s">
        <v>827</v>
      </c>
    </row>
    <row r="4" spans="1:13" s="571" customFormat="1" ht="13" customHeight="1" x14ac:dyDescent="0.3">
      <c r="A4" s="78" t="s">
        <v>6</v>
      </c>
      <c r="B4" s="78" t="s">
        <v>7</v>
      </c>
      <c r="C4" s="78" t="s">
        <v>8</v>
      </c>
      <c r="D4" s="78" t="s">
        <v>9</v>
      </c>
      <c r="E4" s="78" t="s">
        <v>269</v>
      </c>
      <c r="F4" s="78" t="s">
        <v>472</v>
      </c>
      <c r="G4" s="78" t="s">
        <v>796</v>
      </c>
      <c r="H4" s="583" t="s">
        <v>799</v>
      </c>
      <c r="I4" s="594" t="s">
        <v>800</v>
      </c>
      <c r="J4" s="594" t="s">
        <v>828</v>
      </c>
      <c r="K4" s="594" t="s">
        <v>829</v>
      </c>
      <c r="L4" s="594" t="s">
        <v>830</v>
      </c>
      <c r="M4" s="595" t="s">
        <v>833</v>
      </c>
    </row>
    <row r="5" spans="1:13" s="81" customFormat="1" ht="16" customHeight="1" x14ac:dyDescent="0.3">
      <c r="A5" s="882" t="s">
        <v>265</v>
      </c>
      <c r="B5" s="883"/>
      <c r="C5" s="883"/>
      <c r="D5" s="883"/>
      <c r="E5" s="883"/>
      <c r="F5" s="883"/>
      <c r="G5" s="883"/>
      <c r="H5" s="883"/>
      <c r="I5" s="883"/>
      <c r="J5" s="883"/>
      <c r="K5" s="883"/>
      <c r="L5" s="883"/>
      <c r="M5" s="884"/>
    </row>
    <row r="6" spans="1:13" s="81" customFormat="1" ht="25.5" customHeight="1" x14ac:dyDescent="0.3">
      <c r="A6" s="423" t="s">
        <v>10</v>
      </c>
      <c r="B6" s="427" t="s">
        <v>473</v>
      </c>
      <c r="C6" s="423" t="s">
        <v>474</v>
      </c>
      <c r="D6" s="761"/>
      <c r="E6" s="761"/>
      <c r="F6" s="761"/>
      <c r="G6" s="761">
        <f>SUM(D6:F6)</f>
        <v>0</v>
      </c>
      <c r="H6" s="583"/>
      <c r="I6" s="594"/>
      <c r="J6" s="594"/>
      <c r="K6" s="594"/>
      <c r="L6" s="594"/>
      <c r="M6" s="595"/>
    </row>
    <row r="7" spans="1:13" s="81" customFormat="1" ht="30" customHeight="1" x14ac:dyDescent="0.3">
      <c r="A7" s="423" t="s">
        <v>13</v>
      </c>
      <c r="B7" s="427" t="s">
        <v>475</v>
      </c>
      <c r="C7" s="423" t="s">
        <v>476</v>
      </c>
      <c r="D7" s="761"/>
      <c r="E7" s="761"/>
      <c r="F7" s="761"/>
      <c r="G7" s="761">
        <f t="shared" ref="G7:G9" si="0">SUM(D7:F7)</f>
        <v>0</v>
      </c>
      <c r="H7" s="583"/>
      <c r="I7" s="594"/>
      <c r="J7" s="600">
        <v>12290500</v>
      </c>
      <c r="K7" s="600">
        <v>12290500</v>
      </c>
      <c r="L7" s="600">
        <v>12290500</v>
      </c>
      <c r="M7" s="760">
        <f>L7/K7</f>
        <v>1</v>
      </c>
    </row>
    <row r="8" spans="1:13" s="81" customFormat="1" ht="25.5" customHeight="1" x14ac:dyDescent="0.3">
      <c r="A8" s="423" t="s">
        <v>16</v>
      </c>
      <c r="B8" s="427" t="s">
        <v>477</v>
      </c>
      <c r="C8" s="423" t="s">
        <v>478</v>
      </c>
      <c r="D8" s="761"/>
      <c r="E8" s="761"/>
      <c r="F8" s="761"/>
      <c r="G8" s="761">
        <f t="shared" si="0"/>
        <v>0</v>
      </c>
      <c r="H8" s="583"/>
      <c r="I8" s="594"/>
      <c r="J8" s="594"/>
      <c r="K8" s="594"/>
      <c r="L8" s="594"/>
      <c r="M8" s="595"/>
    </row>
    <row r="9" spans="1:13" s="81" customFormat="1" ht="25.5" customHeight="1" x14ac:dyDescent="0.3">
      <c r="A9" s="423" t="s">
        <v>19</v>
      </c>
      <c r="B9" s="427" t="s">
        <v>479</v>
      </c>
      <c r="C9" s="423" t="s">
        <v>480</v>
      </c>
      <c r="D9" s="761"/>
      <c r="E9" s="761"/>
      <c r="F9" s="761"/>
      <c r="G9" s="761">
        <f t="shared" si="0"/>
        <v>0</v>
      </c>
      <c r="H9" s="583"/>
      <c r="I9" s="594"/>
      <c r="J9" s="594"/>
      <c r="K9" s="594"/>
      <c r="L9" s="594"/>
      <c r="M9" s="595"/>
    </row>
    <row r="10" spans="1:13" s="81" customFormat="1" ht="27.75" customHeight="1" x14ac:dyDescent="0.3">
      <c r="A10" s="425" t="s">
        <v>22</v>
      </c>
      <c r="B10" s="209" t="s">
        <v>481</v>
      </c>
      <c r="C10" s="425" t="s">
        <v>36</v>
      </c>
      <c r="D10" s="762">
        <f>SUM(D6:D9)</f>
        <v>0</v>
      </c>
      <c r="E10" s="762">
        <f t="shared" ref="E10:L10" si="1">SUM(E6:E9)</f>
        <v>0</v>
      </c>
      <c r="F10" s="762">
        <f t="shared" si="1"/>
        <v>0</v>
      </c>
      <c r="G10" s="762">
        <f t="shared" si="1"/>
        <v>0</v>
      </c>
      <c r="H10" s="762">
        <f t="shared" si="1"/>
        <v>0</v>
      </c>
      <c r="I10" s="762">
        <f t="shared" si="1"/>
        <v>0</v>
      </c>
      <c r="J10" s="762">
        <f t="shared" si="1"/>
        <v>12290500</v>
      </c>
      <c r="K10" s="762">
        <f t="shared" si="1"/>
        <v>12290500</v>
      </c>
      <c r="L10" s="762">
        <f t="shared" si="1"/>
        <v>12290500</v>
      </c>
      <c r="M10" s="595">
        <f>L10/K10</f>
        <v>1</v>
      </c>
    </row>
    <row r="11" spans="1:13" s="81" customFormat="1" ht="24.75" customHeight="1" x14ac:dyDescent="0.3">
      <c r="A11" s="423" t="s">
        <v>25</v>
      </c>
      <c r="B11" s="427" t="s">
        <v>482</v>
      </c>
      <c r="C11" s="423" t="s">
        <v>483</v>
      </c>
      <c r="D11" s="762"/>
      <c r="E11" s="762"/>
      <c r="F11" s="762"/>
      <c r="G11" s="762">
        <f>SUM(D11:F11)</f>
        <v>0</v>
      </c>
      <c r="H11" s="583"/>
      <c r="I11" s="594"/>
      <c r="J11" s="594"/>
      <c r="K11" s="594"/>
      <c r="L11" s="594"/>
      <c r="M11" s="595"/>
    </row>
    <row r="12" spans="1:13" s="81" customFormat="1" ht="30" customHeight="1" x14ac:dyDescent="0.3">
      <c r="A12" s="423" t="s">
        <v>28</v>
      </c>
      <c r="B12" s="427" t="s">
        <v>484</v>
      </c>
      <c r="C12" s="423" t="s">
        <v>485</v>
      </c>
      <c r="D12" s="762"/>
      <c r="E12" s="762"/>
      <c r="F12" s="762"/>
      <c r="G12" s="762">
        <f t="shared" ref="G12:G14" si="2">SUM(D12:F12)</f>
        <v>0</v>
      </c>
      <c r="H12" s="583"/>
      <c r="I12" s="594"/>
      <c r="J12" s="594"/>
      <c r="K12" s="594"/>
      <c r="L12" s="594"/>
      <c r="M12" s="595"/>
    </row>
    <row r="13" spans="1:13" s="81" customFormat="1" ht="30" customHeight="1" x14ac:dyDescent="0.3">
      <c r="A13" s="423" t="s">
        <v>31</v>
      </c>
      <c r="B13" s="427" t="s">
        <v>486</v>
      </c>
      <c r="C13" s="423" t="s">
        <v>487</v>
      </c>
      <c r="D13" s="762"/>
      <c r="E13" s="762"/>
      <c r="F13" s="762"/>
      <c r="G13" s="762">
        <f t="shared" si="2"/>
        <v>0</v>
      </c>
      <c r="H13" s="583"/>
      <c r="I13" s="594"/>
      <c r="J13" s="594"/>
      <c r="K13" s="594"/>
      <c r="L13" s="594"/>
      <c r="M13" s="595"/>
    </row>
    <row r="14" spans="1:13" s="81" customFormat="1" ht="30" customHeight="1" x14ac:dyDescent="0.3">
      <c r="A14" s="423" t="s">
        <v>34</v>
      </c>
      <c r="B14" s="427" t="s">
        <v>488</v>
      </c>
      <c r="C14" s="423" t="s">
        <v>489</v>
      </c>
      <c r="D14" s="762"/>
      <c r="E14" s="762"/>
      <c r="F14" s="762"/>
      <c r="G14" s="762">
        <f t="shared" si="2"/>
        <v>0</v>
      </c>
      <c r="H14" s="583"/>
      <c r="I14" s="594"/>
      <c r="J14" s="594"/>
      <c r="K14" s="594"/>
      <c r="L14" s="594"/>
      <c r="M14" s="595"/>
    </row>
    <row r="15" spans="1:13" s="81" customFormat="1" ht="21.75" customHeight="1" x14ac:dyDescent="0.3">
      <c r="A15" s="425" t="s">
        <v>37</v>
      </c>
      <c r="B15" s="210" t="s">
        <v>451</v>
      </c>
      <c r="C15" s="78" t="s">
        <v>59</v>
      </c>
      <c r="D15" s="762">
        <f>SUM(D11:D14)</f>
        <v>0</v>
      </c>
      <c r="E15" s="762">
        <f t="shared" ref="E15:L15" si="3">SUM(E11:E14)</f>
        <v>0</v>
      </c>
      <c r="F15" s="762">
        <f t="shared" si="3"/>
        <v>0</v>
      </c>
      <c r="G15" s="762">
        <f t="shared" si="3"/>
        <v>0</v>
      </c>
      <c r="H15" s="762">
        <f t="shared" si="3"/>
        <v>0</v>
      </c>
      <c r="I15" s="762">
        <f t="shared" si="3"/>
        <v>0</v>
      </c>
      <c r="J15" s="762">
        <f t="shared" si="3"/>
        <v>0</v>
      </c>
      <c r="K15" s="762">
        <f t="shared" si="3"/>
        <v>0</v>
      </c>
      <c r="L15" s="762">
        <f t="shared" si="3"/>
        <v>0</v>
      </c>
      <c r="M15" s="595"/>
    </row>
    <row r="16" spans="1:13" s="82" customFormat="1" ht="16.5" customHeight="1" x14ac:dyDescent="0.3">
      <c r="A16" s="423" t="s">
        <v>39</v>
      </c>
      <c r="B16" s="428" t="s">
        <v>111</v>
      </c>
      <c r="C16" s="429" t="s">
        <v>112</v>
      </c>
      <c r="D16" s="430"/>
      <c r="E16" s="430"/>
      <c r="F16" s="430"/>
      <c r="G16" s="430">
        <f>SUM(D16:E16)</f>
        <v>0</v>
      </c>
      <c r="H16" s="584"/>
      <c r="I16" s="259"/>
      <c r="J16" s="259"/>
      <c r="K16" s="259"/>
      <c r="L16" s="259"/>
      <c r="M16" s="596"/>
    </row>
    <row r="17" spans="1:13" s="82" customFormat="1" ht="16.5" customHeight="1" x14ac:dyDescent="0.3">
      <c r="A17" s="423" t="s">
        <v>41</v>
      </c>
      <c r="B17" s="428" t="s">
        <v>114</v>
      </c>
      <c r="C17" s="429" t="s">
        <v>115</v>
      </c>
      <c r="D17" s="430"/>
      <c r="E17" s="430"/>
      <c r="F17" s="430">
        <v>800000</v>
      </c>
      <c r="G17" s="430">
        <f>SUM(D17:F17)</f>
        <v>800000</v>
      </c>
      <c r="H17" s="585">
        <v>0</v>
      </c>
      <c r="I17" s="259">
        <v>287774</v>
      </c>
      <c r="J17" s="259">
        <f>K17-G17-H17-I17</f>
        <v>127391</v>
      </c>
      <c r="K17" s="259">
        <v>1215165</v>
      </c>
      <c r="L17" s="259">
        <v>1215165</v>
      </c>
      <c r="M17" s="596">
        <f>L17/K17</f>
        <v>1</v>
      </c>
    </row>
    <row r="18" spans="1:13" s="82" customFormat="1" ht="16.5" customHeight="1" x14ac:dyDescent="0.3">
      <c r="A18" s="423" t="s">
        <v>43</v>
      </c>
      <c r="B18" s="428" t="s">
        <v>490</v>
      </c>
      <c r="C18" s="429" t="s">
        <v>118</v>
      </c>
      <c r="D18" s="430">
        <f>SUM(D19:D20)</f>
        <v>0</v>
      </c>
      <c r="E18" s="430">
        <f>SUM(E19:E20)</f>
        <v>0</v>
      </c>
      <c r="F18" s="430">
        <f>SUM(F19:F20)</f>
        <v>5604344</v>
      </c>
      <c r="G18" s="430">
        <f>SUM(G19:G20)</f>
        <v>5604344</v>
      </c>
      <c r="H18" s="585">
        <v>0</v>
      </c>
      <c r="I18" s="259">
        <v>0</v>
      </c>
      <c r="J18" s="259">
        <f t="shared" ref="J18:J39" si="4">K18-G18-H18-I18</f>
        <v>401415</v>
      </c>
      <c r="K18" s="259">
        <v>6005759</v>
      </c>
      <c r="L18" s="259">
        <v>6005759</v>
      </c>
      <c r="M18" s="596">
        <f t="shared" ref="M18:M42" si="5">L18/K18</f>
        <v>1</v>
      </c>
    </row>
    <row r="19" spans="1:13" s="82" customFormat="1" ht="16.5" customHeight="1" x14ac:dyDescent="0.3">
      <c r="A19" s="423" t="s">
        <v>45</v>
      </c>
      <c r="B19" s="431" t="s">
        <v>491</v>
      </c>
      <c r="C19" s="432" t="s">
        <v>492</v>
      </c>
      <c r="D19" s="433"/>
      <c r="E19" s="433"/>
      <c r="F19" s="433">
        <v>5604344</v>
      </c>
      <c r="G19" s="433">
        <f>SUM(D19:F19)</f>
        <v>5604344</v>
      </c>
      <c r="H19" s="585">
        <v>0</v>
      </c>
      <c r="I19" s="259">
        <v>0</v>
      </c>
      <c r="J19" s="259">
        <f t="shared" si="4"/>
        <v>401415</v>
      </c>
      <c r="K19" s="259">
        <v>6005759</v>
      </c>
      <c r="L19" s="259">
        <v>6005759</v>
      </c>
      <c r="M19" s="596">
        <f t="shared" si="5"/>
        <v>1</v>
      </c>
    </row>
    <row r="20" spans="1:13" s="83" customFormat="1" ht="16.5" customHeight="1" x14ac:dyDescent="0.3">
      <c r="A20" s="423" t="s">
        <v>47</v>
      </c>
      <c r="B20" s="431" t="s">
        <v>493</v>
      </c>
      <c r="C20" s="432" t="s">
        <v>494</v>
      </c>
      <c r="D20" s="433"/>
      <c r="E20" s="433"/>
      <c r="F20" s="433"/>
      <c r="G20" s="433">
        <f t="shared" ref="G20:G28" si="6">SUM(D20:F20)</f>
        <v>0</v>
      </c>
      <c r="H20" s="585">
        <f t="shared" ref="H20:H27" si="7">K20-G20</f>
        <v>0</v>
      </c>
      <c r="I20" s="259">
        <f t="shared" ref="I20:I27" si="8">K20-G20-H20</f>
        <v>0</v>
      </c>
      <c r="J20" s="259">
        <f t="shared" si="4"/>
        <v>0</v>
      </c>
      <c r="K20" s="259"/>
      <c r="L20" s="259"/>
      <c r="M20" s="596"/>
    </row>
    <row r="21" spans="1:13" s="83" customFormat="1" ht="16.5" customHeight="1" x14ac:dyDescent="0.3">
      <c r="A21" s="423" t="s">
        <v>49</v>
      </c>
      <c r="B21" s="434" t="s">
        <v>120</v>
      </c>
      <c r="C21" s="429" t="s">
        <v>121</v>
      </c>
      <c r="D21" s="433"/>
      <c r="E21" s="433"/>
      <c r="F21" s="433"/>
      <c r="G21" s="433">
        <f t="shared" si="6"/>
        <v>0</v>
      </c>
      <c r="H21" s="585">
        <f t="shared" si="7"/>
        <v>0</v>
      </c>
      <c r="I21" s="259">
        <f t="shared" si="8"/>
        <v>0</v>
      </c>
      <c r="J21" s="259">
        <f t="shared" si="4"/>
        <v>0</v>
      </c>
      <c r="K21" s="259"/>
      <c r="L21" s="259"/>
      <c r="M21" s="596"/>
    </row>
    <row r="22" spans="1:13" s="82" customFormat="1" ht="16.5" customHeight="1" x14ac:dyDescent="0.3">
      <c r="A22" s="423" t="s">
        <v>51</v>
      </c>
      <c r="B22" s="428" t="s">
        <v>123</v>
      </c>
      <c r="C22" s="429" t="s">
        <v>124</v>
      </c>
      <c r="D22" s="430"/>
      <c r="E22" s="430"/>
      <c r="F22" s="430"/>
      <c r="G22" s="433">
        <f t="shared" si="6"/>
        <v>0</v>
      </c>
      <c r="H22" s="585">
        <f t="shared" si="7"/>
        <v>0</v>
      </c>
      <c r="I22" s="259">
        <f t="shared" si="8"/>
        <v>0</v>
      </c>
      <c r="J22" s="259">
        <f t="shared" si="4"/>
        <v>0</v>
      </c>
      <c r="K22" s="259"/>
      <c r="L22" s="259"/>
      <c r="M22" s="596"/>
    </row>
    <row r="23" spans="1:13" s="82" customFormat="1" ht="16.5" customHeight="1" x14ac:dyDescent="0.3">
      <c r="A23" s="423" t="s">
        <v>54</v>
      </c>
      <c r="B23" s="428" t="s">
        <v>495</v>
      </c>
      <c r="C23" s="429" t="s">
        <v>127</v>
      </c>
      <c r="D23" s="430"/>
      <c r="E23" s="430"/>
      <c r="F23" s="430">
        <v>216000</v>
      </c>
      <c r="G23" s="433">
        <f t="shared" si="6"/>
        <v>216000</v>
      </c>
      <c r="H23" s="585">
        <v>0</v>
      </c>
      <c r="I23" s="259">
        <v>0</v>
      </c>
      <c r="J23" s="259">
        <f t="shared" si="4"/>
        <v>0</v>
      </c>
      <c r="K23" s="259">
        <v>216000</v>
      </c>
      <c r="L23" s="259">
        <v>134707</v>
      </c>
      <c r="M23" s="596">
        <f t="shared" si="5"/>
        <v>0.62364351851851851</v>
      </c>
    </row>
    <row r="24" spans="1:13" s="83" customFormat="1" ht="16.5" customHeight="1" x14ac:dyDescent="0.3">
      <c r="A24" s="423" t="s">
        <v>57</v>
      </c>
      <c r="B24" s="428" t="s">
        <v>496</v>
      </c>
      <c r="C24" s="429" t="s">
        <v>130</v>
      </c>
      <c r="D24" s="430"/>
      <c r="E24" s="430"/>
      <c r="F24" s="430"/>
      <c r="G24" s="433">
        <f t="shared" si="6"/>
        <v>0</v>
      </c>
      <c r="H24" s="585">
        <f t="shared" si="7"/>
        <v>0</v>
      </c>
      <c r="I24" s="259">
        <f t="shared" si="8"/>
        <v>0</v>
      </c>
      <c r="J24" s="259">
        <f t="shared" si="4"/>
        <v>0</v>
      </c>
      <c r="K24" s="259"/>
      <c r="L24" s="259"/>
      <c r="M24" s="596"/>
    </row>
    <row r="25" spans="1:13" s="83" customFormat="1" ht="16.5" customHeight="1" x14ac:dyDescent="0.3">
      <c r="A25" s="423" t="s">
        <v>60</v>
      </c>
      <c r="B25" s="435" t="s">
        <v>132</v>
      </c>
      <c r="C25" s="429" t="s">
        <v>133</v>
      </c>
      <c r="D25" s="430"/>
      <c r="E25" s="430"/>
      <c r="F25" s="430"/>
      <c r="G25" s="433">
        <f t="shared" si="6"/>
        <v>0</v>
      </c>
      <c r="H25" s="585">
        <v>705</v>
      </c>
      <c r="I25" s="259">
        <v>128</v>
      </c>
      <c r="J25" s="259">
        <f t="shared" si="4"/>
        <v>425</v>
      </c>
      <c r="K25" s="259">
        <v>1258</v>
      </c>
      <c r="L25" s="259">
        <v>1258</v>
      </c>
      <c r="M25" s="596">
        <f t="shared" si="5"/>
        <v>1</v>
      </c>
    </row>
    <row r="26" spans="1:13" s="83" customFormat="1" ht="16.5" customHeight="1" x14ac:dyDescent="0.3">
      <c r="A26" s="423" t="s">
        <v>62</v>
      </c>
      <c r="B26" s="428" t="s">
        <v>497</v>
      </c>
      <c r="C26" s="429" t="s">
        <v>136</v>
      </c>
      <c r="D26" s="430"/>
      <c r="E26" s="430"/>
      <c r="F26" s="430"/>
      <c r="G26" s="433">
        <f t="shared" si="6"/>
        <v>0</v>
      </c>
      <c r="H26" s="585">
        <f t="shared" si="7"/>
        <v>0</v>
      </c>
      <c r="I26" s="259">
        <f t="shared" si="8"/>
        <v>0</v>
      </c>
      <c r="J26" s="259">
        <f t="shared" si="4"/>
        <v>0</v>
      </c>
      <c r="K26" s="259">
        <v>0</v>
      </c>
      <c r="L26" s="259"/>
      <c r="M26" s="596"/>
    </row>
    <row r="27" spans="1:13" s="83" customFormat="1" ht="16.5" customHeight="1" x14ac:dyDescent="0.3">
      <c r="A27" s="423" t="s">
        <v>64</v>
      </c>
      <c r="B27" s="428" t="s">
        <v>498</v>
      </c>
      <c r="C27" s="429" t="s">
        <v>139</v>
      </c>
      <c r="D27" s="430"/>
      <c r="E27" s="430"/>
      <c r="F27" s="430"/>
      <c r="G27" s="433">
        <f t="shared" si="6"/>
        <v>0</v>
      </c>
      <c r="H27" s="585">
        <f t="shared" si="7"/>
        <v>0</v>
      </c>
      <c r="I27" s="259">
        <f t="shared" si="8"/>
        <v>0</v>
      </c>
      <c r="J27" s="259">
        <f t="shared" si="4"/>
        <v>0</v>
      </c>
      <c r="K27" s="259"/>
      <c r="L27" s="259"/>
      <c r="M27" s="596"/>
    </row>
    <row r="28" spans="1:13" s="83" customFormat="1" ht="16.5" customHeight="1" x14ac:dyDescent="0.3">
      <c r="A28" s="423" t="s">
        <v>66</v>
      </c>
      <c r="B28" s="428" t="s">
        <v>141</v>
      </c>
      <c r="C28" s="429" t="s">
        <v>142</v>
      </c>
      <c r="D28" s="323"/>
      <c r="E28" s="323"/>
      <c r="F28" s="323"/>
      <c r="G28" s="433">
        <f t="shared" si="6"/>
        <v>0</v>
      </c>
      <c r="H28" s="585">
        <v>330750</v>
      </c>
      <c r="I28" s="259">
        <v>8</v>
      </c>
      <c r="J28" s="259">
        <f t="shared" si="4"/>
        <v>64531</v>
      </c>
      <c r="K28" s="259">
        <v>395289</v>
      </c>
      <c r="L28" s="259">
        <v>395289</v>
      </c>
      <c r="M28" s="596">
        <f t="shared" si="5"/>
        <v>1</v>
      </c>
    </row>
    <row r="29" spans="1:13" s="83" customFormat="1" ht="21" customHeight="1" x14ac:dyDescent="0.3">
      <c r="A29" s="425" t="s">
        <v>68</v>
      </c>
      <c r="B29" s="85" t="s">
        <v>499</v>
      </c>
      <c r="C29" s="211" t="s">
        <v>145</v>
      </c>
      <c r="D29" s="86">
        <f>SUM(D16+D17+D18+D21+D22+D23+D24+D25+D26+D27+D28)</f>
        <v>0</v>
      </c>
      <c r="E29" s="86">
        <f>SUM(E16+E17+E18+E21+E22+E23+E24+E25+E26+E27+E28)</f>
        <v>0</v>
      </c>
      <c r="F29" s="86">
        <f>SUM(F16+F17+F18+F21+F22+F23+F24+F25+F26+F27+F28)</f>
        <v>6620344</v>
      </c>
      <c r="G29" s="86">
        <f>SUM(G16+G17+G18+G21+G22+G23+G24+G25+G26+G27+G28)</f>
        <v>6620344</v>
      </c>
      <c r="H29" s="586">
        <f t="shared" ref="H29:L29" si="9">SUM(H16+H17+H18+H21+H22+H23+H24+H25+H26+H27+H28)</f>
        <v>331455</v>
      </c>
      <c r="I29" s="597">
        <f t="shared" si="9"/>
        <v>287910</v>
      </c>
      <c r="J29" s="597">
        <f t="shared" si="9"/>
        <v>593762</v>
      </c>
      <c r="K29" s="597">
        <f t="shared" si="9"/>
        <v>7833471</v>
      </c>
      <c r="L29" s="597">
        <f t="shared" si="9"/>
        <v>7752178</v>
      </c>
      <c r="M29" s="593">
        <f t="shared" si="5"/>
        <v>0.98962235259439912</v>
      </c>
    </row>
    <row r="30" spans="1:13" s="84" customFormat="1" ht="21" customHeight="1" x14ac:dyDescent="0.3">
      <c r="A30" s="425" t="s">
        <v>70</v>
      </c>
      <c r="B30" s="85" t="s">
        <v>453</v>
      </c>
      <c r="C30" s="211" t="s">
        <v>163</v>
      </c>
      <c r="D30" s="86"/>
      <c r="E30" s="86"/>
      <c r="F30" s="86"/>
      <c r="G30" s="86">
        <f>SUM(D30:F30)</f>
        <v>0</v>
      </c>
      <c r="H30" s="587"/>
      <c r="I30" s="257"/>
      <c r="J30" s="259">
        <f t="shared" si="4"/>
        <v>0</v>
      </c>
      <c r="K30" s="257"/>
      <c r="L30" s="257"/>
      <c r="M30" s="596"/>
    </row>
    <row r="31" spans="1:13" s="83" customFormat="1" ht="21" customHeight="1" x14ac:dyDescent="0.3">
      <c r="A31" s="425" t="s">
        <v>72</v>
      </c>
      <c r="B31" s="85" t="s">
        <v>424</v>
      </c>
      <c r="C31" s="211" t="s">
        <v>172</v>
      </c>
      <c r="D31" s="212"/>
      <c r="E31" s="212"/>
      <c r="F31" s="212"/>
      <c r="G31" s="212">
        <f>SUM(D31:F31)</f>
        <v>0</v>
      </c>
      <c r="H31" s="439"/>
      <c r="I31" s="259"/>
      <c r="J31" s="259">
        <f t="shared" si="4"/>
        <v>0</v>
      </c>
      <c r="K31" s="259"/>
      <c r="L31" s="259"/>
      <c r="M31" s="596"/>
    </row>
    <row r="32" spans="1:13" s="83" customFormat="1" ht="21" customHeight="1" x14ac:dyDescent="0.3">
      <c r="A32" s="425" t="s">
        <v>75</v>
      </c>
      <c r="B32" s="85" t="s">
        <v>454</v>
      </c>
      <c r="C32" s="211" t="s">
        <v>181</v>
      </c>
      <c r="D32" s="212"/>
      <c r="E32" s="212"/>
      <c r="F32" s="212"/>
      <c r="G32" s="212">
        <f>SUM(D32:F32)</f>
        <v>0</v>
      </c>
      <c r="H32" s="439"/>
      <c r="I32" s="259"/>
      <c r="J32" s="259">
        <f t="shared" si="4"/>
        <v>0</v>
      </c>
      <c r="K32" s="259"/>
      <c r="L32" s="259"/>
      <c r="M32" s="596"/>
    </row>
    <row r="33" spans="1:13" s="83" customFormat="1" ht="21" customHeight="1" x14ac:dyDescent="0.3">
      <c r="A33" s="425" t="s">
        <v>78</v>
      </c>
      <c r="B33" s="85" t="s">
        <v>500</v>
      </c>
      <c r="C33" s="763"/>
      <c r="D33" s="86">
        <f>D10+D15+D29+D30+D31+D32</f>
        <v>0</v>
      </c>
      <c r="E33" s="86">
        <f>E10+E15+E29+E30+E31+E32</f>
        <v>0</v>
      </c>
      <c r="F33" s="86">
        <f>F10+F15+F29+F30+F31+F32</f>
        <v>6620344</v>
      </c>
      <c r="G33" s="86">
        <f>G10+G15+G29+G30+G31+G32</f>
        <v>6620344</v>
      </c>
      <c r="H33" s="586">
        <f t="shared" ref="H33:L33" si="10">H10+H15+H29+H30+H31+H32</f>
        <v>331455</v>
      </c>
      <c r="I33" s="586">
        <f t="shared" si="10"/>
        <v>287910</v>
      </c>
      <c r="J33" s="586">
        <f t="shared" si="10"/>
        <v>12884262</v>
      </c>
      <c r="K33" s="586">
        <f t="shared" si="10"/>
        <v>20123971</v>
      </c>
      <c r="L33" s="586">
        <f t="shared" si="10"/>
        <v>20042678</v>
      </c>
      <c r="M33" s="593">
        <f t="shared" si="5"/>
        <v>0.99596038972626233</v>
      </c>
    </row>
    <row r="34" spans="1:13" s="82" customFormat="1" ht="20.25" customHeight="1" x14ac:dyDescent="0.3">
      <c r="A34" s="423" t="s">
        <v>81</v>
      </c>
      <c r="B34" s="231" t="s">
        <v>501</v>
      </c>
      <c r="C34" s="313" t="s">
        <v>190</v>
      </c>
      <c r="D34" s="764">
        <f>SUM(D35:D36)</f>
        <v>0</v>
      </c>
      <c r="E34" s="764">
        <f>SUM(E35:E36)</f>
        <v>0</v>
      </c>
      <c r="F34" s="764">
        <f>SUM(F35:F36)</f>
        <v>0</v>
      </c>
      <c r="G34" s="764">
        <f>SUM(G35:G36)</f>
        <v>0</v>
      </c>
      <c r="H34" s="585">
        <v>1081188</v>
      </c>
      <c r="I34" s="259"/>
      <c r="J34" s="259">
        <f t="shared" si="4"/>
        <v>0</v>
      </c>
      <c r="K34" s="259">
        <v>1081188</v>
      </c>
      <c r="L34" s="259">
        <v>1081188</v>
      </c>
      <c r="M34" s="596">
        <f t="shared" si="5"/>
        <v>1</v>
      </c>
    </row>
    <row r="35" spans="1:13" s="82" customFormat="1" ht="20.25" customHeight="1" x14ac:dyDescent="0.3">
      <c r="A35" s="423" t="s">
        <v>83</v>
      </c>
      <c r="B35" s="228" t="s">
        <v>192</v>
      </c>
      <c r="C35" s="313" t="s">
        <v>193</v>
      </c>
      <c r="D35" s="764"/>
      <c r="E35" s="764"/>
      <c r="F35" s="764"/>
      <c r="G35" s="764">
        <f>SUM(D35:F35)</f>
        <v>0</v>
      </c>
      <c r="H35" s="585">
        <f t="shared" ref="H35:H36" si="11">K35-G35</f>
        <v>0</v>
      </c>
      <c r="I35" s="259"/>
      <c r="J35" s="259">
        <f t="shared" si="4"/>
        <v>0</v>
      </c>
      <c r="K35" s="259"/>
      <c r="L35" s="259"/>
      <c r="M35" s="596"/>
    </row>
    <row r="36" spans="1:13" s="82" customFormat="1" ht="20.25" customHeight="1" x14ac:dyDescent="0.3">
      <c r="A36" s="423" t="s">
        <v>85</v>
      </c>
      <c r="B36" s="228" t="s">
        <v>195</v>
      </c>
      <c r="C36" s="313" t="s">
        <v>196</v>
      </c>
      <c r="D36" s="764"/>
      <c r="E36" s="764"/>
      <c r="F36" s="764"/>
      <c r="G36" s="764">
        <f>SUM(D36:F36)</f>
        <v>0</v>
      </c>
      <c r="H36" s="585">
        <f t="shared" si="11"/>
        <v>0</v>
      </c>
      <c r="I36" s="259"/>
      <c r="J36" s="259">
        <f t="shared" si="4"/>
        <v>0</v>
      </c>
      <c r="K36" s="259"/>
      <c r="L36" s="259"/>
      <c r="M36" s="596"/>
    </row>
    <row r="37" spans="1:13" s="82" customFormat="1" ht="20.25" customHeight="1" x14ac:dyDescent="0.3">
      <c r="A37" s="423" t="s">
        <v>87</v>
      </c>
      <c r="B37" s="231" t="s">
        <v>502</v>
      </c>
      <c r="C37" s="313" t="s">
        <v>503</v>
      </c>
      <c r="D37" s="764">
        <f>SUM(D38:D39)</f>
        <v>100666221</v>
      </c>
      <c r="E37" s="764">
        <f t="shared" ref="E37:G37" si="12">SUM(E38:E39)</f>
        <v>9132668</v>
      </c>
      <c r="F37" s="764">
        <f t="shared" si="12"/>
        <v>163552282</v>
      </c>
      <c r="G37" s="764">
        <f t="shared" si="12"/>
        <v>273351171</v>
      </c>
      <c r="H37" s="585">
        <v>1543732</v>
      </c>
      <c r="I37" s="259">
        <v>7300890</v>
      </c>
      <c r="J37" s="259">
        <f t="shared" si="4"/>
        <v>-5525082</v>
      </c>
      <c r="K37" s="259">
        <v>276670711</v>
      </c>
      <c r="L37" s="259">
        <v>266256738</v>
      </c>
      <c r="M37" s="596">
        <f t="shared" si="5"/>
        <v>0.96235968396380056</v>
      </c>
    </row>
    <row r="38" spans="1:13" s="82" customFormat="1" ht="20.25" customHeight="1" x14ac:dyDescent="0.3">
      <c r="A38" s="423"/>
      <c r="B38" s="436" t="s">
        <v>590</v>
      </c>
      <c r="C38" s="304" t="s">
        <v>503</v>
      </c>
      <c r="D38" s="764">
        <v>71018282</v>
      </c>
      <c r="E38" s="764"/>
      <c r="F38" s="764">
        <v>134217642</v>
      </c>
      <c r="G38" s="764">
        <f>SUM(D38:F38)</f>
        <v>205235924</v>
      </c>
      <c r="H38" s="585">
        <v>1487302</v>
      </c>
      <c r="I38" s="259">
        <v>0</v>
      </c>
      <c r="J38" s="259">
        <f t="shared" si="4"/>
        <v>-1768226</v>
      </c>
      <c r="K38" s="259">
        <v>204955000</v>
      </c>
      <c r="L38" s="259">
        <v>129330615</v>
      </c>
      <c r="M38" s="596">
        <f t="shared" si="5"/>
        <v>0.63101956527042524</v>
      </c>
    </row>
    <row r="39" spans="1:13" s="82" customFormat="1" ht="20.25" customHeight="1" x14ac:dyDescent="0.3">
      <c r="A39" s="423"/>
      <c r="B39" s="437" t="s">
        <v>591</v>
      </c>
      <c r="C39" s="304" t="s">
        <v>503</v>
      </c>
      <c r="D39" s="764">
        <v>29647939</v>
      </c>
      <c r="E39" s="764">
        <v>9132668</v>
      </c>
      <c r="F39" s="764">
        <v>29334640</v>
      </c>
      <c r="G39" s="764">
        <f>SUM(D39:F39)</f>
        <v>68115247</v>
      </c>
      <c r="H39" s="585">
        <v>0</v>
      </c>
      <c r="I39" s="259">
        <v>0</v>
      </c>
      <c r="J39" s="259">
        <f t="shared" si="4"/>
        <v>3600464</v>
      </c>
      <c r="K39" s="259">
        <v>71715711</v>
      </c>
      <c r="L39" s="259">
        <v>68115247</v>
      </c>
      <c r="M39" s="596">
        <f t="shared" si="5"/>
        <v>0.94979532448615056</v>
      </c>
    </row>
    <row r="40" spans="1:13" s="82" customFormat="1" ht="20.25" customHeight="1" x14ac:dyDescent="0.3">
      <c r="A40" s="423" t="s">
        <v>90</v>
      </c>
      <c r="B40" s="85" t="s">
        <v>504</v>
      </c>
      <c r="C40" s="88" t="s">
        <v>505</v>
      </c>
      <c r="D40" s="87">
        <f>SUM(D34+D37)</f>
        <v>100666221</v>
      </c>
      <c r="E40" s="87">
        <f t="shared" ref="E40:F40" si="13">SUM(E34+E37)</f>
        <v>9132668</v>
      </c>
      <c r="F40" s="87">
        <f t="shared" si="13"/>
        <v>163552282</v>
      </c>
      <c r="G40" s="87">
        <f>SUM(G34+G37)</f>
        <v>273351171</v>
      </c>
      <c r="H40" s="381">
        <f t="shared" ref="H40:L40" si="14">SUM(H34+H37)</f>
        <v>2624920</v>
      </c>
      <c r="I40" s="381">
        <f t="shared" si="14"/>
        <v>7300890</v>
      </c>
      <c r="J40" s="381">
        <f t="shared" si="14"/>
        <v>-5525082</v>
      </c>
      <c r="K40" s="381">
        <f t="shared" si="14"/>
        <v>277751899</v>
      </c>
      <c r="L40" s="381">
        <f t="shared" si="14"/>
        <v>267337926</v>
      </c>
      <c r="M40" s="593">
        <f t="shared" si="5"/>
        <v>0.96250620414300025</v>
      </c>
    </row>
    <row r="41" spans="1:13" s="82" customFormat="1" ht="20.25" customHeight="1" x14ac:dyDescent="0.3">
      <c r="A41" s="425" t="s">
        <v>94</v>
      </c>
      <c r="B41" s="85" t="s">
        <v>506</v>
      </c>
      <c r="C41" s="88" t="s">
        <v>199</v>
      </c>
      <c r="D41" s="87">
        <f>D40</f>
        <v>100666221</v>
      </c>
      <c r="E41" s="87">
        <f t="shared" ref="E41:F41" si="15">E40</f>
        <v>9132668</v>
      </c>
      <c r="F41" s="87">
        <f t="shared" si="15"/>
        <v>163552282</v>
      </c>
      <c r="G41" s="87">
        <f t="shared" ref="G41:L41" si="16">G40</f>
        <v>273351171</v>
      </c>
      <c r="H41" s="381">
        <f t="shared" si="16"/>
        <v>2624920</v>
      </c>
      <c r="I41" s="381">
        <f t="shared" si="16"/>
        <v>7300890</v>
      </c>
      <c r="J41" s="381">
        <f t="shared" si="16"/>
        <v>-5525082</v>
      </c>
      <c r="K41" s="381">
        <f t="shared" si="16"/>
        <v>277751899</v>
      </c>
      <c r="L41" s="381">
        <f t="shared" si="16"/>
        <v>267337926</v>
      </c>
      <c r="M41" s="593">
        <f t="shared" si="5"/>
        <v>0.96250620414300025</v>
      </c>
    </row>
    <row r="42" spans="1:13" s="82" customFormat="1" ht="27" customHeight="1" x14ac:dyDescent="0.3">
      <c r="A42" s="425" t="s">
        <v>97</v>
      </c>
      <c r="B42" s="85" t="s">
        <v>507</v>
      </c>
      <c r="C42" s="88"/>
      <c r="D42" s="87">
        <f>D33+D41</f>
        <v>100666221</v>
      </c>
      <c r="E42" s="87">
        <f>E33+E41</f>
        <v>9132668</v>
      </c>
      <c r="F42" s="87">
        <f>F33+F41</f>
        <v>170172626</v>
      </c>
      <c r="G42" s="87">
        <f>G33+G41</f>
        <v>279971515</v>
      </c>
      <c r="H42" s="381">
        <f t="shared" ref="H42:L42" si="17">H33+H41</f>
        <v>2956375</v>
      </c>
      <c r="I42" s="381">
        <f t="shared" si="17"/>
        <v>7588800</v>
      </c>
      <c r="J42" s="381">
        <f t="shared" si="17"/>
        <v>7359180</v>
      </c>
      <c r="K42" s="381">
        <f t="shared" si="17"/>
        <v>297875870</v>
      </c>
      <c r="L42" s="381">
        <f t="shared" si="17"/>
        <v>287380604</v>
      </c>
      <c r="M42" s="593">
        <f t="shared" si="5"/>
        <v>0.9647663102083428</v>
      </c>
    </row>
    <row r="43" spans="1:13" s="82" customFormat="1" ht="15" customHeight="1" x14ac:dyDescent="0.3">
      <c r="A43" s="89"/>
      <c r="B43" s="90"/>
      <c r="C43" s="91"/>
      <c r="D43" s="92"/>
      <c r="E43" s="92"/>
      <c r="F43" s="92"/>
      <c r="G43" s="92"/>
      <c r="H43" s="588"/>
      <c r="I43" s="263"/>
      <c r="J43" s="263"/>
      <c r="K43" s="263"/>
      <c r="L43" s="263"/>
      <c r="M43" s="599" t="s">
        <v>801</v>
      </c>
    </row>
    <row r="44" spans="1:13" s="82" customFormat="1" ht="15" customHeight="1" x14ac:dyDescent="0.3">
      <c r="A44" s="880" t="s">
        <v>508</v>
      </c>
      <c r="B44" s="880"/>
      <c r="C44" s="880"/>
      <c r="D44" s="880"/>
      <c r="E44" s="880"/>
      <c r="F44" s="880"/>
      <c r="G44" s="880"/>
      <c r="H44" s="880"/>
      <c r="I44" s="880"/>
      <c r="J44" s="880"/>
      <c r="K44" s="880"/>
      <c r="L44" s="263"/>
      <c r="M44" s="598"/>
    </row>
    <row r="45" spans="1:13" s="438" customFormat="1" ht="38.25" customHeight="1" x14ac:dyDescent="0.3">
      <c r="A45" s="88" t="s">
        <v>404</v>
      </c>
      <c r="B45" s="88" t="s">
        <v>267</v>
      </c>
      <c r="C45" s="88" t="s">
        <v>469</v>
      </c>
      <c r="D45" s="88" t="s">
        <v>470</v>
      </c>
      <c r="E45" s="88" t="s">
        <v>471</v>
      </c>
      <c r="F45" s="88" t="s">
        <v>795</v>
      </c>
      <c r="G45" s="88" t="s">
        <v>509</v>
      </c>
      <c r="H45" s="772" t="s">
        <v>824</v>
      </c>
      <c r="I45" s="594" t="s">
        <v>825</v>
      </c>
      <c r="J45" s="594" t="s">
        <v>856</v>
      </c>
      <c r="K45" s="594" t="s">
        <v>798</v>
      </c>
      <c r="L45" s="594" t="s">
        <v>826</v>
      </c>
      <c r="M45" s="595" t="s">
        <v>827</v>
      </c>
    </row>
    <row r="46" spans="1:13" s="572" customFormat="1" ht="15" customHeight="1" x14ac:dyDescent="0.3">
      <c r="A46" s="88" t="s">
        <v>6</v>
      </c>
      <c r="B46" s="88" t="s">
        <v>7</v>
      </c>
      <c r="C46" s="88"/>
      <c r="D46" s="88" t="s">
        <v>9</v>
      </c>
      <c r="E46" s="88" t="s">
        <v>269</v>
      </c>
      <c r="F46" s="88" t="s">
        <v>472</v>
      </c>
      <c r="G46" s="88" t="s">
        <v>796</v>
      </c>
      <c r="H46" s="772" t="s">
        <v>799</v>
      </c>
      <c r="I46" s="594" t="s">
        <v>800</v>
      </c>
      <c r="J46" s="594" t="s">
        <v>828</v>
      </c>
      <c r="K46" s="594" t="s">
        <v>829</v>
      </c>
      <c r="L46" s="594" t="s">
        <v>830</v>
      </c>
      <c r="M46" s="595" t="s">
        <v>833</v>
      </c>
    </row>
    <row r="47" spans="1:13" s="82" customFormat="1" ht="17.25" customHeight="1" x14ac:dyDescent="0.3">
      <c r="A47" s="768" t="s">
        <v>10</v>
      </c>
      <c r="B47" s="442" t="s">
        <v>204</v>
      </c>
      <c r="C47" s="424" t="s">
        <v>205</v>
      </c>
      <c r="D47" s="298">
        <v>64760954</v>
      </c>
      <c r="E47" s="298">
        <v>5320450</v>
      </c>
      <c r="F47" s="298">
        <v>109953405</v>
      </c>
      <c r="G47" s="298">
        <f>SUM(D47:F47)</f>
        <v>180034809</v>
      </c>
      <c r="H47" s="773">
        <v>1222928</v>
      </c>
      <c r="I47" s="769">
        <v>959336</v>
      </c>
      <c r="J47" s="769">
        <f>K47-G47-H47-I47</f>
        <v>5191330</v>
      </c>
      <c r="K47" s="769">
        <v>187408403</v>
      </c>
      <c r="L47" s="769">
        <v>186282935</v>
      </c>
      <c r="M47" s="770">
        <f>L47/K47</f>
        <v>0.99399457024346982</v>
      </c>
    </row>
    <row r="48" spans="1:13" s="82" customFormat="1" ht="17.25" customHeight="1" x14ac:dyDescent="0.3">
      <c r="A48" s="768" t="s">
        <v>13</v>
      </c>
      <c r="B48" s="442" t="s">
        <v>206</v>
      </c>
      <c r="C48" s="424" t="s">
        <v>207</v>
      </c>
      <c r="D48" s="298">
        <v>17291291</v>
      </c>
      <c r="E48" s="298">
        <v>1178018</v>
      </c>
      <c r="F48" s="298">
        <v>24264237</v>
      </c>
      <c r="G48" s="298">
        <f>SUM(D48:F48)</f>
        <v>42733546</v>
      </c>
      <c r="H48" s="773">
        <v>264374</v>
      </c>
      <c r="I48" s="769">
        <v>208058</v>
      </c>
      <c r="J48" s="769">
        <f t="shared" ref="J48:J59" si="18">K48-G48-H48-I48</f>
        <v>-4546</v>
      </c>
      <c r="K48" s="769">
        <v>43201432</v>
      </c>
      <c r="L48" s="769">
        <v>41849921</v>
      </c>
      <c r="M48" s="770">
        <f t="shared" ref="M48:M60" si="19">L48/K48</f>
        <v>0.96871606015282086</v>
      </c>
    </row>
    <row r="49" spans="1:13" s="82" customFormat="1" ht="17.25" customHeight="1" x14ac:dyDescent="0.3">
      <c r="A49" s="768" t="s">
        <v>16</v>
      </c>
      <c r="B49" s="442" t="s">
        <v>208</v>
      </c>
      <c r="C49" s="424" t="s">
        <v>209</v>
      </c>
      <c r="D49" s="298">
        <v>16362016</v>
      </c>
      <c r="E49" s="298">
        <v>145000</v>
      </c>
      <c r="F49" s="298">
        <v>35954984</v>
      </c>
      <c r="G49" s="298">
        <f t="shared" ref="G49:G51" si="20">SUM(D49:F49)</f>
        <v>52462000</v>
      </c>
      <c r="H49" s="773">
        <v>1356213</v>
      </c>
      <c r="I49" s="769">
        <v>157193</v>
      </c>
      <c r="J49" s="769">
        <f t="shared" si="18"/>
        <v>-3785045</v>
      </c>
      <c r="K49" s="769">
        <v>50190361</v>
      </c>
      <c r="L49" s="769">
        <v>42769685</v>
      </c>
      <c r="M49" s="770">
        <f t="shared" si="19"/>
        <v>0.8521493798380928</v>
      </c>
    </row>
    <row r="50" spans="1:13" s="82" customFormat="1" ht="17.25" customHeight="1" x14ac:dyDescent="0.3">
      <c r="A50" s="768" t="s">
        <v>19</v>
      </c>
      <c r="B50" s="442" t="s">
        <v>210</v>
      </c>
      <c r="C50" s="424" t="s">
        <v>211</v>
      </c>
      <c r="D50" s="298">
        <v>677160</v>
      </c>
      <c r="E50" s="298"/>
      <c r="F50" s="298"/>
      <c r="G50" s="298">
        <f t="shared" si="20"/>
        <v>677160</v>
      </c>
      <c r="H50" s="773">
        <v>112860</v>
      </c>
      <c r="I50" s="769">
        <v>6364840</v>
      </c>
      <c r="J50" s="769">
        <f t="shared" si="18"/>
        <v>5964000</v>
      </c>
      <c r="K50" s="769">
        <v>13118860</v>
      </c>
      <c r="L50" s="769">
        <v>13118860</v>
      </c>
      <c r="M50" s="770">
        <f t="shared" si="19"/>
        <v>1</v>
      </c>
    </row>
    <row r="51" spans="1:13" s="82" customFormat="1" ht="17.25" customHeight="1" x14ac:dyDescent="0.3">
      <c r="A51" s="768" t="s">
        <v>22</v>
      </c>
      <c r="B51" s="442" t="s">
        <v>212</v>
      </c>
      <c r="C51" s="424" t="s">
        <v>213</v>
      </c>
      <c r="D51" s="298"/>
      <c r="E51" s="298"/>
      <c r="F51" s="298"/>
      <c r="G51" s="298">
        <f t="shared" si="20"/>
        <v>0</v>
      </c>
      <c r="H51" s="773">
        <f t="shared" ref="H51" si="21">K51-G51</f>
        <v>0</v>
      </c>
      <c r="I51" s="769">
        <f t="shared" ref="I51" si="22">K51-G51-H51</f>
        <v>0</v>
      </c>
      <c r="J51" s="769">
        <f t="shared" si="18"/>
        <v>0</v>
      </c>
      <c r="K51" s="769"/>
      <c r="L51" s="769"/>
      <c r="M51" s="770" t="s">
        <v>801</v>
      </c>
    </row>
    <row r="52" spans="1:13" s="441" customFormat="1" ht="17.25" customHeight="1" x14ac:dyDescent="0.3">
      <c r="A52" s="94" t="s">
        <v>25</v>
      </c>
      <c r="B52" s="310" t="s">
        <v>510</v>
      </c>
      <c r="C52" s="88" t="s">
        <v>230</v>
      </c>
      <c r="D52" s="214">
        <f>SUM(D47:D51)</f>
        <v>99091421</v>
      </c>
      <c r="E52" s="214">
        <f>SUM(E47:E51)</f>
        <v>6643468</v>
      </c>
      <c r="F52" s="214">
        <f>SUM(F47:F51)</f>
        <v>170172626</v>
      </c>
      <c r="G52" s="214">
        <f>SUM(G47:G51)</f>
        <v>275907515</v>
      </c>
      <c r="H52" s="214">
        <f t="shared" ref="H52:L52" si="23">SUM(H47:H51)</f>
        <v>2956375</v>
      </c>
      <c r="I52" s="214">
        <f t="shared" si="23"/>
        <v>7689427</v>
      </c>
      <c r="J52" s="214">
        <f t="shared" si="23"/>
        <v>7365739</v>
      </c>
      <c r="K52" s="214">
        <f t="shared" si="23"/>
        <v>293919056</v>
      </c>
      <c r="L52" s="214">
        <f t="shared" si="23"/>
        <v>284021401</v>
      </c>
      <c r="M52" s="593">
        <f t="shared" si="19"/>
        <v>0.96632523547571547</v>
      </c>
    </row>
    <row r="53" spans="1:13" s="93" customFormat="1" ht="17.25" customHeight="1" x14ac:dyDescent="0.3">
      <c r="A53" s="768" t="s">
        <v>28</v>
      </c>
      <c r="B53" s="442" t="s">
        <v>511</v>
      </c>
      <c r="C53" s="424" t="s">
        <v>232</v>
      </c>
      <c r="D53" s="298">
        <v>1574800</v>
      </c>
      <c r="E53" s="298">
        <v>2489200</v>
      </c>
      <c r="F53" s="298"/>
      <c r="G53" s="298">
        <f>SUM(D53:F53)</f>
        <v>4064000</v>
      </c>
      <c r="H53" s="774"/>
      <c r="I53" s="769">
        <v>-100627</v>
      </c>
      <c r="J53" s="769">
        <f t="shared" si="18"/>
        <v>-6559</v>
      </c>
      <c r="K53" s="769">
        <v>3956814</v>
      </c>
      <c r="L53" s="769">
        <v>2413328</v>
      </c>
      <c r="M53" s="770">
        <f t="shared" si="19"/>
        <v>0.60991696855096045</v>
      </c>
    </row>
    <row r="54" spans="1:13" ht="17.25" customHeight="1" x14ac:dyDescent="0.3">
      <c r="A54" s="768" t="s">
        <v>31</v>
      </c>
      <c r="B54" s="442" t="s">
        <v>233</v>
      </c>
      <c r="C54" s="424" t="s">
        <v>234</v>
      </c>
      <c r="D54" s="298"/>
      <c r="E54" s="298"/>
      <c r="F54" s="298"/>
      <c r="G54" s="298">
        <f t="shared" ref="G54:G55" si="24">SUM(D54:F54)</f>
        <v>0</v>
      </c>
      <c r="H54" s="775"/>
      <c r="I54" s="769"/>
      <c r="J54" s="769">
        <f t="shared" si="18"/>
        <v>0</v>
      </c>
      <c r="K54" s="769"/>
      <c r="L54" s="769"/>
      <c r="M54" s="770"/>
    </row>
    <row r="55" spans="1:13" ht="17.25" customHeight="1" x14ac:dyDescent="0.3">
      <c r="A55" s="768" t="s">
        <v>34</v>
      </c>
      <c r="B55" s="442" t="s">
        <v>512</v>
      </c>
      <c r="C55" s="424" t="s">
        <v>236</v>
      </c>
      <c r="D55" s="298"/>
      <c r="E55" s="298"/>
      <c r="F55" s="298"/>
      <c r="G55" s="298">
        <f t="shared" si="24"/>
        <v>0</v>
      </c>
      <c r="H55" s="775"/>
      <c r="I55" s="769"/>
      <c r="J55" s="769">
        <f t="shared" si="18"/>
        <v>0</v>
      </c>
      <c r="K55" s="769"/>
      <c r="L55" s="769"/>
      <c r="M55" s="770"/>
    </row>
    <row r="56" spans="1:13" ht="17.25" customHeight="1" x14ac:dyDescent="0.3">
      <c r="A56" s="94" t="s">
        <v>37</v>
      </c>
      <c r="B56" s="95" t="s">
        <v>513</v>
      </c>
      <c r="C56" s="88" t="s">
        <v>248</v>
      </c>
      <c r="D56" s="214">
        <f>SUM(D53:D55)</f>
        <v>1574800</v>
      </c>
      <c r="E56" s="214">
        <f>SUM(E53:E55)</f>
        <v>2489200</v>
      </c>
      <c r="F56" s="214">
        <f>SUM(F53:F55)</f>
        <v>0</v>
      </c>
      <c r="G56" s="214">
        <f>SUM(G53:G55)</f>
        <v>4064000</v>
      </c>
      <c r="H56" s="214">
        <f t="shared" ref="H56:L56" si="25">SUM(H53:H55)</f>
        <v>0</v>
      </c>
      <c r="I56" s="214">
        <f t="shared" si="25"/>
        <v>-100627</v>
      </c>
      <c r="J56" s="214">
        <f t="shared" si="25"/>
        <v>-6559</v>
      </c>
      <c r="K56" s="214">
        <f t="shared" si="25"/>
        <v>3956814</v>
      </c>
      <c r="L56" s="214">
        <f t="shared" si="25"/>
        <v>2413328</v>
      </c>
      <c r="M56" s="593">
        <f t="shared" si="19"/>
        <v>0.60991696855096045</v>
      </c>
    </row>
    <row r="57" spans="1:13" s="426" customFormat="1" ht="17.25" customHeight="1" x14ac:dyDescent="0.3">
      <c r="A57" s="94" t="s">
        <v>39</v>
      </c>
      <c r="B57" s="95" t="s">
        <v>514</v>
      </c>
      <c r="C57" s="88" t="s">
        <v>515</v>
      </c>
      <c r="D57" s="96">
        <f>D52+D56</f>
        <v>100666221</v>
      </c>
      <c r="E57" s="96">
        <f>E52+E56</f>
        <v>9132668</v>
      </c>
      <c r="F57" s="96">
        <f>F52+F56</f>
        <v>170172626</v>
      </c>
      <c r="G57" s="96">
        <f>G52+G56</f>
        <v>279971515</v>
      </c>
      <c r="H57" s="96">
        <f t="shared" ref="H57:L57" si="26">H52+H56</f>
        <v>2956375</v>
      </c>
      <c r="I57" s="96">
        <f t="shared" si="26"/>
        <v>7588800</v>
      </c>
      <c r="J57" s="96">
        <f t="shared" si="26"/>
        <v>7359180</v>
      </c>
      <c r="K57" s="96">
        <f t="shared" si="26"/>
        <v>297875870</v>
      </c>
      <c r="L57" s="96">
        <f t="shared" si="26"/>
        <v>286434729</v>
      </c>
      <c r="M57" s="593">
        <f t="shared" si="19"/>
        <v>0.96159091033456323</v>
      </c>
    </row>
    <row r="58" spans="1:13" ht="22.5" customHeight="1" x14ac:dyDescent="0.3">
      <c r="A58" s="424" t="s">
        <v>41</v>
      </c>
      <c r="B58" s="95" t="s">
        <v>516</v>
      </c>
      <c r="C58" s="88" t="s">
        <v>517</v>
      </c>
      <c r="D58" s="96"/>
      <c r="E58" s="96"/>
      <c r="F58" s="96"/>
      <c r="G58" s="96">
        <f>SUM(D58:F58)</f>
        <v>0</v>
      </c>
      <c r="H58" s="775"/>
      <c r="I58" s="769"/>
      <c r="J58" s="769">
        <f t="shared" si="18"/>
        <v>0</v>
      </c>
      <c r="K58" s="769"/>
      <c r="L58" s="257"/>
      <c r="M58" s="593"/>
    </row>
    <row r="59" spans="1:13" s="426" customFormat="1" ht="20.25" customHeight="1" x14ac:dyDescent="0.3">
      <c r="A59" s="88" t="s">
        <v>45</v>
      </c>
      <c r="B59" s="95" t="s">
        <v>592</v>
      </c>
      <c r="C59" s="88" t="s">
        <v>260</v>
      </c>
      <c r="D59" s="96">
        <f>D58</f>
        <v>0</v>
      </c>
      <c r="E59" s="96">
        <f t="shared" ref="E59:G59" si="27">E58</f>
        <v>0</v>
      </c>
      <c r="F59" s="96">
        <f t="shared" si="27"/>
        <v>0</v>
      </c>
      <c r="G59" s="96">
        <f t="shared" si="27"/>
        <v>0</v>
      </c>
      <c r="H59" s="771"/>
      <c r="I59" s="257"/>
      <c r="J59" s="769">
        <f t="shared" si="18"/>
        <v>0</v>
      </c>
      <c r="K59" s="257"/>
      <c r="L59" s="257"/>
      <c r="M59" s="593"/>
    </row>
    <row r="60" spans="1:13" s="426" customFormat="1" ht="30.75" customHeight="1" x14ac:dyDescent="0.3">
      <c r="A60" s="88" t="s">
        <v>47</v>
      </c>
      <c r="B60" s="95" t="s">
        <v>518</v>
      </c>
      <c r="C60" s="88" t="s">
        <v>262</v>
      </c>
      <c r="D60" s="96">
        <f>SUM(D57+D59)</f>
        <v>100666221</v>
      </c>
      <c r="E60" s="96">
        <f>SUM(E57+E59)</f>
        <v>9132668</v>
      </c>
      <c r="F60" s="96">
        <f>SUM(F57+F59)</f>
        <v>170172626</v>
      </c>
      <c r="G60" s="96">
        <f>SUM(G57+G59)</f>
        <v>279971515</v>
      </c>
      <c r="H60" s="96">
        <f t="shared" ref="H60:L60" si="28">SUM(H57+H59)</f>
        <v>2956375</v>
      </c>
      <c r="I60" s="96">
        <f t="shared" si="28"/>
        <v>7588800</v>
      </c>
      <c r="J60" s="96">
        <f t="shared" si="28"/>
        <v>7359180</v>
      </c>
      <c r="K60" s="96">
        <f t="shared" si="28"/>
        <v>297875870</v>
      </c>
      <c r="L60" s="96">
        <f t="shared" si="28"/>
        <v>286434729</v>
      </c>
      <c r="M60" s="593">
        <f t="shared" si="19"/>
        <v>0.96159091033456323</v>
      </c>
    </row>
    <row r="61" spans="1:13" ht="12" customHeight="1" x14ac:dyDescent="0.3">
      <c r="A61" s="97"/>
      <c r="B61" s="98"/>
      <c r="C61" s="99"/>
      <c r="D61" s="99"/>
      <c r="E61" s="99"/>
      <c r="F61" s="99"/>
      <c r="G61" s="99"/>
      <c r="H61" s="589"/>
      <c r="I61" s="262"/>
      <c r="J61" s="262"/>
      <c r="K61" s="262"/>
      <c r="L61" s="262"/>
      <c r="M61" s="599"/>
    </row>
    <row r="62" spans="1:13" ht="12" customHeight="1" x14ac:dyDescent="0.3">
      <c r="A62" s="97"/>
      <c r="B62" s="98"/>
      <c r="C62" s="99"/>
      <c r="D62" s="99"/>
      <c r="E62" s="99"/>
      <c r="F62" s="99"/>
      <c r="G62" s="99"/>
      <c r="H62" s="589"/>
      <c r="I62" s="262"/>
      <c r="J62" s="262"/>
      <c r="K62" s="262"/>
      <c r="L62" s="262"/>
      <c r="M62" s="599"/>
    </row>
    <row r="63" spans="1:13" x14ac:dyDescent="0.3">
      <c r="A63" s="100"/>
      <c r="B63" s="101"/>
      <c r="C63" s="101"/>
    </row>
    <row r="64" spans="1:13" x14ac:dyDescent="0.3">
      <c r="A64" s="100"/>
      <c r="B64" s="101"/>
      <c r="C64" s="101"/>
    </row>
    <row r="65" spans="1:3" x14ac:dyDescent="0.3">
      <c r="A65" s="100"/>
      <c r="B65" s="101"/>
      <c r="C65" s="101"/>
    </row>
  </sheetData>
  <sheetProtection formatCells="0"/>
  <mergeCells count="3">
    <mergeCell ref="A44:K44"/>
    <mergeCell ref="A1:M1"/>
    <mergeCell ref="A5:M5"/>
  </mergeCells>
  <printOptions horizontalCentered="1"/>
  <pageMargins left="0.25" right="0.25" top="0.75" bottom="0.75" header="0.3" footer="0.3"/>
  <pageSetup paperSize="9" scale="71" orientation="landscape" verticalDpi="300" r:id="rId1"/>
  <headerFooter alignWithMargins="0">
    <oddHeader>&amp;R&amp;"Times New Roman CE,Félkövér dőlt"&amp;11 10. melléklet a 4/2018. (III.19.)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view="pageLayout" topLeftCell="B1" zoomScaleNormal="84" workbookViewId="0">
      <selection activeCell="D4" sqref="D4"/>
    </sheetView>
  </sheetViews>
  <sheetFormatPr defaultRowHeight="13" x14ac:dyDescent="0.3"/>
  <cols>
    <col min="1" max="1" width="6.69921875" style="71" customWidth="1"/>
    <col min="2" max="2" width="24.69921875" style="49" customWidth="1"/>
    <col min="3" max="3" width="13.796875" style="49" customWidth="1"/>
    <col min="4" max="9" width="13.796875" style="72" customWidth="1"/>
    <col min="10" max="12" width="13.796875" style="49" customWidth="1"/>
    <col min="13" max="257" width="9.296875" style="49"/>
    <col min="258" max="258" width="6.69921875" style="49" customWidth="1"/>
    <col min="259" max="259" width="24.69921875" style="49" customWidth="1"/>
    <col min="260" max="260" width="13" style="49" customWidth="1"/>
    <col min="261" max="262" width="15.5" style="49" customWidth="1"/>
    <col min="263" max="263" width="11.5" style="49" customWidth="1"/>
    <col min="264" max="264" width="13" style="49" customWidth="1"/>
    <col min="265" max="266" width="14" style="49" customWidth="1"/>
    <col min="267" max="267" width="13.296875" style="49" customWidth="1"/>
    <col min="268" max="268" width="14.69921875" style="49" customWidth="1"/>
    <col min="269" max="513" width="9.296875" style="49"/>
    <col min="514" max="514" width="6.69921875" style="49" customWidth="1"/>
    <col min="515" max="515" width="24.69921875" style="49" customWidth="1"/>
    <col min="516" max="516" width="13" style="49" customWidth="1"/>
    <col min="517" max="518" width="15.5" style="49" customWidth="1"/>
    <col min="519" max="519" width="11.5" style="49" customWidth="1"/>
    <col min="520" max="520" width="13" style="49" customWidth="1"/>
    <col min="521" max="522" width="14" style="49" customWidth="1"/>
    <col min="523" max="523" width="13.296875" style="49" customWidth="1"/>
    <col min="524" max="524" width="14.69921875" style="49" customWidth="1"/>
    <col min="525" max="769" width="9.296875" style="49"/>
    <col min="770" max="770" width="6.69921875" style="49" customWidth="1"/>
    <col min="771" max="771" width="24.69921875" style="49" customWidth="1"/>
    <col min="772" max="772" width="13" style="49" customWidth="1"/>
    <col min="773" max="774" width="15.5" style="49" customWidth="1"/>
    <col min="775" max="775" width="11.5" style="49" customWidth="1"/>
    <col min="776" max="776" width="13" style="49" customWidth="1"/>
    <col min="777" max="778" width="14" style="49" customWidth="1"/>
    <col min="779" max="779" width="13.296875" style="49" customWidth="1"/>
    <col min="780" max="780" width="14.69921875" style="49" customWidth="1"/>
    <col min="781" max="1025" width="9.296875" style="49"/>
    <col min="1026" max="1026" width="6.69921875" style="49" customWidth="1"/>
    <col min="1027" max="1027" width="24.69921875" style="49" customWidth="1"/>
    <col min="1028" max="1028" width="13" style="49" customWidth="1"/>
    <col min="1029" max="1030" width="15.5" style="49" customWidth="1"/>
    <col min="1031" max="1031" width="11.5" style="49" customWidth="1"/>
    <col min="1032" max="1032" width="13" style="49" customWidth="1"/>
    <col min="1033" max="1034" width="14" style="49" customWidth="1"/>
    <col min="1035" max="1035" width="13.296875" style="49" customWidth="1"/>
    <col min="1036" max="1036" width="14.69921875" style="49" customWidth="1"/>
    <col min="1037" max="1281" width="9.296875" style="49"/>
    <col min="1282" max="1282" width="6.69921875" style="49" customWidth="1"/>
    <col min="1283" max="1283" width="24.69921875" style="49" customWidth="1"/>
    <col min="1284" max="1284" width="13" style="49" customWidth="1"/>
    <col min="1285" max="1286" width="15.5" style="49" customWidth="1"/>
    <col min="1287" max="1287" width="11.5" style="49" customWidth="1"/>
    <col min="1288" max="1288" width="13" style="49" customWidth="1"/>
    <col min="1289" max="1290" width="14" style="49" customWidth="1"/>
    <col min="1291" max="1291" width="13.296875" style="49" customWidth="1"/>
    <col min="1292" max="1292" width="14.69921875" style="49" customWidth="1"/>
    <col min="1293" max="1537" width="9.296875" style="49"/>
    <col min="1538" max="1538" width="6.69921875" style="49" customWidth="1"/>
    <col min="1539" max="1539" width="24.69921875" style="49" customWidth="1"/>
    <col min="1540" max="1540" width="13" style="49" customWidth="1"/>
    <col min="1541" max="1542" width="15.5" style="49" customWidth="1"/>
    <col min="1543" max="1543" width="11.5" style="49" customWidth="1"/>
    <col min="1544" max="1544" width="13" style="49" customWidth="1"/>
    <col min="1545" max="1546" width="14" style="49" customWidth="1"/>
    <col min="1547" max="1547" width="13.296875" style="49" customWidth="1"/>
    <col min="1548" max="1548" width="14.69921875" style="49" customWidth="1"/>
    <col min="1549" max="1793" width="9.296875" style="49"/>
    <col min="1794" max="1794" width="6.69921875" style="49" customWidth="1"/>
    <col min="1795" max="1795" width="24.69921875" style="49" customWidth="1"/>
    <col min="1796" max="1796" width="13" style="49" customWidth="1"/>
    <col min="1797" max="1798" width="15.5" style="49" customWidth="1"/>
    <col min="1799" max="1799" width="11.5" style="49" customWidth="1"/>
    <col min="1800" max="1800" width="13" style="49" customWidth="1"/>
    <col min="1801" max="1802" width="14" style="49" customWidth="1"/>
    <col min="1803" max="1803" width="13.296875" style="49" customWidth="1"/>
    <col min="1804" max="1804" width="14.69921875" style="49" customWidth="1"/>
    <col min="1805" max="2049" width="9.296875" style="49"/>
    <col min="2050" max="2050" width="6.69921875" style="49" customWidth="1"/>
    <col min="2051" max="2051" width="24.69921875" style="49" customWidth="1"/>
    <col min="2052" max="2052" width="13" style="49" customWidth="1"/>
    <col min="2053" max="2054" width="15.5" style="49" customWidth="1"/>
    <col min="2055" max="2055" width="11.5" style="49" customWidth="1"/>
    <col min="2056" max="2056" width="13" style="49" customWidth="1"/>
    <col min="2057" max="2058" width="14" style="49" customWidth="1"/>
    <col min="2059" max="2059" width="13.296875" style="49" customWidth="1"/>
    <col min="2060" max="2060" width="14.69921875" style="49" customWidth="1"/>
    <col min="2061" max="2305" width="9.296875" style="49"/>
    <col min="2306" max="2306" width="6.69921875" style="49" customWidth="1"/>
    <col min="2307" max="2307" width="24.69921875" style="49" customWidth="1"/>
    <col min="2308" max="2308" width="13" style="49" customWidth="1"/>
    <col min="2309" max="2310" width="15.5" style="49" customWidth="1"/>
    <col min="2311" max="2311" width="11.5" style="49" customWidth="1"/>
    <col min="2312" max="2312" width="13" style="49" customWidth="1"/>
    <col min="2313" max="2314" width="14" style="49" customWidth="1"/>
    <col min="2315" max="2315" width="13.296875" style="49" customWidth="1"/>
    <col min="2316" max="2316" width="14.69921875" style="49" customWidth="1"/>
    <col min="2317" max="2561" width="9.296875" style="49"/>
    <col min="2562" max="2562" width="6.69921875" style="49" customWidth="1"/>
    <col min="2563" max="2563" width="24.69921875" style="49" customWidth="1"/>
    <col min="2564" max="2564" width="13" style="49" customWidth="1"/>
    <col min="2565" max="2566" width="15.5" style="49" customWidth="1"/>
    <col min="2567" max="2567" width="11.5" style="49" customWidth="1"/>
    <col min="2568" max="2568" width="13" style="49" customWidth="1"/>
    <col min="2569" max="2570" width="14" style="49" customWidth="1"/>
    <col min="2571" max="2571" width="13.296875" style="49" customWidth="1"/>
    <col min="2572" max="2572" width="14.69921875" style="49" customWidth="1"/>
    <col min="2573" max="2817" width="9.296875" style="49"/>
    <col min="2818" max="2818" width="6.69921875" style="49" customWidth="1"/>
    <col min="2819" max="2819" width="24.69921875" style="49" customWidth="1"/>
    <col min="2820" max="2820" width="13" style="49" customWidth="1"/>
    <col min="2821" max="2822" width="15.5" style="49" customWidth="1"/>
    <col min="2823" max="2823" width="11.5" style="49" customWidth="1"/>
    <col min="2824" max="2824" width="13" style="49" customWidth="1"/>
    <col min="2825" max="2826" width="14" style="49" customWidth="1"/>
    <col min="2827" max="2827" width="13.296875" style="49" customWidth="1"/>
    <col min="2828" max="2828" width="14.69921875" style="49" customWidth="1"/>
    <col min="2829" max="3073" width="9.296875" style="49"/>
    <col min="3074" max="3074" width="6.69921875" style="49" customWidth="1"/>
    <col min="3075" max="3075" width="24.69921875" style="49" customWidth="1"/>
    <col min="3076" max="3076" width="13" style="49" customWidth="1"/>
    <col min="3077" max="3078" width="15.5" style="49" customWidth="1"/>
    <col min="3079" max="3079" width="11.5" style="49" customWidth="1"/>
    <col min="3080" max="3080" width="13" style="49" customWidth="1"/>
    <col min="3081" max="3082" width="14" style="49" customWidth="1"/>
    <col min="3083" max="3083" width="13.296875" style="49" customWidth="1"/>
    <col min="3084" max="3084" width="14.69921875" style="49" customWidth="1"/>
    <col min="3085" max="3329" width="9.296875" style="49"/>
    <col min="3330" max="3330" width="6.69921875" style="49" customWidth="1"/>
    <col min="3331" max="3331" width="24.69921875" style="49" customWidth="1"/>
    <col min="3332" max="3332" width="13" style="49" customWidth="1"/>
    <col min="3333" max="3334" width="15.5" style="49" customWidth="1"/>
    <col min="3335" max="3335" width="11.5" style="49" customWidth="1"/>
    <col min="3336" max="3336" width="13" style="49" customWidth="1"/>
    <col min="3337" max="3338" width="14" style="49" customWidth="1"/>
    <col min="3339" max="3339" width="13.296875" style="49" customWidth="1"/>
    <col min="3340" max="3340" width="14.69921875" style="49" customWidth="1"/>
    <col min="3341" max="3585" width="9.296875" style="49"/>
    <col min="3586" max="3586" width="6.69921875" style="49" customWidth="1"/>
    <col min="3587" max="3587" width="24.69921875" style="49" customWidth="1"/>
    <col min="3588" max="3588" width="13" style="49" customWidth="1"/>
    <col min="3589" max="3590" width="15.5" style="49" customWidth="1"/>
    <col min="3591" max="3591" width="11.5" style="49" customWidth="1"/>
    <col min="3592" max="3592" width="13" style="49" customWidth="1"/>
    <col min="3593" max="3594" width="14" style="49" customWidth="1"/>
    <col min="3595" max="3595" width="13.296875" style="49" customWidth="1"/>
    <col min="3596" max="3596" width="14.69921875" style="49" customWidth="1"/>
    <col min="3597" max="3841" width="9.296875" style="49"/>
    <col min="3842" max="3842" width="6.69921875" style="49" customWidth="1"/>
    <col min="3843" max="3843" width="24.69921875" style="49" customWidth="1"/>
    <col min="3844" max="3844" width="13" style="49" customWidth="1"/>
    <col min="3845" max="3846" width="15.5" style="49" customWidth="1"/>
    <col min="3847" max="3847" width="11.5" style="49" customWidth="1"/>
    <col min="3848" max="3848" width="13" style="49" customWidth="1"/>
    <col min="3849" max="3850" width="14" style="49" customWidth="1"/>
    <col min="3851" max="3851" width="13.296875" style="49" customWidth="1"/>
    <col min="3852" max="3852" width="14.69921875" style="49" customWidth="1"/>
    <col min="3853" max="4097" width="9.296875" style="49"/>
    <col min="4098" max="4098" width="6.69921875" style="49" customWidth="1"/>
    <col min="4099" max="4099" width="24.69921875" style="49" customWidth="1"/>
    <col min="4100" max="4100" width="13" style="49" customWidth="1"/>
    <col min="4101" max="4102" width="15.5" style="49" customWidth="1"/>
    <col min="4103" max="4103" width="11.5" style="49" customWidth="1"/>
    <col min="4104" max="4104" width="13" style="49" customWidth="1"/>
    <col min="4105" max="4106" width="14" style="49" customWidth="1"/>
    <col min="4107" max="4107" width="13.296875" style="49" customWidth="1"/>
    <col min="4108" max="4108" width="14.69921875" style="49" customWidth="1"/>
    <col min="4109" max="4353" width="9.296875" style="49"/>
    <col min="4354" max="4354" width="6.69921875" style="49" customWidth="1"/>
    <col min="4355" max="4355" width="24.69921875" style="49" customWidth="1"/>
    <col min="4356" max="4356" width="13" style="49" customWidth="1"/>
    <col min="4357" max="4358" width="15.5" style="49" customWidth="1"/>
    <col min="4359" max="4359" width="11.5" style="49" customWidth="1"/>
    <col min="4360" max="4360" width="13" style="49" customWidth="1"/>
    <col min="4361" max="4362" width="14" style="49" customWidth="1"/>
    <col min="4363" max="4363" width="13.296875" style="49" customWidth="1"/>
    <col min="4364" max="4364" width="14.69921875" style="49" customWidth="1"/>
    <col min="4365" max="4609" width="9.296875" style="49"/>
    <col min="4610" max="4610" width="6.69921875" style="49" customWidth="1"/>
    <col min="4611" max="4611" width="24.69921875" style="49" customWidth="1"/>
    <col min="4612" max="4612" width="13" style="49" customWidth="1"/>
    <col min="4613" max="4614" width="15.5" style="49" customWidth="1"/>
    <col min="4615" max="4615" width="11.5" style="49" customWidth="1"/>
    <col min="4616" max="4616" width="13" style="49" customWidth="1"/>
    <col min="4617" max="4618" width="14" style="49" customWidth="1"/>
    <col min="4619" max="4619" width="13.296875" style="49" customWidth="1"/>
    <col min="4620" max="4620" width="14.69921875" style="49" customWidth="1"/>
    <col min="4621" max="4865" width="9.296875" style="49"/>
    <col min="4866" max="4866" width="6.69921875" style="49" customWidth="1"/>
    <col min="4867" max="4867" width="24.69921875" style="49" customWidth="1"/>
    <col min="4868" max="4868" width="13" style="49" customWidth="1"/>
    <col min="4869" max="4870" width="15.5" style="49" customWidth="1"/>
    <col min="4871" max="4871" width="11.5" style="49" customWidth="1"/>
    <col min="4872" max="4872" width="13" style="49" customWidth="1"/>
    <col min="4873" max="4874" width="14" style="49" customWidth="1"/>
    <col min="4875" max="4875" width="13.296875" style="49" customWidth="1"/>
    <col min="4876" max="4876" width="14.69921875" style="49" customWidth="1"/>
    <col min="4877" max="5121" width="9.296875" style="49"/>
    <col min="5122" max="5122" width="6.69921875" style="49" customWidth="1"/>
    <col min="5123" max="5123" width="24.69921875" style="49" customWidth="1"/>
    <col min="5124" max="5124" width="13" style="49" customWidth="1"/>
    <col min="5125" max="5126" width="15.5" style="49" customWidth="1"/>
    <col min="5127" max="5127" width="11.5" style="49" customWidth="1"/>
    <col min="5128" max="5128" width="13" style="49" customWidth="1"/>
    <col min="5129" max="5130" width="14" style="49" customWidth="1"/>
    <col min="5131" max="5131" width="13.296875" style="49" customWidth="1"/>
    <col min="5132" max="5132" width="14.69921875" style="49" customWidth="1"/>
    <col min="5133" max="5377" width="9.296875" style="49"/>
    <col min="5378" max="5378" width="6.69921875" style="49" customWidth="1"/>
    <col min="5379" max="5379" width="24.69921875" style="49" customWidth="1"/>
    <col min="5380" max="5380" width="13" style="49" customWidth="1"/>
    <col min="5381" max="5382" width="15.5" style="49" customWidth="1"/>
    <col min="5383" max="5383" width="11.5" style="49" customWidth="1"/>
    <col min="5384" max="5384" width="13" style="49" customWidth="1"/>
    <col min="5385" max="5386" width="14" style="49" customWidth="1"/>
    <col min="5387" max="5387" width="13.296875" style="49" customWidth="1"/>
    <col min="5388" max="5388" width="14.69921875" style="49" customWidth="1"/>
    <col min="5389" max="5633" width="9.296875" style="49"/>
    <col min="5634" max="5634" width="6.69921875" style="49" customWidth="1"/>
    <col min="5635" max="5635" width="24.69921875" style="49" customWidth="1"/>
    <col min="5636" max="5636" width="13" style="49" customWidth="1"/>
    <col min="5637" max="5638" width="15.5" style="49" customWidth="1"/>
    <col min="5639" max="5639" width="11.5" style="49" customWidth="1"/>
    <col min="5640" max="5640" width="13" style="49" customWidth="1"/>
    <col min="5641" max="5642" width="14" style="49" customWidth="1"/>
    <col min="5643" max="5643" width="13.296875" style="49" customWidth="1"/>
    <col min="5644" max="5644" width="14.69921875" style="49" customWidth="1"/>
    <col min="5645" max="5889" width="9.296875" style="49"/>
    <col min="5890" max="5890" width="6.69921875" style="49" customWidth="1"/>
    <col min="5891" max="5891" width="24.69921875" style="49" customWidth="1"/>
    <col min="5892" max="5892" width="13" style="49" customWidth="1"/>
    <col min="5893" max="5894" width="15.5" style="49" customWidth="1"/>
    <col min="5895" max="5895" width="11.5" style="49" customWidth="1"/>
    <col min="5896" max="5896" width="13" style="49" customWidth="1"/>
    <col min="5897" max="5898" width="14" style="49" customWidth="1"/>
    <col min="5899" max="5899" width="13.296875" style="49" customWidth="1"/>
    <col min="5900" max="5900" width="14.69921875" style="49" customWidth="1"/>
    <col min="5901" max="6145" width="9.296875" style="49"/>
    <col min="6146" max="6146" width="6.69921875" style="49" customWidth="1"/>
    <col min="6147" max="6147" width="24.69921875" style="49" customWidth="1"/>
    <col min="6148" max="6148" width="13" style="49" customWidth="1"/>
    <col min="6149" max="6150" width="15.5" style="49" customWidth="1"/>
    <col min="6151" max="6151" width="11.5" style="49" customWidth="1"/>
    <col min="6152" max="6152" width="13" style="49" customWidth="1"/>
    <col min="6153" max="6154" width="14" style="49" customWidth="1"/>
    <col min="6155" max="6155" width="13.296875" style="49" customWidth="1"/>
    <col min="6156" max="6156" width="14.69921875" style="49" customWidth="1"/>
    <col min="6157" max="6401" width="9.296875" style="49"/>
    <col min="6402" max="6402" width="6.69921875" style="49" customWidth="1"/>
    <col min="6403" max="6403" width="24.69921875" style="49" customWidth="1"/>
    <col min="6404" max="6404" width="13" style="49" customWidth="1"/>
    <col min="6405" max="6406" width="15.5" style="49" customWidth="1"/>
    <col min="6407" max="6407" width="11.5" style="49" customWidth="1"/>
    <col min="6408" max="6408" width="13" style="49" customWidth="1"/>
    <col min="6409" max="6410" width="14" style="49" customWidth="1"/>
    <col min="6411" max="6411" width="13.296875" style="49" customWidth="1"/>
    <col min="6412" max="6412" width="14.69921875" style="49" customWidth="1"/>
    <col min="6413" max="6657" width="9.296875" style="49"/>
    <col min="6658" max="6658" width="6.69921875" style="49" customWidth="1"/>
    <col min="6659" max="6659" width="24.69921875" style="49" customWidth="1"/>
    <col min="6660" max="6660" width="13" style="49" customWidth="1"/>
    <col min="6661" max="6662" width="15.5" style="49" customWidth="1"/>
    <col min="6663" max="6663" width="11.5" style="49" customWidth="1"/>
    <col min="6664" max="6664" width="13" style="49" customWidth="1"/>
    <col min="6665" max="6666" width="14" style="49" customWidth="1"/>
    <col min="6667" max="6667" width="13.296875" style="49" customWidth="1"/>
    <col min="6668" max="6668" width="14.69921875" style="49" customWidth="1"/>
    <col min="6669" max="6913" width="9.296875" style="49"/>
    <col min="6914" max="6914" width="6.69921875" style="49" customWidth="1"/>
    <col min="6915" max="6915" width="24.69921875" style="49" customWidth="1"/>
    <col min="6916" max="6916" width="13" style="49" customWidth="1"/>
    <col min="6917" max="6918" width="15.5" style="49" customWidth="1"/>
    <col min="6919" max="6919" width="11.5" style="49" customWidth="1"/>
    <col min="6920" max="6920" width="13" style="49" customWidth="1"/>
    <col min="6921" max="6922" width="14" style="49" customWidth="1"/>
    <col min="6923" max="6923" width="13.296875" style="49" customWidth="1"/>
    <col min="6924" max="6924" width="14.69921875" style="49" customWidth="1"/>
    <col min="6925" max="7169" width="9.296875" style="49"/>
    <col min="7170" max="7170" width="6.69921875" style="49" customWidth="1"/>
    <col min="7171" max="7171" width="24.69921875" style="49" customWidth="1"/>
    <col min="7172" max="7172" width="13" style="49" customWidth="1"/>
    <col min="7173" max="7174" width="15.5" style="49" customWidth="1"/>
    <col min="7175" max="7175" width="11.5" style="49" customWidth="1"/>
    <col min="7176" max="7176" width="13" style="49" customWidth="1"/>
    <col min="7177" max="7178" width="14" style="49" customWidth="1"/>
    <col min="7179" max="7179" width="13.296875" style="49" customWidth="1"/>
    <col min="7180" max="7180" width="14.69921875" style="49" customWidth="1"/>
    <col min="7181" max="7425" width="9.296875" style="49"/>
    <col min="7426" max="7426" width="6.69921875" style="49" customWidth="1"/>
    <col min="7427" max="7427" width="24.69921875" style="49" customWidth="1"/>
    <col min="7428" max="7428" width="13" style="49" customWidth="1"/>
    <col min="7429" max="7430" width="15.5" style="49" customWidth="1"/>
    <col min="7431" max="7431" width="11.5" style="49" customWidth="1"/>
    <col min="7432" max="7432" width="13" style="49" customWidth="1"/>
    <col min="7433" max="7434" width="14" style="49" customWidth="1"/>
    <col min="7435" max="7435" width="13.296875" style="49" customWidth="1"/>
    <col min="7436" max="7436" width="14.69921875" style="49" customWidth="1"/>
    <col min="7437" max="7681" width="9.296875" style="49"/>
    <col min="7682" max="7682" width="6.69921875" style="49" customWidth="1"/>
    <col min="7683" max="7683" width="24.69921875" style="49" customWidth="1"/>
    <col min="7684" max="7684" width="13" style="49" customWidth="1"/>
    <col min="7685" max="7686" width="15.5" style="49" customWidth="1"/>
    <col min="7687" max="7687" width="11.5" style="49" customWidth="1"/>
    <col min="7688" max="7688" width="13" style="49" customWidth="1"/>
    <col min="7689" max="7690" width="14" style="49" customWidth="1"/>
    <col min="7691" max="7691" width="13.296875" style="49" customWidth="1"/>
    <col min="7692" max="7692" width="14.69921875" style="49" customWidth="1"/>
    <col min="7693" max="7937" width="9.296875" style="49"/>
    <col min="7938" max="7938" width="6.69921875" style="49" customWidth="1"/>
    <col min="7939" max="7939" width="24.69921875" style="49" customWidth="1"/>
    <col min="7940" max="7940" width="13" style="49" customWidth="1"/>
    <col min="7941" max="7942" width="15.5" style="49" customWidth="1"/>
    <col min="7943" max="7943" width="11.5" style="49" customWidth="1"/>
    <col min="7944" max="7944" width="13" style="49" customWidth="1"/>
    <col min="7945" max="7946" width="14" style="49" customWidth="1"/>
    <col min="7947" max="7947" width="13.296875" style="49" customWidth="1"/>
    <col min="7948" max="7948" width="14.69921875" style="49" customWidth="1"/>
    <col min="7949" max="8193" width="9.296875" style="49"/>
    <col min="8194" max="8194" width="6.69921875" style="49" customWidth="1"/>
    <col min="8195" max="8195" width="24.69921875" style="49" customWidth="1"/>
    <col min="8196" max="8196" width="13" style="49" customWidth="1"/>
    <col min="8197" max="8198" width="15.5" style="49" customWidth="1"/>
    <col min="8199" max="8199" width="11.5" style="49" customWidth="1"/>
    <col min="8200" max="8200" width="13" style="49" customWidth="1"/>
    <col min="8201" max="8202" width="14" style="49" customWidth="1"/>
    <col min="8203" max="8203" width="13.296875" style="49" customWidth="1"/>
    <col min="8204" max="8204" width="14.69921875" style="49" customWidth="1"/>
    <col min="8205" max="8449" width="9.296875" style="49"/>
    <col min="8450" max="8450" width="6.69921875" style="49" customWidth="1"/>
    <col min="8451" max="8451" width="24.69921875" style="49" customWidth="1"/>
    <col min="8452" max="8452" width="13" style="49" customWidth="1"/>
    <col min="8453" max="8454" width="15.5" style="49" customWidth="1"/>
    <col min="8455" max="8455" width="11.5" style="49" customWidth="1"/>
    <col min="8456" max="8456" width="13" style="49" customWidth="1"/>
    <col min="8457" max="8458" width="14" style="49" customWidth="1"/>
    <col min="8459" max="8459" width="13.296875" style="49" customWidth="1"/>
    <col min="8460" max="8460" width="14.69921875" style="49" customWidth="1"/>
    <col min="8461" max="8705" width="9.296875" style="49"/>
    <col min="8706" max="8706" width="6.69921875" style="49" customWidth="1"/>
    <col min="8707" max="8707" width="24.69921875" style="49" customWidth="1"/>
    <col min="8708" max="8708" width="13" style="49" customWidth="1"/>
    <col min="8709" max="8710" width="15.5" style="49" customWidth="1"/>
    <col min="8711" max="8711" width="11.5" style="49" customWidth="1"/>
    <col min="8712" max="8712" width="13" style="49" customWidth="1"/>
    <col min="8713" max="8714" width="14" style="49" customWidth="1"/>
    <col min="8715" max="8715" width="13.296875" style="49" customWidth="1"/>
    <col min="8716" max="8716" width="14.69921875" style="49" customWidth="1"/>
    <col min="8717" max="8961" width="9.296875" style="49"/>
    <col min="8962" max="8962" width="6.69921875" style="49" customWidth="1"/>
    <col min="8963" max="8963" width="24.69921875" style="49" customWidth="1"/>
    <col min="8964" max="8964" width="13" style="49" customWidth="1"/>
    <col min="8965" max="8966" width="15.5" style="49" customWidth="1"/>
    <col min="8967" max="8967" width="11.5" style="49" customWidth="1"/>
    <col min="8968" max="8968" width="13" style="49" customWidth="1"/>
    <col min="8969" max="8970" width="14" style="49" customWidth="1"/>
    <col min="8971" max="8971" width="13.296875" style="49" customWidth="1"/>
    <col min="8972" max="8972" width="14.69921875" style="49" customWidth="1"/>
    <col min="8973" max="9217" width="9.296875" style="49"/>
    <col min="9218" max="9218" width="6.69921875" style="49" customWidth="1"/>
    <col min="9219" max="9219" width="24.69921875" style="49" customWidth="1"/>
    <col min="9220" max="9220" width="13" style="49" customWidth="1"/>
    <col min="9221" max="9222" width="15.5" style="49" customWidth="1"/>
    <col min="9223" max="9223" width="11.5" style="49" customWidth="1"/>
    <col min="9224" max="9224" width="13" style="49" customWidth="1"/>
    <col min="9225" max="9226" width="14" style="49" customWidth="1"/>
    <col min="9227" max="9227" width="13.296875" style="49" customWidth="1"/>
    <col min="9228" max="9228" width="14.69921875" style="49" customWidth="1"/>
    <col min="9229" max="9473" width="9.296875" style="49"/>
    <col min="9474" max="9474" width="6.69921875" style="49" customWidth="1"/>
    <col min="9475" max="9475" width="24.69921875" style="49" customWidth="1"/>
    <col min="9476" max="9476" width="13" style="49" customWidth="1"/>
    <col min="9477" max="9478" width="15.5" style="49" customWidth="1"/>
    <col min="9479" max="9479" width="11.5" style="49" customWidth="1"/>
    <col min="9480" max="9480" width="13" style="49" customWidth="1"/>
    <col min="9481" max="9482" width="14" style="49" customWidth="1"/>
    <col min="9483" max="9483" width="13.296875" style="49" customWidth="1"/>
    <col min="9484" max="9484" width="14.69921875" style="49" customWidth="1"/>
    <col min="9485" max="9729" width="9.296875" style="49"/>
    <col min="9730" max="9730" width="6.69921875" style="49" customWidth="1"/>
    <col min="9731" max="9731" width="24.69921875" style="49" customWidth="1"/>
    <col min="9732" max="9732" width="13" style="49" customWidth="1"/>
    <col min="9733" max="9734" width="15.5" style="49" customWidth="1"/>
    <col min="9735" max="9735" width="11.5" style="49" customWidth="1"/>
    <col min="9736" max="9736" width="13" style="49" customWidth="1"/>
    <col min="9737" max="9738" width="14" style="49" customWidth="1"/>
    <col min="9739" max="9739" width="13.296875" style="49" customWidth="1"/>
    <col min="9740" max="9740" width="14.69921875" style="49" customWidth="1"/>
    <col min="9741" max="9985" width="9.296875" style="49"/>
    <col min="9986" max="9986" width="6.69921875" style="49" customWidth="1"/>
    <col min="9987" max="9987" width="24.69921875" style="49" customWidth="1"/>
    <col min="9988" max="9988" width="13" style="49" customWidth="1"/>
    <col min="9989" max="9990" width="15.5" style="49" customWidth="1"/>
    <col min="9991" max="9991" width="11.5" style="49" customWidth="1"/>
    <col min="9992" max="9992" width="13" style="49" customWidth="1"/>
    <col min="9993" max="9994" width="14" style="49" customWidth="1"/>
    <col min="9995" max="9995" width="13.296875" style="49" customWidth="1"/>
    <col min="9996" max="9996" width="14.69921875" style="49" customWidth="1"/>
    <col min="9997" max="10241" width="9.296875" style="49"/>
    <col min="10242" max="10242" width="6.69921875" style="49" customWidth="1"/>
    <col min="10243" max="10243" width="24.69921875" style="49" customWidth="1"/>
    <col min="10244" max="10244" width="13" style="49" customWidth="1"/>
    <col min="10245" max="10246" width="15.5" style="49" customWidth="1"/>
    <col min="10247" max="10247" width="11.5" style="49" customWidth="1"/>
    <col min="10248" max="10248" width="13" style="49" customWidth="1"/>
    <col min="10249" max="10250" width="14" style="49" customWidth="1"/>
    <col min="10251" max="10251" width="13.296875" style="49" customWidth="1"/>
    <col min="10252" max="10252" width="14.69921875" style="49" customWidth="1"/>
    <col min="10253" max="10497" width="9.296875" style="49"/>
    <col min="10498" max="10498" width="6.69921875" style="49" customWidth="1"/>
    <col min="10499" max="10499" width="24.69921875" style="49" customWidth="1"/>
    <col min="10500" max="10500" width="13" style="49" customWidth="1"/>
    <col min="10501" max="10502" width="15.5" style="49" customWidth="1"/>
    <col min="10503" max="10503" width="11.5" style="49" customWidth="1"/>
    <col min="10504" max="10504" width="13" style="49" customWidth="1"/>
    <col min="10505" max="10506" width="14" style="49" customWidth="1"/>
    <col min="10507" max="10507" width="13.296875" style="49" customWidth="1"/>
    <col min="10508" max="10508" width="14.69921875" style="49" customWidth="1"/>
    <col min="10509" max="10753" width="9.296875" style="49"/>
    <col min="10754" max="10754" width="6.69921875" style="49" customWidth="1"/>
    <col min="10755" max="10755" width="24.69921875" style="49" customWidth="1"/>
    <col min="10756" max="10756" width="13" style="49" customWidth="1"/>
    <col min="10757" max="10758" width="15.5" style="49" customWidth="1"/>
    <col min="10759" max="10759" width="11.5" style="49" customWidth="1"/>
    <col min="10760" max="10760" width="13" style="49" customWidth="1"/>
    <col min="10761" max="10762" width="14" style="49" customWidth="1"/>
    <col min="10763" max="10763" width="13.296875" style="49" customWidth="1"/>
    <col min="10764" max="10764" width="14.69921875" style="49" customWidth="1"/>
    <col min="10765" max="11009" width="9.296875" style="49"/>
    <col min="11010" max="11010" width="6.69921875" style="49" customWidth="1"/>
    <col min="11011" max="11011" width="24.69921875" style="49" customWidth="1"/>
    <col min="11012" max="11012" width="13" style="49" customWidth="1"/>
    <col min="11013" max="11014" width="15.5" style="49" customWidth="1"/>
    <col min="11015" max="11015" width="11.5" style="49" customWidth="1"/>
    <col min="11016" max="11016" width="13" style="49" customWidth="1"/>
    <col min="11017" max="11018" width="14" style="49" customWidth="1"/>
    <col min="11019" max="11019" width="13.296875" style="49" customWidth="1"/>
    <col min="11020" max="11020" width="14.69921875" style="49" customWidth="1"/>
    <col min="11021" max="11265" width="9.296875" style="49"/>
    <col min="11266" max="11266" width="6.69921875" style="49" customWidth="1"/>
    <col min="11267" max="11267" width="24.69921875" style="49" customWidth="1"/>
    <col min="11268" max="11268" width="13" style="49" customWidth="1"/>
    <col min="11269" max="11270" width="15.5" style="49" customWidth="1"/>
    <col min="11271" max="11271" width="11.5" style="49" customWidth="1"/>
    <col min="11272" max="11272" width="13" style="49" customWidth="1"/>
    <col min="11273" max="11274" width="14" style="49" customWidth="1"/>
    <col min="11275" max="11275" width="13.296875" style="49" customWidth="1"/>
    <col min="11276" max="11276" width="14.69921875" style="49" customWidth="1"/>
    <col min="11277" max="11521" width="9.296875" style="49"/>
    <col min="11522" max="11522" width="6.69921875" style="49" customWidth="1"/>
    <col min="11523" max="11523" width="24.69921875" style="49" customWidth="1"/>
    <col min="11524" max="11524" width="13" style="49" customWidth="1"/>
    <col min="11525" max="11526" width="15.5" style="49" customWidth="1"/>
    <col min="11527" max="11527" width="11.5" style="49" customWidth="1"/>
    <col min="11528" max="11528" width="13" style="49" customWidth="1"/>
    <col min="11529" max="11530" width="14" style="49" customWidth="1"/>
    <col min="11531" max="11531" width="13.296875" style="49" customWidth="1"/>
    <col min="11532" max="11532" width="14.69921875" style="49" customWidth="1"/>
    <col min="11533" max="11777" width="9.296875" style="49"/>
    <col min="11778" max="11778" width="6.69921875" style="49" customWidth="1"/>
    <col min="11779" max="11779" width="24.69921875" style="49" customWidth="1"/>
    <col min="11780" max="11780" width="13" style="49" customWidth="1"/>
    <col min="11781" max="11782" width="15.5" style="49" customWidth="1"/>
    <col min="11783" max="11783" width="11.5" style="49" customWidth="1"/>
    <col min="11784" max="11784" width="13" style="49" customWidth="1"/>
    <col min="11785" max="11786" width="14" style="49" customWidth="1"/>
    <col min="11787" max="11787" width="13.296875" style="49" customWidth="1"/>
    <col min="11788" max="11788" width="14.69921875" style="49" customWidth="1"/>
    <col min="11789" max="12033" width="9.296875" style="49"/>
    <col min="12034" max="12034" width="6.69921875" style="49" customWidth="1"/>
    <col min="12035" max="12035" width="24.69921875" style="49" customWidth="1"/>
    <col min="12036" max="12036" width="13" style="49" customWidth="1"/>
    <col min="12037" max="12038" width="15.5" style="49" customWidth="1"/>
    <col min="12039" max="12039" width="11.5" style="49" customWidth="1"/>
    <col min="12040" max="12040" width="13" style="49" customWidth="1"/>
    <col min="12041" max="12042" width="14" style="49" customWidth="1"/>
    <col min="12043" max="12043" width="13.296875" style="49" customWidth="1"/>
    <col min="12044" max="12044" width="14.69921875" style="49" customWidth="1"/>
    <col min="12045" max="12289" width="9.296875" style="49"/>
    <col min="12290" max="12290" width="6.69921875" style="49" customWidth="1"/>
    <col min="12291" max="12291" width="24.69921875" style="49" customWidth="1"/>
    <col min="12292" max="12292" width="13" style="49" customWidth="1"/>
    <col min="12293" max="12294" width="15.5" style="49" customWidth="1"/>
    <col min="12295" max="12295" width="11.5" style="49" customWidth="1"/>
    <col min="12296" max="12296" width="13" style="49" customWidth="1"/>
    <col min="12297" max="12298" width="14" style="49" customWidth="1"/>
    <col min="12299" max="12299" width="13.296875" style="49" customWidth="1"/>
    <col min="12300" max="12300" width="14.69921875" style="49" customWidth="1"/>
    <col min="12301" max="12545" width="9.296875" style="49"/>
    <col min="12546" max="12546" width="6.69921875" style="49" customWidth="1"/>
    <col min="12547" max="12547" width="24.69921875" style="49" customWidth="1"/>
    <col min="12548" max="12548" width="13" style="49" customWidth="1"/>
    <col min="12549" max="12550" width="15.5" style="49" customWidth="1"/>
    <col min="12551" max="12551" width="11.5" style="49" customWidth="1"/>
    <col min="12552" max="12552" width="13" style="49" customWidth="1"/>
    <col min="12553" max="12554" width="14" style="49" customWidth="1"/>
    <col min="12555" max="12555" width="13.296875" style="49" customWidth="1"/>
    <col min="12556" max="12556" width="14.69921875" style="49" customWidth="1"/>
    <col min="12557" max="12801" width="9.296875" style="49"/>
    <col min="12802" max="12802" width="6.69921875" style="49" customWidth="1"/>
    <col min="12803" max="12803" width="24.69921875" style="49" customWidth="1"/>
    <col min="12804" max="12804" width="13" style="49" customWidth="1"/>
    <col min="12805" max="12806" width="15.5" style="49" customWidth="1"/>
    <col min="12807" max="12807" width="11.5" style="49" customWidth="1"/>
    <col min="12808" max="12808" width="13" style="49" customWidth="1"/>
    <col min="12809" max="12810" width="14" style="49" customWidth="1"/>
    <col min="12811" max="12811" width="13.296875" style="49" customWidth="1"/>
    <col min="12812" max="12812" width="14.69921875" style="49" customWidth="1"/>
    <col min="12813" max="13057" width="9.296875" style="49"/>
    <col min="13058" max="13058" width="6.69921875" style="49" customWidth="1"/>
    <col min="13059" max="13059" width="24.69921875" style="49" customWidth="1"/>
    <col min="13060" max="13060" width="13" style="49" customWidth="1"/>
    <col min="13061" max="13062" width="15.5" style="49" customWidth="1"/>
    <col min="13063" max="13063" width="11.5" style="49" customWidth="1"/>
    <col min="13064" max="13064" width="13" style="49" customWidth="1"/>
    <col min="13065" max="13066" width="14" style="49" customWidth="1"/>
    <col min="13067" max="13067" width="13.296875" style="49" customWidth="1"/>
    <col min="13068" max="13068" width="14.69921875" style="49" customWidth="1"/>
    <col min="13069" max="13313" width="9.296875" style="49"/>
    <col min="13314" max="13314" width="6.69921875" style="49" customWidth="1"/>
    <col min="13315" max="13315" width="24.69921875" style="49" customWidth="1"/>
    <col min="13316" max="13316" width="13" style="49" customWidth="1"/>
    <col min="13317" max="13318" width="15.5" style="49" customWidth="1"/>
    <col min="13319" max="13319" width="11.5" style="49" customWidth="1"/>
    <col min="13320" max="13320" width="13" style="49" customWidth="1"/>
    <col min="13321" max="13322" width="14" style="49" customWidth="1"/>
    <col min="13323" max="13323" width="13.296875" style="49" customWidth="1"/>
    <col min="13324" max="13324" width="14.69921875" style="49" customWidth="1"/>
    <col min="13325" max="13569" width="9.296875" style="49"/>
    <col min="13570" max="13570" width="6.69921875" style="49" customWidth="1"/>
    <col min="13571" max="13571" width="24.69921875" style="49" customWidth="1"/>
    <col min="13572" max="13572" width="13" style="49" customWidth="1"/>
    <col min="13573" max="13574" width="15.5" style="49" customWidth="1"/>
    <col min="13575" max="13575" width="11.5" style="49" customWidth="1"/>
    <col min="13576" max="13576" width="13" style="49" customWidth="1"/>
    <col min="13577" max="13578" width="14" style="49" customWidth="1"/>
    <col min="13579" max="13579" width="13.296875" style="49" customWidth="1"/>
    <col min="13580" max="13580" width="14.69921875" style="49" customWidth="1"/>
    <col min="13581" max="13825" width="9.296875" style="49"/>
    <col min="13826" max="13826" width="6.69921875" style="49" customWidth="1"/>
    <col min="13827" max="13827" width="24.69921875" style="49" customWidth="1"/>
    <col min="13828" max="13828" width="13" style="49" customWidth="1"/>
    <col min="13829" max="13830" width="15.5" style="49" customWidth="1"/>
    <col min="13831" max="13831" width="11.5" style="49" customWidth="1"/>
    <col min="13832" max="13832" width="13" style="49" customWidth="1"/>
    <col min="13833" max="13834" width="14" style="49" customWidth="1"/>
    <col min="13835" max="13835" width="13.296875" style="49" customWidth="1"/>
    <col min="13836" max="13836" width="14.69921875" style="49" customWidth="1"/>
    <col min="13837" max="14081" width="9.296875" style="49"/>
    <col min="14082" max="14082" width="6.69921875" style="49" customWidth="1"/>
    <col min="14083" max="14083" width="24.69921875" style="49" customWidth="1"/>
    <col min="14084" max="14084" width="13" style="49" customWidth="1"/>
    <col min="14085" max="14086" width="15.5" style="49" customWidth="1"/>
    <col min="14087" max="14087" width="11.5" style="49" customWidth="1"/>
    <col min="14088" max="14088" width="13" style="49" customWidth="1"/>
    <col min="14089" max="14090" width="14" style="49" customWidth="1"/>
    <col min="14091" max="14091" width="13.296875" style="49" customWidth="1"/>
    <col min="14092" max="14092" width="14.69921875" style="49" customWidth="1"/>
    <col min="14093" max="14337" width="9.296875" style="49"/>
    <col min="14338" max="14338" width="6.69921875" style="49" customWidth="1"/>
    <col min="14339" max="14339" width="24.69921875" style="49" customWidth="1"/>
    <col min="14340" max="14340" width="13" style="49" customWidth="1"/>
    <col min="14341" max="14342" width="15.5" style="49" customWidth="1"/>
    <col min="14343" max="14343" width="11.5" style="49" customWidth="1"/>
    <col min="14344" max="14344" width="13" style="49" customWidth="1"/>
    <col min="14345" max="14346" width="14" style="49" customWidth="1"/>
    <col min="14347" max="14347" width="13.296875" style="49" customWidth="1"/>
    <col min="14348" max="14348" width="14.69921875" style="49" customWidth="1"/>
    <col min="14349" max="14593" width="9.296875" style="49"/>
    <col min="14594" max="14594" width="6.69921875" style="49" customWidth="1"/>
    <col min="14595" max="14595" width="24.69921875" style="49" customWidth="1"/>
    <col min="14596" max="14596" width="13" style="49" customWidth="1"/>
    <col min="14597" max="14598" width="15.5" style="49" customWidth="1"/>
    <col min="14599" max="14599" width="11.5" style="49" customWidth="1"/>
    <col min="14600" max="14600" width="13" style="49" customWidth="1"/>
    <col min="14601" max="14602" width="14" style="49" customWidth="1"/>
    <col min="14603" max="14603" width="13.296875" style="49" customWidth="1"/>
    <col min="14604" max="14604" width="14.69921875" style="49" customWidth="1"/>
    <col min="14605" max="14849" width="9.296875" style="49"/>
    <col min="14850" max="14850" width="6.69921875" style="49" customWidth="1"/>
    <col min="14851" max="14851" width="24.69921875" style="49" customWidth="1"/>
    <col min="14852" max="14852" width="13" style="49" customWidth="1"/>
    <col min="14853" max="14854" width="15.5" style="49" customWidth="1"/>
    <col min="14855" max="14855" width="11.5" style="49" customWidth="1"/>
    <col min="14856" max="14856" width="13" style="49" customWidth="1"/>
    <col min="14857" max="14858" width="14" style="49" customWidth="1"/>
    <col min="14859" max="14859" width="13.296875" style="49" customWidth="1"/>
    <col min="14860" max="14860" width="14.69921875" style="49" customWidth="1"/>
    <col min="14861" max="15105" width="9.296875" style="49"/>
    <col min="15106" max="15106" width="6.69921875" style="49" customWidth="1"/>
    <col min="15107" max="15107" width="24.69921875" style="49" customWidth="1"/>
    <col min="15108" max="15108" width="13" style="49" customWidth="1"/>
    <col min="15109" max="15110" width="15.5" style="49" customWidth="1"/>
    <col min="15111" max="15111" width="11.5" style="49" customWidth="1"/>
    <col min="15112" max="15112" width="13" style="49" customWidth="1"/>
    <col min="15113" max="15114" width="14" style="49" customWidth="1"/>
    <col min="15115" max="15115" width="13.296875" style="49" customWidth="1"/>
    <col min="15116" max="15116" width="14.69921875" style="49" customWidth="1"/>
    <col min="15117" max="15361" width="9.296875" style="49"/>
    <col min="15362" max="15362" width="6.69921875" style="49" customWidth="1"/>
    <col min="15363" max="15363" width="24.69921875" style="49" customWidth="1"/>
    <col min="15364" max="15364" width="13" style="49" customWidth="1"/>
    <col min="15365" max="15366" width="15.5" style="49" customWidth="1"/>
    <col min="15367" max="15367" width="11.5" style="49" customWidth="1"/>
    <col min="15368" max="15368" width="13" style="49" customWidth="1"/>
    <col min="15369" max="15370" width="14" style="49" customWidth="1"/>
    <col min="15371" max="15371" width="13.296875" style="49" customWidth="1"/>
    <col min="15372" max="15372" width="14.69921875" style="49" customWidth="1"/>
    <col min="15373" max="15617" width="9.296875" style="49"/>
    <col min="15618" max="15618" width="6.69921875" style="49" customWidth="1"/>
    <col min="15619" max="15619" width="24.69921875" style="49" customWidth="1"/>
    <col min="15620" max="15620" width="13" style="49" customWidth="1"/>
    <col min="15621" max="15622" width="15.5" style="49" customWidth="1"/>
    <col min="15623" max="15623" width="11.5" style="49" customWidth="1"/>
    <col min="15624" max="15624" width="13" style="49" customWidth="1"/>
    <col min="15625" max="15626" width="14" style="49" customWidth="1"/>
    <col min="15627" max="15627" width="13.296875" style="49" customWidth="1"/>
    <col min="15628" max="15628" width="14.69921875" style="49" customWidth="1"/>
    <col min="15629" max="15873" width="9.296875" style="49"/>
    <col min="15874" max="15874" width="6.69921875" style="49" customWidth="1"/>
    <col min="15875" max="15875" width="24.69921875" style="49" customWidth="1"/>
    <col min="15876" max="15876" width="13" style="49" customWidth="1"/>
    <col min="15877" max="15878" width="15.5" style="49" customWidth="1"/>
    <col min="15879" max="15879" width="11.5" style="49" customWidth="1"/>
    <col min="15880" max="15880" width="13" style="49" customWidth="1"/>
    <col min="15881" max="15882" width="14" style="49" customWidth="1"/>
    <col min="15883" max="15883" width="13.296875" style="49" customWidth="1"/>
    <col min="15884" max="15884" width="14.69921875" style="49" customWidth="1"/>
    <col min="15885" max="16129" width="9.296875" style="49"/>
    <col min="16130" max="16130" width="6.69921875" style="49" customWidth="1"/>
    <col min="16131" max="16131" width="24.69921875" style="49" customWidth="1"/>
    <col min="16132" max="16132" width="13" style="49" customWidth="1"/>
    <col min="16133" max="16134" width="15.5" style="49" customWidth="1"/>
    <col min="16135" max="16135" width="11.5" style="49" customWidth="1"/>
    <col min="16136" max="16136" width="13" style="49" customWidth="1"/>
    <col min="16137" max="16138" width="14" style="49" customWidth="1"/>
    <col min="16139" max="16139" width="13.296875" style="49" customWidth="1"/>
    <col min="16140" max="16140" width="14.69921875" style="49" customWidth="1"/>
    <col min="16141" max="16384" width="9.296875" style="49"/>
  </cols>
  <sheetData>
    <row r="1" spans="1:12" ht="33" customHeight="1" x14ac:dyDescent="0.3">
      <c r="A1" s="885" t="s">
        <v>521</v>
      </c>
      <c r="B1" s="886"/>
      <c r="C1" s="886"/>
      <c r="D1" s="886"/>
      <c r="E1" s="886"/>
      <c r="F1" s="886"/>
      <c r="G1" s="886"/>
      <c r="H1" s="886"/>
      <c r="I1" s="886"/>
      <c r="J1" s="886"/>
      <c r="K1" s="886"/>
      <c r="L1" s="886"/>
    </row>
    <row r="2" spans="1:12" ht="14" x14ac:dyDescent="0.3">
      <c r="A2" s="50"/>
      <c r="B2" s="51"/>
      <c r="C2" s="51"/>
      <c r="D2" s="52"/>
      <c r="E2" s="53"/>
      <c r="F2" s="53"/>
      <c r="G2" s="54"/>
      <c r="H2" s="54"/>
      <c r="I2" s="53"/>
    </row>
    <row r="3" spans="1:12" ht="14" x14ac:dyDescent="0.3">
      <c r="A3" s="50"/>
      <c r="B3" s="55"/>
      <c r="C3" s="55"/>
      <c r="D3" s="56"/>
      <c r="E3" s="52"/>
      <c r="F3" s="52"/>
      <c r="G3" s="52"/>
      <c r="H3" s="52"/>
      <c r="I3" s="52"/>
      <c r="L3" s="73"/>
    </row>
    <row r="4" spans="1:12" s="57" customFormat="1" ht="85.5" customHeight="1" x14ac:dyDescent="0.3">
      <c r="A4" s="396" t="s">
        <v>404</v>
      </c>
      <c r="B4" s="396" t="s">
        <v>449</v>
      </c>
      <c r="C4" s="396" t="s">
        <v>450</v>
      </c>
      <c r="D4" s="396" t="s">
        <v>727</v>
      </c>
      <c r="E4" s="396" t="s">
        <v>451</v>
      </c>
      <c r="F4" s="396" t="s">
        <v>452</v>
      </c>
      <c r="G4" s="397" t="s">
        <v>453</v>
      </c>
      <c r="H4" s="397" t="s">
        <v>424</v>
      </c>
      <c r="I4" s="208" t="s">
        <v>454</v>
      </c>
      <c r="J4" s="398" t="s">
        <v>189</v>
      </c>
      <c r="K4" s="398" t="s">
        <v>728</v>
      </c>
      <c r="L4" s="208" t="s">
        <v>455</v>
      </c>
    </row>
    <row r="5" spans="1:12" ht="57" customHeight="1" x14ac:dyDescent="0.3">
      <c r="A5" s="399" t="s">
        <v>10</v>
      </c>
      <c r="B5" s="400" t="s">
        <v>456</v>
      </c>
      <c r="C5" s="401" t="s">
        <v>457</v>
      </c>
      <c r="D5" s="402"/>
      <c r="E5" s="403"/>
      <c r="F5" s="403">
        <f>'10.sz.mell'!G29</f>
        <v>6620344</v>
      </c>
      <c r="G5" s="404"/>
      <c r="H5" s="404"/>
      <c r="I5" s="403"/>
      <c r="J5" s="405"/>
      <c r="K5" s="405"/>
      <c r="L5" s="405">
        <f>SUM(D5:K5)</f>
        <v>6620344</v>
      </c>
    </row>
    <row r="6" spans="1:12" s="58" customFormat="1" ht="57" customHeight="1" x14ac:dyDescent="0.35">
      <c r="A6" s="396" t="s">
        <v>837</v>
      </c>
      <c r="B6" s="406" t="s">
        <v>798</v>
      </c>
      <c r="C6" s="407"/>
      <c r="D6" s="408"/>
      <c r="E6" s="409"/>
      <c r="F6" s="409">
        <v>7768942</v>
      </c>
      <c r="G6" s="410"/>
      <c r="H6" s="410"/>
      <c r="I6" s="409"/>
      <c r="J6" s="411"/>
      <c r="K6" s="411"/>
      <c r="L6" s="411">
        <f t="shared" ref="L6:L7" si="0">SUM(D6:K6)</f>
        <v>7768942</v>
      </c>
    </row>
    <row r="7" spans="1:12" s="58" customFormat="1" ht="57" customHeight="1" x14ac:dyDescent="0.35">
      <c r="A7" s="396" t="s">
        <v>16</v>
      </c>
      <c r="B7" s="406" t="s">
        <v>826</v>
      </c>
      <c r="C7" s="407"/>
      <c r="D7" s="408"/>
      <c r="E7" s="409"/>
      <c r="F7" s="409">
        <v>7687649</v>
      </c>
      <c r="G7" s="410"/>
      <c r="H7" s="410"/>
      <c r="I7" s="409"/>
      <c r="J7" s="411"/>
      <c r="K7" s="411"/>
      <c r="L7" s="411">
        <f t="shared" si="0"/>
        <v>7687649</v>
      </c>
    </row>
    <row r="8" spans="1:12" ht="45.75" customHeight="1" x14ac:dyDescent="0.3">
      <c r="A8" s="399" t="s">
        <v>19</v>
      </c>
      <c r="B8" s="400" t="s">
        <v>458</v>
      </c>
      <c r="C8" s="401" t="s">
        <v>459</v>
      </c>
      <c r="D8" s="402"/>
      <c r="E8" s="403"/>
      <c r="F8" s="403"/>
      <c r="G8" s="404"/>
      <c r="H8" s="404"/>
      <c r="I8" s="403"/>
      <c r="J8" s="405"/>
      <c r="K8" s="405">
        <f>'10.sz.mell'!G37</f>
        <v>273351171</v>
      </c>
      <c r="L8" s="405">
        <f>SUM(D8:K8)</f>
        <v>273351171</v>
      </c>
    </row>
    <row r="9" spans="1:12" s="58" customFormat="1" ht="45.75" customHeight="1" x14ac:dyDescent="0.35">
      <c r="A9" s="396" t="s">
        <v>22</v>
      </c>
      <c r="B9" s="406" t="s">
        <v>798</v>
      </c>
      <c r="C9" s="407"/>
      <c r="D9" s="408"/>
      <c r="E9" s="409"/>
      <c r="F9" s="409"/>
      <c r="G9" s="410"/>
      <c r="H9" s="410"/>
      <c r="I9" s="409"/>
      <c r="J9" s="411"/>
      <c r="K9" s="411">
        <v>277751899</v>
      </c>
      <c r="L9" s="411">
        <f t="shared" ref="L9:L18" si="1">SUM(D9:K9)</f>
        <v>277751899</v>
      </c>
    </row>
    <row r="10" spans="1:12" s="58" customFormat="1" ht="45.75" customHeight="1" x14ac:dyDescent="0.35">
      <c r="A10" s="396" t="s">
        <v>25</v>
      </c>
      <c r="B10" s="406" t="s">
        <v>826</v>
      </c>
      <c r="C10" s="407"/>
      <c r="D10" s="408"/>
      <c r="E10" s="409"/>
      <c r="F10" s="409"/>
      <c r="G10" s="410"/>
      <c r="H10" s="410"/>
      <c r="I10" s="409"/>
      <c r="J10" s="411"/>
      <c r="K10" s="411">
        <v>267337926</v>
      </c>
      <c r="L10" s="411">
        <f t="shared" si="1"/>
        <v>267337926</v>
      </c>
    </row>
    <row r="11" spans="1:12" s="58" customFormat="1" ht="45.75" customHeight="1" x14ac:dyDescent="0.35">
      <c r="A11" s="396"/>
      <c r="B11" s="400" t="s">
        <v>861</v>
      </c>
      <c r="C11" s="401" t="s">
        <v>753</v>
      </c>
      <c r="D11" s="402"/>
      <c r="E11" s="403"/>
      <c r="F11" s="403"/>
      <c r="G11" s="404"/>
      <c r="H11" s="404"/>
      <c r="I11" s="403"/>
      <c r="J11" s="405"/>
      <c r="K11" s="405"/>
      <c r="L11" s="405">
        <f t="shared" si="1"/>
        <v>0</v>
      </c>
    </row>
    <row r="12" spans="1:12" s="58" customFormat="1" ht="45.75" customHeight="1" x14ac:dyDescent="0.35">
      <c r="A12" s="396"/>
      <c r="B12" s="406" t="s">
        <v>798</v>
      </c>
      <c r="C12" s="407"/>
      <c r="D12" s="408"/>
      <c r="E12" s="409"/>
      <c r="F12" s="409">
        <v>64529</v>
      </c>
      <c r="G12" s="410"/>
      <c r="H12" s="410"/>
      <c r="I12" s="409"/>
      <c r="J12" s="411"/>
      <c r="K12" s="411"/>
      <c r="L12" s="411">
        <f t="shared" si="1"/>
        <v>64529</v>
      </c>
    </row>
    <row r="13" spans="1:12" s="58" customFormat="1" ht="45.75" customHeight="1" x14ac:dyDescent="0.35">
      <c r="A13" s="396"/>
      <c r="B13" s="406" t="s">
        <v>826</v>
      </c>
      <c r="C13" s="407"/>
      <c r="D13" s="408"/>
      <c r="E13" s="409"/>
      <c r="F13" s="409">
        <v>64529</v>
      </c>
      <c r="G13" s="410"/>
      <c r="H13" s="410"/>
      <c r="I13" s="409"/>
      <c r="J13" s="411"/>
      <c r="K13" s="411"/>
      <c r="L13" s="411">
        <f t="shared" si="1"/>
        <v>64529</v>
      </c>
    </row>
    <row r="14" spans="1:12" s="58" customFormat="1" ht="45.75" customHeight="1" x14ac:dyDescent="0.35">
      <c r="A14" s="396"/>
      <c r="B14" s="400" t="s">
        <v>862</v>
      </c>
      <c r="C14" s="401" t="s">
        <v>754</v>
      </c>
      <c r="D14" s="402"/>
      <c r="E14" s="403"/>
      <c r="F14" s="49"/>
      <c r="G14" s="404"/>
      <c r="H14" s="404"/>
      <c r="I14" s="403"/>
      <c r="J14" s="405"/>
      <c r="K14" s="405"/>
      <c r="L14" s="405">
        <f t="shared" si="1"/>
        <v>0</v>
      </c>
    </row>
    <row r="15" spans="1:12" s="58" customFormat="1" ht="45.75" customHeight="1" x14ac:dyDescent="0.35">
      <c r="A15" s="396"/>
      <c r="B15" s="687" t="s">
        <v>798</v>
      </c>
      <c r="D15" s="408"/>
      <c r="E15" s="409"/>
      <c r="F15" s="409">
        <v>12290500</v>
      </c>
      <c r="G15" s="410"/>
      <c r="H15" s="410"/>
      <c r="I15" s="409"/>
      <c r="J15" s="411"/>
      <c r="K15" s="411"/>
      <c r="L15" s="411">
        <f t="shared" si="1"/>
        <v>12290500</v>
      </c>
    </row>
    <row r="16" spans="1:12" s="58" customFormat="1" ht="45.75" customHeight="1" x14ac:dyDescent="0.35">
      <c r="A16" s="396"/>
      <c r="B16" s="406" t="s">
        <v>826</v>
      </c>
      <c r="C16" s="407"/>
      <c r="D16" s="408"/>
      <c r="E16" s="409"/>
      <c r="F16" s="409">
        <v>12290500</v>
      </c>
      <c r="G16" s="410"/>
      <c r="H16" s="410"/>
      <c r="I16" s="409"/>
      <c r="J16" s="411"/>
      <c r="K16" s="411"/>
      <c r="L16" s="411">
        <f t="shared" si="1"/>
        <v>12290500</v>
      </c>
    </row>
    <row r="17" spans="1:12" s="58" customFormat="1" ht="33" customHeight="1" x14ac:dyDescent="0.35">
      <c r="A17" s="399" t="s">
        <v>28</v>
      </c>
      <c r="B17" s="412" t="s">
        <v>835</v>
      </c>
      <c r="C17" s="413"/>
      <c r="D17" s="420">
        <f>D7+D10</f>
        <v>0</v>
      </c>
      <c r="E17" s="420">
        <f t="shared" ref="E17:K17" si="2">E7+E10</f>
        <v>0</v>
      </c>
      <c r="F17" s="420">
        <f>F7+F10+F13+F16</f>
        <v>20042678</v>
      </c>
      <c r="G17" s="420">
        <f t="shared" si="2"/>
        <v>0</v>
      </c>
      <c r="H17" s="420">
        <f t="shared" si="2"/>
        <v>0</v>
      </c>
      <c r="I17" s="420">
        <f t="shared" si="2"/>
        <v>0</v>
      </c>
      <c r="J17" s="420">
        <f t="shared" si="2"/>
        <v>0</v>
      </c>
      <c r="K17" s="420">
        <f t="shared" si="2"/>
        <v>267337926</v>
      </c>
      <c r="L17" s="411">
        <f t="shared" si="1"/>
        <v>287380604</v>
      </c>
    </row>
    <row r="18" spans="1:12" s="573" customFormat="1" ht="21" customHeight="1" x14ac:dyDescent="0.3">
      <c r="A18" s="396" t="s">
        <v>31</v>
      </c>
      <c r="B18" s="574" t="s">
        <v>836</v>
      </c>
      <c r="C18" s="574"/>
      <c r="D18" s="575">
        <f>D6+D9</f>
        <v>0</v>
      </c>
      <c r="E18" s="575">
        <f t="shared" ref="E18:K18" si="3">E6+E9</f>
        <v>0</v>
      </c>
      <c r="F18" s="575">
        <f>F6+F9+F12+F15</f>
        <v>20123971</v>
      </c>
      <c r="G18" s="575">
        <f t="shared" si="3"/>
        <v>0</v>
      </c>
      <c r="H18" s="575">
        <f t="shared" si="3"/>
        <v>0</v>
      </c>
      <c r="I18" s="575">
        <f t="shared" si="3"/>
        <v>0</v>
      </c>
      <c r="J18" s="575">
        <f t="shared" si="3"/>
        <v>0</v>
      </c>
      <c r="K18" s="575">
        <f t="shared" si="3"/>
        <v>277751899</v>
      </c>
      <c r="L18" s="411">
        <f t="shared" si="1"/>
        <v>297875870</v>
      </c>
    </row>
    <row r="19" spans="1:12" ht="42" customHeight="1" x14ac:dyDescent="0.3">
      <c r="A19" s="59"/>
      <c r="B19" s="62"/>
      <c r="C19" s="63"/>
      <c r="D19" s="64"/>
      <c r="E19" s="61"/>
      <c r="F19" s="61"/>
      <c r="G19" s="60"/>
      <c r="H19" s="60"/>
      <c r="I19" s="60"/>
    </row>
    <row r="20" spans="1:12" ht="42" customHeight="1" x14ac:dyDescent="0.3">
      <c r="A20" s="65"/>
      <c r="B20" s="66"/>
      <c r="C20" s="67"/>
      <c r="D20" s="68"/>
      <c r="E20" s="53"/>
      <c r="F20" s="53"/>
      <c r="G20" s="54"/>
      <c r="H20" s="54"/>
      <c r="I20" s="54"/>
    </row>
    <row r="21" spans="1:12" ht="14" x14ac:dyDescent="0.3">
      <c r="A21" s="50"/>
      <c r="B21" s="51"/>
      <c r="C21" s="51"/>
      <c r="D21" s="52"/>
      <c r="E21" s="52"/>
      <c r="F21" s="52"/>
      <c r="G21" s="52"/>
      <c r="H21" s="52"/>
      <c r="I21" s="52"/>
    </row>
    <row r="22" spans="1:12" s="70" customFormat="1" ht="14" x14ac:dyDescent="0.3">
      <c r="A22" s="50"/>
      <c r="B22" s="51"/>
      <c r="C22" s="51"/>
      <c r="D22" s="52"/>
      <c r="E22" s="53"/>
      <c r="F22" s="69"/>
      <c r="G22" s="69"/>
      <c r="H22" s="69"/>
      <c r="I22" s="69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89" orientation="landscape" r:id="rId1"/>
  <headerFooter>
    <oddHeader>&amp;R&amp;"Times New Roman CE,Félkövér dőlt"&amp;11 10.1. melléklet a 4/2018. (III.19.)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view="pageLayout" topLeftCell="C1" zoomScaleNormal="100" workbookViewId="0">
      <selection activeCell="J4" sqref="J4"/>
    </sheetView>
  </sheetViews>
  <sheetFormatPr defaultRowHeight="13" x14ac:dyDescent="0.3"/>
  <cols>
    <col min="1" max="1" width="5.796875" style="71" customWidth="1"/>
    <col min="2" max="2" width="21" style="49" customWidth="1"/>
    <col min="3" max="3" width="11.5" style="49" customWidth="1"/>
    <col min="4" max="9" width="13.796875" style="72" customWidth="1"/>
    <col min="10" max="13" width="13.796875" style="49" customWidth="1"/>
    <col min="14" max="256" width="9.296875" style="49"/>
    <col min="257" max="257" width="5.796875" style="49" customWidth="1"/>
    <col min="258" max="258" width="22.296875" style="49" customWidth="1"/>
    <col min="259" max="259" width="13" style="49" customWidth="1"/>
    <col min="260" max="260" width="11" style="49" customWidth="1"/>
    <col min="261" max="261" width="15.5" style="49" customWidth="1"/>
    <col min="262" max="262" width="11.19921875" style="49" customWidth="1"/>
    <col min="263" max="263" width="13.296875" style="49" customWidth="1"/>
    <col min="264" max="265" width="14" style="49" customWidth="1"/>
    <col min="266" max="266" width="13.296875" style="49" customWidth="1"/>
    <col min="267" max="267" width="12.296875" style="49" customWidth="1"/>
    <col min="268" max="268" width="14.296875" style="49" customWidth="1"/>
    <col min="269" max="269" width="15.19921875" style="49" customWidth="1"/>
    <col min="270" max="512" width="9.296875" style="49"/>
    <col min="513" max="513" width="5.796875" style="49" customWidth="1"/>
    <col min="514" max="514" width="22.296875" style="49" customWidth="1"/>
    <col min="515" max="515" width="13" style="49" customWidth="1"/>
    <col min="516" max="516" width="11" style="49" customWidth="1"/>
    <col min="517" max="517" width="15.5" style="49" customWidth="1"/>
    <col min="518" max="518" width="11.19921875" style="49" customWidth="1"/>
    <col min="519" max="519" width="13.296875" style="49" customWidth="1"/>
    <col min="520" max="521" width="14" style="49" customWidth="1"/>
    <col min="522" max="522" width="13.296875" style="49" customWidth="1"/>
    <col min="523" max="523" width="12.296875" style="49" customWidth="1"/>
    <col min="524" max="524" width="14.296875" style="49" customWidth="1"/>
    <col min="525" max="525" width="15.19921875" style="49" customWidth="1"/>
    <col min="526" max="768" width="9.296875" style="49"/>
    <col min="769" max="769" width="5.796875" style="49" customWidth="1"/>
    <col min="770" max="770" width="22.296875" style="49" customWidth="1"/>
    <col min="771" max="771" width="13" style="49" customWidth="1"/>
    <col min="772" max="772" width="11" style="49" customWidth="1"/>
    <col min="773" max="773" width="15.5" style="49" customWidth="1"/>
    <col min="774" max="774" width="11.19921875" style="49" customWidth="1"/>
    <col min="775" max="775" width="13.296875" style="49" customWidth="1"/>
    <col min="776" max="777" width="14" style="49" customWidth="1"/>
    <col min="778" max="778" width="13.296875" style="49" customWidth="1"/>
    <col min="779" max="779" width="12.296875" style="49" customWidth="1"/>
    <col min="780" max="780" width="14.296875" style="49" customWidth="1"/>
    <col min="781" max="781" width="15.19921875" style="49" customWidth="1"/>
    <col min="782" max="1024" width="9.296875" style="49"/>
    <col min="1025" max="1025" width="5.796875" style="49" customWidth="1"/>
    <col min="1026" max="1026" width="22.296875" style="49" customWidth="1"/>
    <col min="1027" max="1027" width="13" style="49" customWidth="1"/>
    <col min="1028" max="1028" width="11" style="49" customWidth="1"/>
    <col min="1029" max="1029" width="15.5" style="49" customWidth="1"/>
    <col min="1030" max="1030" width="11.19921875" style="49" customWidth="1"/>
    <col min="1031" max="1031" width="13.296875" style="49" customWidth="1"/>
    <col min="1032" max="1033" width="14" style="49" customWidth="1"/>
    <col min="1034" max="1034" width="13.296875" style="49" customWidth="1"/>
    <col min="1035" max="1035" width="12.296875" style="49" customWidth="1"/>
    <col min="1036" max="1036" width="14.296875" style="49" customWidth="1"/>
    <col min="1037" max="1037" width="15.19921875" style="49" customWidth="1"/>
    <col min="1038" max="1280" width="9.296875" style="49"/>
    <col min="1281" max="1281" width="5.796875" style="49" customWidth="1"/>
    <col min="1282" max="1282" width="22.296875" style="49" customWidth="1"/>
    <col min="1283" max="1283" width="13" style="49" customWidth="1"/>
    <col min="1284" max="1284" width="11" style="49" customWidth="1"/>
    <col min="1285" max="1285" width="15.5" style="49" customWidth="1"/>
    <col min="1286" max="1286" width="11.19921875" style="49" customWidth="1"/>
    <col min="1287" max="1287" width="13.296875" style="49" customWidth="1"/>
    <col min="1288" max="1289" width="14" style="49" customWidth="1"/>
    <col min="1290" max="1290" width="13.296875" style="49" customWidth="1"/>
    <col min="1291" max="1291" width="12.296875" style="49" customWidth="1"/>
    <col min="1292" max="1292" width="14.296875" style="49" customWidth="1"/>
    <col min="1293" max="1293" width="15.19921875" style="49" customWidth="1"/>
    <col min="1294" max="1536" width="9.296875" style="49"/>
    <col min="1537" max="1537" width="5.796875" style="49" customWidth="1"/>
    <col min="1538" max="1538" width="22.296875" style="49" customWidth="1"/>
    <col min="1539" max="1539" width="13" style="49" customWidth="1"/>
    <col min="1540" max="1540" width="11" style="49" customWidth="1"/>
    <col min="1541" max="1541" width="15.5" style="49" customWidth="1"/>
    <col min="1542" max="1542" width="11.19921875" style="49" customWidth="1"/>
    <col min="1543" max="1543" width="13.296875" style="49" customWidth="1"/>
    <col min="1544" max="1545" width="14" style="49" customWidth="1"/>
    <col min="1546" max="1546" width="13.296875" style="49" customWidth="1"/>
    <col min="1547" max="1547" width="12.296875" style="49" customWidth="1"/>
    <col min="1548" max="1548" width="14.296875" style="49" customWidth="1"/>
    <col min="1549" max="1549" width="15.19921875" style="49" customWidth="1"/>
    <col min="1550" max="1792" width="9.296875" style="49"/>
    <col min="1793" max="1793" width="5.796875" style="49" customWidth="1"/>
    <col min="1794" max="1794" width="22.296875" style="49" customWidth="1"/>
    <col min="1795" max="1795" width="13" style="49" customWidth="1"/>
    <col min="1796" max="1796" width="11" style="49" customWidth="1"/>
    <col min="1797" max="1797" width="15.5" style="49" customWidth="1"/>
    <col min="1798" max="1798" width="11.19921875" style="49" customWidth="1"/>
    <col min="1799" max="1799" width="13.296875" style="49" customWidth="1"/>
    <col min="1800" max="1801" width="14" style="49" customWidth="1"/>
    <col min="1802" max="1802" width="13.296875" style="49" customWidth="1"/>
    <col min="1803" max="1803" width="12.296875" style="49" customWidth="1"/>
    <col min="1804" max="1804" width="14.296875" style="49" customWidth="1"/>
    <col min="1805" max="1805" width="15.19921875" style="49" customWidth="1"/>
    <col min="1806" max="2048" width="9.296875" style="49"/>
    <col min="2049" max="2049" width="5.796875" style="49" customWidth="1"/>
    <col min="2050" max="2050" width="22.296875" style="49" customWidth="1"/>
    <col min="2051" max="2051" width="13" style="49" customWidth="1"/>
    <col min="2052" max="2052" width="11" style="49" customWidth="1"/>
    <col min="2053" max="2053" width="15.5" style="49" customWidth="1"/>
    <col min="2054" max="2054" width="11.19921875" style="49" customWidth="1"/>
    <col min="2055" max="2055" width="13.296875" style="49" customWidth="1"/>
    <col min="2056" max="2057" width="14" style="49" customWidth="1"/>
    <col min="2058" max="2058" width="13.296875" style="49" customWidth="1"/>
    <col min="2059" max="2059" width="12.296875" style="49" customWidth="1"/>
    <col min="2060" max="2060" width="14.296875" style="49" customWidth="1"/>
    <col min="2061" max="2061" width="15.19921875" style="49" customWidth="1"/>
    <col min="2062" max="2304" width="9.296875" style="49"/>
    <col min="2305" max="2305" width="5.796875" style="49" customWidth="1"/>
    <col min="2306" max="2306" width="22.296875" style="49" customWidth="1"/>
    <col min="2307" max="2307" width="13" style="49" customWidth="1"/>
    <col min="2308" max="2308" width="11" style="49" customWidth="1"/>
    <col min="2309" max="2309" width="15.5" style="49" customWidth="1"/>
    <col min="2310" max="2310" width="11.19921875" style="49" customWidth="1"/>
    <col min="2311" max="2311" width="13.296875" style="49" customWidth="1"/>
    <col min="2312" max="2313" width="14" style="49" customWidth="1"/>
    <col min="2314" max="2314" width="13.296875" style="49" customWidth="1"/>
    <col min="2315" max="2315" width="12.296875" style="49" customWidth="1"/>
    <col min="2316" max="2316" width="14.296875" style="49" customWidth="1"/>
    <col min="2317" max="2317" width="15.19921875" style="49" customWidth="1"/>
    <col min="2318" max="2560" width="9.296875" style="49"/>
    <col min="2561" max="2561" width="5.796875" style="49" customWidth="1"/>
    <col min="2562" max="2562" width="22.296875" style="49" customWidth="1"/>
    <col min="2563" max="2563" width="13" style="49" customWidth="1"/>
    <col min="2564" max="2564" width="11" style="49" customWidth="1"/>
    <col min="2565" max="2565" width="15.5" style="49" customWidth="1"/>
    <col min="2566" max="2566" width="11.19921875" style="49" customWidth="1"/>
    <col min="2567" max="2567" width="13.296875" style="49" customWidth="1"/>
    <col min="2568" max="2569" width="14" style="49" customWidth="1"/>
    <col min="2570" max="2570" width="13.296875" style="49" customWidth="1"/>
    <col min="2571" max="2571" width="12.296875" style="49" customWidth="1"/>
    <col min="2572" max="2572" width="14.296875" style="49" customWidth="1"/>
    <col min="2573" max="2573" width="15.19921875" style="49" customWidth="1"/>
    <col min="2574" max="2816" width="9.296875" style="49"/>
    <col min="2817" max="2817" width="5.796875" style="49" customWidth="1"/>
    <col min="2818" max="2818" width="22.296875" style="49" customWidth="1"/>
    <col min="2819" max="2819" width="13" style="49" customWidth="1"/>
    <col min="2820" max="2820" width="11" style="49" customWidth="1"/>
    <col min="2821" max="2821" width="15.5" style="49" customWidth="1"/>
    <col min="2822" max="2822" width="11.19921875" style="49" customWidth="1"/>
    <col min="2823" max="2823" width="13.296875" style="49" customWidth="1"/>
    <col min="2824" max="2825" width="14" style="49" customWidth="1"/>
    <col min="2826" max="2826" width="13.296875" style="49" customWidth="1"/>
    <col min="2827" max="2827" width="12.296875" style="49" customWidth="1"/>
    <col min="2828" max="2828" width="14.296875" style="49" customWidth="1"/>
    <col min="2829" max="2829" width="15.19921875" style="49" customWidth="1"/>
    <col min="2830" max="3072" width="9.296875" style="49"/>
    <col min="3073" max="3073" width="5.796875" style="49" customWidth="1"/>
    <col min="3074" max="3074" width="22.296875" style="49" customWidth="1"/>
    <col min="3075" max="3075" width="13" style="49" customWidth="1"/>
    <col min="3076" max="3076" width="11" style="49" customWidth="1"/>
    <col min="3077" max="3077" width="15.5" style="49" customWidth="1"/>
    <col min="3078" max="3078" width="11.19921875" style="49" customWidth="1"/>
    <col min="3079" max="3079" width="13.296875" style="49" customWidth="1"/>
    <col min="3080" max="3081" width="14" style="49" customWidth="1"/>
    <col min="3082" max="3082" width="13.296875" style="49" customWidth="1"/>
    <col min="3083" max="3083" width="12.296875" style="49" customWidth="1"/>
    <col min="3084" max="3084" width="14.296875" style="49" customWidth="1"/>
    <col min="3085" max="3085" width="15.19921875" style="49" customWidth="1"/>
    <col min="3086" max="3328" width="9.296875" style="49"/>
    <col min="3329" max="3329" width="5.796875" style="49" customWidth="1"/>
    <col min="3330" max="3330" width="22.296875" style="49" customWidth="1"/>
    <col min="3331" max="3331" width="13" style="49" customWidth="1"/>
    <col min="3332" max="3332" width="11" style="49" customWidth="1"/>
    <col min="3333" max="3333" width="15.5" style="49" customWidth="1"/>
    <col min="3334" max="3334" width="11.19921875" style="49" customWidth="1"/>
    <col min="3335" max="3335" width="13.296875" style="49" customWidth="1"/>
    <col min="3336" max="3337" width="14" style="49" customWidth="1"/>
    <col min="3338" max="3338" width="13.296875" style="49" customWidth="1"/>
    <col min="3339" max="3339" width="12.296875" style="49" customWidth="1"/>
    <col min="3340" max="3340" width="14.296875" style="49" customWidth="1"/>
    <col min="3341" max="3341" width="15.19921875" style="49" customWidth="1"/>
    <col min="3342" max="3584" width="9.296875" style="49"/>
    <col min="3585" max="3585" width="5.796875" style="49" customWidth="1"/>
    <col min="3586" max="3586" width="22.296875" style="49" customWidth="1"/>
    <col min="3587" max="3587" width="13" style="49" customWidth="1"/>
    <col min="3588" max="3588" width="11" style="49" customWidth="1"/>
    <col min="3589" max="3589" width="15.5" style="49" customWidth="1"/>
    <col min="3590" max="3590" width="11.19921875" style="49" customWidth="1"/>
    <col min="3591" max="3591" width="13.296875" style="49" customWidth="1"/>
    <col min="3592" max="3593" width="14" style="49" customWidth="1"/>
    <col min="3594" max="3594" width="13.296875" style="49" customWidth="1"/>
    <col min="3595" max="3595" width="12.296875" style="49" customWidth="1"/>
    <col min="3596" max="3596" width="14.296875" style="49" customWidth="1"/>
    <col min="3597" max="3597" width="15.19921875" style="49" customWidth="1"/>
    <col min="3598" max="3840" width="9.296875" style="49"/>
    <col min="3841" max="3841" width="5.796875" style="49" customWidth="1"/>
    <col min="3842" max="3842" width="22.296875" style="49" customWidth="1"/>
    <col min="3843" max="3843" width="13" style="49" customWidth="1"/>
    <col min="3844" max="3844" width="11" style="49" customWidth="1"/>
    <col min="3845" max="3845" width="15.5" style="49" customWidth="1"/>
    <col min="3846" max="3846" width="11.19921875" style="49" customWidth="1"/>
    <col min="3847" max="3847" width="13.296875" style="49" customWidth="1"/>
    <col min="3848" max="3849" width="14" style="49" customWidth="1"/>
    <col min="3850" max="3850" width="13.296875" style="49" customWidth="1"/>
    <col min="3851" max="3851" width="12.296875" style="49" customWidth="1"/>
    <col min="3852" max="3852" width="14.296875" style="49" customWidth="1"/>
    <col min="3853" max="3853" width="15.19921875" style="49" customWidth="1"/>
    <col min="3854" max="4096" width="9.296875" style="49"/>
    <col min="4097" max="4097" width="5.796875" style="49" customWidth="1"/>
    <col min="4098" max="4098" width="22.296875" style="49" customWidth="1"/>
    <col min="4099" max="4099" width="13" style="49" customWidth="1"/>
    <col min="4100" max="4100" width="11" style="49" customWidth="1"/>
    <col min="4101" max="4101" width="15.5" style="49" customWidth="1"/>
    <col min="4102" max="4102" width="11.19921875" style="49" customWidth="1"/>
    <col min="4103" max="4103" width="13.296875" style="49" customWidth="1"/>
    <col min="4104" max="4105" width="14" style="49" customWidth="1"/>
    <col min="4106" max="4106" width="13.296875" style="49" customWidth="1"/>
    <col min="4107" max="4107" width="12.296875" style="49" customWidth="1"/>
    <col min="4108" max="4108" width="14.296875" style="49" customWidth="1"/>
    <col min="4109" max="4109" width="15.19921875" style="49" customWidth="1"/>
    <col min="4110" max="4352" width="9.296875" style="49"/>
    <col min="4353" max="4353" width="5.796875" style="49" customWidth="1"/>
    <col min="4354" max="4354" width="22.296875" style="49" customWidth="1"/>
    <col min="4355" max="4355" width="13" style="49" customWidth="1"/>
    <col min="4356" max="4356" width="11" style="49" customWidth="1"/>
    <col min="4357" max="4357" width="15.5" style="49" customWidth="1"/>
    <col min="4358" max="4358" width="11.19921875" style="49" customWidth="1"/>
    <col min="4359" max="4359" width="13.296875" style="49" customWidth="1"/>
    <col min="4360" max="4361" width="14" style="49" customWidth="1"/>
    <col min="4362" max="4362" width="13.296875" style="49" customWidth="1"/>
    <col min="4363" max="4363" width="12.296875" style="49" customWidth="1"/>
    <col min="4364" max="4364" width="14.296875" style="49" customWidth="1"/>
    <col min="4365" max="4365" width="15.19921875" style="49" customWidth="1"/>
    <col min="4366" max="4608" width="9.296875" style="49"/>
    <col min="4609" max="4609" width="5.796875" style="49" customWidth="1"/>
    <col min="4610" max="4610" width="22.296875" style="49" customWidth="1"/>
    <col min="4611" max="4611" width="13" style="49" customWidth="1"/>
    <col min="4612" max="4612" width="11" style="49" customWidth="1"/>
    <col min="4613" max="4613" width="15.5" style="49" customWidth="1"/>
    <col min="4614" max="4614" width="11.19921875" style="49" customWidth="1"/>
    <col min="4615" max="4615" width="13.296875" style="49" customWidth="1"/>
    <col min="4616" max="4617" width="14" style="49" customWidth="1"/>
    <col min="4618" max="4618" width="13.296875" style="49" customWidth="1"/>
    <col min="4619" max="4619" width="12.296875" style="49" customWidth="1"/>
    <col min="4620" max="4620" width="14.296875" style="49" customWidth="1"/>
    <col min="4621" max="4621" width="15.19921875" style="49" customWidth="1"/>
    <col min="4622" max="4864" width="9.296875" style="49"/>
    <col min="4865" max="4865" width="5.796875" style="49" customWidth="1"/>
    <col min="4866" max="4866" width="22.296875" style="49" customWidth="1"/>
    <col min="4867" max="4867" width="13" style="49" customWidth="1"/>
    <col min="4868" max="4868" width="11" style="49" customWidth="1"/>
    <col min="4869" max="4869" width="15.5" style="49" customWidth="1"/>
    <col min="4870" max="4870" width="11.19921875" style="49" customWidth="1"/>
    <col min="4871" max="4871" width="13.296875" style="49" customWidth="1"/>
    <col min="4872" max="4873" width="14" style="49" customWidth="1"/>
    <col min="4874" max="4874" width="13.296875" style="49" customWidth="1"/>
    <col min="4875" max="4875" width="12.296875" style="49" customWidth="1"/>
    <col min="4876" max="4876" width="14.296875" style="49" customWidth="1"/>
    <col min="4877" max="4877" width="15.19921875" style="49" customWidth="1"/>
    <col min="4878" max="5120" width="9.296875" style="49"/>
    <col min="5121" max="5121" width="5.796875" style="49" customWidth="1"/>
    <col min="5122" max="5122" width="22.296875" style="49" customWidth="1"/>
    <col min="5123" max="5123" width="13" style="49" customWidth="1"/>
    <col min="5124" max="5124" width="11" style="49" customWidth="1"/>
    <col min="5125" max="5125" width="15.5" style="49" customWidth="1"/>
    <col min="5126" max="5126" width="11.19921875" style="49" customWidth="1"/>
    <col min="5127" max="5127" width="13.296875" style="49" customWidth="1"/>
    <col min="5128" max="5129" width="14" style="49" customWidth="1"/>
    <col min="5130" max="5130" width="13.296875" style="49" customWidth="1"/>
    <col min="5131" max="5131" width="12.296875" style="49" customWidth="1"/>
    <col min="5132" max="5132" width="14.296875" style="49" customWidth="1"/>
    <col min="5133" max="5133" width="15.19921875" style="49" customWidth="1"/>
    <col min="5134" max="5376" width="9.296875" style="49"/>
    <col min="5377" max="5377" width="5.796875" style="49" customWidth="1"/>
    <col min="5378" max="5378" width="22.296875" style="49" customWidth="1"/>
    <col min="5379" max="5379" width="13" style="49" customWidth="1"/>
    <col min="5380" max="5380" width="11" style="49" customWidth="1"/>
    <col min="5381" max="5381" width="15.5" style="49" customWidth="1"/>
    <col min="5382" max="5382" width="11.19921875" style="49" customWidth="1"/>
    <col min="5383" max="5383" width="13.296875" style="49" customWidth="1"/>
    <col min="5384" max="5385" width="14" style="49" customWidth="1"/>
    <col min="5386" max="5386" width="13.296875" style="49" customWidth="1"/>
    <col min="5387" max="5387" width="12.296875" style="49" customWidth="1"/>
    <col min="5388" max="5388" width="14.296875" style="49" customWidth="1"/>
    <col min="5389" max="5389" width="15.19921875" style="49" customWidth="1"/>
    <col min="5390" max="5632" width="9.296875" style="49"/>
    <col min="5633" max="5633" width="5.796875" style="49" customWidth="1"/>
    <col min="5634" max="5634" width="22.296875" style="49" customWidth="1"/>
    <col min="5635" max="5635" width="13" style="49" customWidth="1"/>
    <col min="5636" max="5636" width="11" style="49" customWidth="1"/>
    <col min="5637" max="5637" width="15.5" style="49" customWidth="1"/>
    <col min="5638" max="5638" width="11.19921875" style="49" customWidth="1"/>
    <col min="5639" max="5639" width="13.296875" style="49" customWidth="1"/>
    <col min="5640" max="5641" width="14" style="49" customWidth="1"/>
    <col min="5642" max="5642" width="13.296875" style="49" customWidth="1"/>
    <col min="5643" max="5643" width="12.296875" style="49" customWidth="1"/>
    <col min="5644" max="5644" width="14.296875" style="49" customWidth="1"/>
    <col min="5645" max="5645" width="15.19921875" style="49" customWidth="1"/>
    <col min="5646" max="5888" width="9.296875" style="49"/>
    <col min="5889" max="5889" width="5.796875" style="49" customWidth="1"/>
    <col min="5890" max="5890" width="22.296875" style="49" customWidth="1"/>
    <col min="5891" max="5891" width="13" style="49" customWidth="1"/>
    <col min="5892" max="5892" width="11" style="49" customWidth="1"/>
    <col min="5893" max="5893" width="15.5" style="49" customWidth="1"/>
    <col min="5894" max="5894" width="11.19921875" style="49" customWidth="1"/>
    <col min="5895" max="5895" width="13.296875" style="49" customWidth="1"/>
    <col min="5896" max="5897" width="14" style="49" customWidth="1"/>
    <col min="5898" max="5898" width="13.296875" style="49" customWidth="1"/>
    <col min="5899" max="5899" width="12.296875" style="49" customWidth="1"/>
    <col min="5900" max="5900" width="14.296875" style="49" customWidth="1"/>
    <col min="5901" max="5901" width="15.19921875" style="49" customWidth="1"/>
    <col min="5902" max="6144" width="9.296875" style="49"/>
    <col min="6145" max="6145" width="5.796875" style="49" customWidth="1"/>
    <col min="6146" max="6146" width="22.296875" style="49" customWidth="1"/>
    <col min="6147" max="6147" width="13" style="49" customWidth="1"/>
    <col min="6148" max="6148" width="11" style="49" customWidth="1"/>
    <col min="6149" max="6149" width="15.5" style="49" customWidth="1"/>
    <col min="6150" max="6150" width="11.19921875" style="49" customWidth="1"/>
    <col min="6151" max="6151" width="13.296875" style="49" customWidth="1"/>
    <col min="6152" max="6153" width="14" style="49" customWidth="1"/>
    <col min="6154" max="6154" width="13.296875" style="49" customWidth="1"/>
    <col min="6155" max="6155" width="12.296875" style="49" customWidth="1"/>
    <col min="6156" max="6156" width="14.296875" style="49" customWidth="1"/>
    <col min="6157" max="6157" width="15.19921875" style="49" customWidth="1"/>
    <col min="6158" max="6400" width="9.296875" style="49"/>
    <col min="6401" max="6401" width="5.796875" style="49" customWidth="1"/>
    <col min="6402" max="6402" width="22.296875" style="49" customWidth="1"/>
    <col min="6403" max="6403" width="13" style="49" customWidth="1"/>
    <col min="6404" max="6404" width="11" style="49" customWidth="1"/>
    <col min="6405" max="6405" width="15.5" style="49" customWidth="1"/>
    <col min="6406" max="6406" width="11.19921875" style="49" customWidth="1"/>
    <col min="6407" max="6407" width="13.296875" style="49" customWidth="1"/>
    <col min="6408" max="6409" width="14" style="49" customWidth="1"/>
    <col min="6410" max="6410" width="13.296875" style="49" customWidth="1"/>
    <col min="6411" max="6411" width="12.296875" style="49" customWidth="1"/>
    <col min="6412" max="6412" width="14.296875" style="49" customWidth="1"/>
    <col min="6413" max="6413" width="15.19921875" style="49" customWidth="1"/>
    <col min="6414" max="6656" width="9.296875" style="49"/>
    <col min="6657" max="6657" width="5.796875" style="49" customWidth="1"/>
    <col min="6658" max="6658" width="22.296875" style="49" customWidth="1"/>
    <col min="6659" max="6659" width="13" style="49" customWidth="1"/>
    <col min="6660" max="6660" width="11" style="49" customWidth="1"/>
    <col min="6661" max="6661" width="15.5" style="49" customWidth="1"/>
    <col min="6662" max="6662" width="11.19921875" style="49" customWidth="1"/>
    <col min="6663" max="6663" width="13.296875" style="49" customWidth="1"/>
    <col min="6664" max="6665" width="14" style="49" customWidth="1"/>
    <col min="6666" max="6666" width="13.296875" style="49" customWidth="1"/>
    <col min="6667" max="6667" width="12.296875" style="49" customWidth="1"/>
    <col min="6668" max="6668" width="14.296875" style="49" customWidth="1"/>
    <col min="6669" max="6669" width="15.19921875" style="49" customWidth="1"/>
    <col min="6670" max="6912" width="9.296875" style="49"/>
    <col min="6913" max="6913" width="5.796875" style="49" customWidth="1"/>
    <col min="6914" max="6914" width="22.296875" style="49" customWidth="1"/>
    <col min="6915" max="6915" width="13" style="49" customWidth="1"/>
    <col min="6916" max="6916" width="11" style="49" customWidth="1"/>
    <col min="6917" max="6917" width="15.5" style="49" customWidth="1"/>
    <col min="6918" max="6918" width="11.19921875" style="49" customWidth="1"/>
    <col min="6919" max="6919" width="13.296875" style="49" customWidth="1"/>
    <col min="6920" max="6921" width="14" style="49" customWidth="1"/>
    <col min="6922" max="6922" width="13.296875" style="49" customWidth="1"/>
    <col min="6923" max="6923" width="12.296875" style="49" customWidth="1"/>
    <col min="6924" max="6924" width="14.296875" style="49" customWidth="1"/>
    <col min="6925" max="6925" width="15.19921875" style="49" customWidth="1"/>
    <col min="6926" max="7168" width="9.296875" style="49"/>
    <col min="7169" max="7169" width="5.796875" style="49" customWidth="1"/>
    <col min="7170" max="7170" width="22.296875" style="49" customWidth="1"/>
    <col min="7171" max="7171" width="13" style="49" customWidth="1"/>
    <col min="7172" max="7172" width="11" style="49" customWidth="1"/>
    <col min="7173" max="7173" width="15.5" style="49" customWidth="1"/>
    <col min="7174" max="7174" width="11.19921875" style="49" customWidth="1"/>
    <col min="7175" max="7175" width="13.296875" style="49" customWidth="1"/>
    <col min="7176" max="7177" width="14" style="49" customWidth="1"/>
    <col min="7178" max="7178" width="13.296875" style="49" customWidth="1"/>
    <col min="7179" max="7179" width="12.296875" style="49" customWidth="1"/>
    <col min="7180" max="7180" width="14.296875" style="49" customWidth="1"/>
    <col min="7181" max="7181" width="15.19921875" style="49" customWidth="1"/>
    <col min="7182" max="7424" width="9.296875" style="49"/>
    <col min="7425" max="7425" width="5.796875" style="49" customWidth="1"/>
    <col min="7426" max="7426" width="22.296875" style="49" customWidth="1"/>
    <col min="7427" max="7427" width="13" style="49" customWidth="1"/>
    <col min="7428" max="7428" width="11" style="49" customWidth="1"/>
    <col min="7429" max="7429" width="15.5" style="49" customWidth="1"/>
    <col min="7430" max="7430" width="11.19921875" style="49" customWidth="1"/>
    <col min="7431" max="7431" width="13.296875" style="49" customWidth="1"/>
    <col min="7432" max="7433" width="14" style="49" customWidth="1"/>
    <col min="7434" max="7434" width="13.296875" style="49" customWidth="1"/>
    <col min="7435" max="7435" width="12.296875" style="49" customWidth="1"/>
    <col min="7436" max="7436" width="14.296875" style="49" customWidth="1"/>
    <col min="7437" max="7437" width="15.19921875" style="49" customWidth="1"/>
    <col min="7438" max="7680" width="9.296875" style="49"/>
    <col min="7681" max="7681" width="5.796875" style="49" customWidth="1"/>
    <col min="7682" max="7682" width="22.296875" style="49" customWidth="1"/>
    <col min="7683" max="7683" width="13" style="49" customWidth="1"/>
    <col min="7684" max="7684" width="11" style="49" customWidth="1"/>
    <col min="7685" max="7685" width="15.5" style="49" customWidth="1"/>
    <col min="7686" max="7686" width="11.19921875" style="49" customWidth="1"/>
    <col min="7687" max="7687" width="13.296875" style="49" customWidth="1"/>
    <col min="7688" max="7689" width="14" style="49" customWidth="1"/>
    <col min="7690" max="7690" width="13.296875" style="49" customWidth="1"/>
    <col min="7691" max="7691" width="12.296875" style="49" customWidth="1"/>
    <col min="7692" max="7692" width="14.296875" style="49" customWidth="1"/>
    <col min="7693" max="7693" width="15.19921875" style="49" customWidth="1"/>
    <col min="7694" max="7936" width="9.296875" style="49"/>
    <col min="7937" max="7937" width="5.796875" style="49" customWidth="1"/>
    <col min="7938" max="7938" width="22.296875" style="49" customWidth="1"/>
    <col min="7939" max="7939" width="13" style="49" customWidth="1"/>
    <col min="7940" max="7940" width="11" style="49" customWidth="1"/>
    <col min="7941" max="7941" width="15.5" style="49" customWidth="1"/>
    <col min="7942" max="7942" width="11.19921875" style="49" customWidth="1"/>
    <col min="7943" max="7943" width="13.296875" style="49" customWidth="1"/>
    <col min="7944" max="7945" width="14" style="49" customWidth="1"/>
    <col min="7946" max="7946" width="13.296875" style="49" customWidth="1"/>
    <col min="7947" max="7947" width="12.296875" style="49" customWidth="1"/>
    <col min="7948" max="7948" width="14.296875" style="49" customWidth="1"/>
    <col min="7949" max="7949" width="15.19921875" style="49" customWidth="1"/>
    <col min="7950" max="8192" width="9.296875" style="49"/>
    <col min="8193" max="8193" width="5.796875" style="49" customWidth="1"/>
    <col min="8194" max="8194" width="22.296875" style="49" customWidth="1"/>
    <col min="8195" max="8195" width="13" style="49" customWidth="1"/>
    <col min="8196" max="8196" width="11" style="49" customWidth="1"/>
    <col min="8197" max="8197" width="15.5" style="49" customWidth="1"/>
    <col min="8198" max="8198" width="11.19921875" style="49" customWidth="1"/>
    <col min="8199" max="8199" width="13.296875" style="49" customWidth="1"/>
    <col min="8200" max="8201" width="14" style="49" customWidth="1"/>
    <col min="8202" max="8202" width="13.296875" style="49" customWidth="1"/>
    <col min="8203" max="8203" width="12.296875" style="49" customWidth="1"/>
    <col min="8204" max="8204" width="14.296875" style="49" customWidth="1"/>
    <col min="8205" max="8205" width="15.19921875" style="49" customWidth="1"/>
    <col min="8206" max="8448" width="9.296875" style="49"/>
    <col min="8449" max="8449" width="5.796875" style="49" customWidth="1"/>
    <col min="8450" max="8450" width="22.296875" style="49" customWidth="1"/>
    <col min="8451" max="8451" width="13" style="49" customWidth="1"/>
    <col min="8452" max="8452" width="11" style="49" customWidth="1"/>
    <col min="8453" max="8453" width="15.5" style="49" customWidth="1"/>
    <col min="8454" max="8454" width="11.19921875" style="49" customWidth="1"/>
    <col min="8455" max="8455" width="13.296875" style="49" customWidth="1"/>
    <col min="8456" max="8457" width="14" style="49" customWidth="1"/>
    <col min="8458" max="8458" width="13.296875" style="49" customWidth="1"/>
    <col min="8459" max="8459" width="12.296875" style="49" customWidth="1"/>
    <col min="8460" max="8460" width="14.296875" style="49" customWidth="1"/>
    <col min="8461" max="8461" width="15.19921875" style="49" customWidth="1"/>
    <col min="8462" max="8704" width="9.296875" style="49"/>
    <col min="8705" max="8705" width="5.796875" style="49" customWidth="1"/>
    <col min="8706" max="8706" width="22.296875" style="49" customWidth="1"/>
    <col min="8707" max="8707" width="13" style="49" customWidth="1"/>
    <col min="8708" max="8708" width="11" style="49" customWidth="1"/>
    <col min="8709" max="8709" width="15.5" style="49" customWidth="1"/>
    <col min="8710" max="8710" width="11.19921875" style="49" customWidth="1"/>
    <col min="8711" max="8711" width="13.296875" style="49" customWidth="1"/>
    <col min="8712" max="8713" width="14" style="49" customWidth="1"/>
    <col min="8714" max="8714" width="13.296875" style="49" customWidth="1"/>
    <col min="8715" max="8715" width="12.296875" style="49" customWidth="1"/>
    <col min="8716" max="8716" width="14.296875" style="49" customWidth="1"/>
    <col min="8717" max="8717" width="15.19921875" style="49" customWidth="1"/>
    <col min="8718" max="8960" width="9.296875" style="49"/>
    <col min="8961" max="8961" width="5.796875" style="49" customWidth="1"/>
    <col min="8962" max="8962" width="22.296875" style="49" customWidth="1"/>
    <col min="8963" max="8963" width="13" style="49" customWidth="1"/>
    <col min="8964" max="8964" width="11" style="49" customWidth="1"/>
    <col min="8965" max="8965" width="15.5" style="49" customWidth="1"/>
    <col min="8966" max="8966" width="11.19921875" style="49" customWidth="1"/>
    <col min="8967" max="8967" width="13.296875" style="49" customWidth="1"/>
    <col min="8968" max="8969" width="14" style="49" customWidth="1"/>
    <col min="8970" max="8970" width="13.296875" style="49" customWidth="1"/>
    <col min="8971" max="8971" width="12.296875" style="49" customWidth="1"/>
    <col min="8972" max="8972" width="14.296875" style="49" customWidth="1"/>
    <col min="8973" max="8973" width="15.19921875" style="49" customWidth="1"/>
    <col min="8974" max="9216" width="9.296875" style="49"/>
    <col min="9217" max="9217" width="5.796875" style="49" customWidth="1"/>
    <col min="9218" max="9218" width="22.296875" style="49" customWidth="1"/>
    <col min="9219" max="9219" width="13" style="49" customWidth="1"/>
    <col min="9220" max="9220" width="11" style="49" customWidth="1"/>
    <col min="9221" max="9221" width="15.5" style="49" customWidth="1"/>
    <col min="9222" max="9222" width="11.19921875" style="49" customWidth="1"/>
    <col min="9223" max="9223" width="13.296875" style="49" customWidth="1"/>
    <col min="9224" max="9225" width="14" style="49" customWidth="1"/>
    <col min="9226" max="9226" width="13.296875" style="49" customWidth="1"/>
    <col min="9227" max="9227" width="12.296875" style="49" customWidth="1"/>
    <col min="9228" max="9228" width="14.296875" style="49" customWidth="1"/>
    <col min="9229" max="9229" width="15.19921875" style="49" customWidth="1"/>
    <col min="9230" max="9472" width="9.296875" style="49"/>
    <col min="9473" max="9473" width="5.796875" style="49" customWidth="1"/>
    <col min="9474" max="9474" width="22.296875" style="49" customWidth="1"/>
    <col min="9475" max="9475" width="13" style="49" customWidth="1"/>
    <col min="9476" max="9476" width="11" style="49" customWidth="1"/>
    <col min="9477" max="9477" width="15.5" style="49" customWidth="1"/>
    <col min="9478" max="9478" width="11.19921875" style="49" customWidth="1"/>
    <col min="9479" max="9479" width="13.296875" style="49" customWidth="1"/>
    <col min="9480" max="9481" width="14" style="49" customWidth="1"/>
    <col min="9482" max="9482" width="13.296875" style="49" customWidth="1"/>
    <col min="9483" max="9483" width="12.296875" style="49" customWidth="1"/>
    <col min="9484" max="9484" width="14.296875" style="49" customWidth="1"/>
    <col min="9485" max="9485" width="15.19921875" style="49" customWidth="1"/>
    <col min="9486" max="9728" width="9.296875" style="49"/>
    <col min="9729" max="9729" width="5.796875" style="49" customWidth="1"/>
    <col min="9730" max="9730" width="22.296875" style="49" customWidth="1"/>
    <col min="9731" max="9731" width="13" style="49" customWidth="1"/>
    <col min="9732" max="9732" width="11" style="49" customWidth="1"/>
    <col min="9733" max="9733" width="15.5" style="49" customWidth="1"/>
    <col min="9734" max="9734" width="11.19921875" style="49" customWidth="1"/>
    <col min="9735" max="9735" width="13.296875" style="49" customWidth="1"/>
    <col min="9736" max="9737" width="14" style="49" customWidth="1"/>
    <col min="9738" max="9738" width="13.296875" style="49" customWidth="1"/>
    <col min="9739" max="9739" width="12.296875" style="49" customWidth="1"/>
    <col min="9740" max="9740" width="14.296875" style="49" customWidth="1"/>
    <col min="9741" max="9741" width="15.19921875" style="49" customWidth="1"/>
    <col min="9742" max="9984" width="9.296875" style="49"/>
    <col min="9985" max="9985" width="5.796875" style="49" customWidth="1"/>
    <col min="9986" max="9986" width="22.296875" style="49" customWidth="1"/>
    <col min="9987" max="9987" width="13" style="49" customWidth="1"/>
    <col min="9988" max="9988" width="11" style="49" customWidth="1"/>
    <col min="9989" max="9989" width="15.5" style="49" customWidth="1"/>
    <col min="9990" max="9990" width="11.19921875" style="49" customWidth="1"/>
    <col min="9991" max="9991" width="13.296875" style="49" customWidth="1"/>
    <col min="9992" max="9993" width="14" style="49" customWidth="1"/>
    <col min="9994" max="9994" width="13.296875" style="49" customWidth="1"/>
    <col min="9995" max="9995" width="12.296875" style="49" customWidth="1"/>
    <col min="9996" max="9996" width="14.296875" style="49" customWidth="1"/>
    <col min="9997" max="9997" width="15.19921875" style="49" customWidth="1"/>
    <col min="9998" max="10240" width="9.296875" style="49"/>
    <col min="10241" max="10241" width="5.796875" style="49" customWidth="1"/>
    <col min="10242" max="10242" width="22.296875" style="49" customWidth="1"/>
    <col min="10243" max="10243" width="13" style="49" customWidth="1"/>
    <col min="10244" max="10244" width="11" style="49" customWidth="1"/>
    <col min="10245" max="10245" width="15.5" style="49" customWidth="1"/>
    <col min="10246" max="10246" width="11.19921875" style="49" customWidth="1"/>
    <col min="10247" max="10247" width="13.296875" style="49" customWidth="1"/>
    <col min="10248" max="10249" width="14" style="49" customWidth="1"/>
    <col min="10250" max="10250" width="13.296875" style="49" customWidth="1"/>
    <col min="10251" max="10251" width="12.296875" style="49" customWidth="1"/>
    <col min="10252" max="10252" width="14.296875" style="49" customWidth="1"/>
    <col min="10253" max="10253" width="15.19921875" style="49" customWidth="1"/>
    <col min="10254" max="10496" width="9.296875" style="49"/>
    <col min="10497" max="10497" width="5.796875" style="49" customWidth="1"/>
    <col min="10498" max="10498" width="22.296875" style="49" customWidth="1"/>
    <col min="10499" max="10499" width="13" style="49" customWidth="1"/>
    <col min="10500" max="10500" width="11" style="49" customWidth="1"/>
    <col min="10501" max="10501" width="15.5" style="49" customWidth="1"/>
    <col min="10502" max="10502" width="11.19921875" style="49" customWidth="1"/>
    <col min="10503" max="10503" width="13.296875" style="49" customWidth="1"/>
    <col min="10504" max="10505" width="14" style="49" customWidth="1"/>
    <col min="10506" max="10506" width="13.296875" style="49" customWidth="1"/>
    <col min="10507" max="10507" width="12.296875" style="49" customWidth="1"/>
    <col min="10508" max="10508" width="14.296875" style="49" customWidth="1"/>
    <col min="10509" max="10509" width="15.19921875" style="49" customWidth="1"/>
    <col min="10510" max="10752" width="9.296875" style="49"/>
    <col min="10753" max="10753" width="5.796875" style="49" customWidth="1"/>
    <col min="10754" max="10754" width="22.296875" style="49" customWidth="1"/>
    <col min="10755" max="10755" width="13" style="49" customWidth="1"/>
    <col min="10756" max="10756" width="11" style="49" customWidth="1"/>
    <col min="10757" max="10757" width="15.5" style="49" customWidth="1"/>
    <col min="10758" max="10758" width="11.19921875" style="49" customWidth="1"/>
    <col min="10759" max="10759" width="13.296875" style="49" customWidth="1"/>
    <col min="10760" max="10761" width="14" style="49" customWidth="1"/>
    <col min="10762" max="10762" width="13.296875" style="49" customWidth="1"/>
    <col min="10763" max="10763" width="12.296875" style="49" customWidth="1"/>
    <col min="10764" max="10764" width="14.296875" style="49" customWidth="1"/>
    <col min="10765" max="10765" width="15.19921875" style="49" customWidth="1"/>
    <col min="10766" max="11008" width="9.296875" style="49"/>
    <col min="11009" max="11009" width="5.796875" style="49" customWidth="1"/>
    <col min="11010" max="11010" width="22.296875" style="49" customWidth="1"/>
    <col min="11011" max="11011" width="13" style="49" customWidth="1"/>
    <col min="11012" max="11012" width="11" style="49" customWidth="1"/>
    <col min="11013" max="11013" width="15.5" style="49" customWidth="1"/>
    <col min="11014" max="11014" width="11.19921875" style="49" customWidth="1"/>
    <col min="11015" max="11015" width="13.296875" style="49" customWidth="1"/>
    <col min="11016" max="11017" width="14" style="49" customWidth="1"/>
    <col min="11018" max="11018" width="13.296875" style="49" customWidth="1"/>
    <col min="11019" max="11019" width="12.296875" style="49" customWidth="1"/>
    <col min="11020" max="11020" width="14.296875" style="49" customWidth="1"/>
    <col min="11021" max="11021" width="15.19921875" style="49" customWidth="1"/>
    <col min="11022" max="11264" width="9.296875" style="49"/>
    <col min="11265" max="11265" width="5.796875" style="49" customWidth="1"/>
    <col min="11266" max="11266" width="22.296875" style="49" customWidth="1"/>
    <col min="11267" max="11267" width="13" style="49" customWidth="1"/>
    <col min="11268" max="11268" width="11" style="49" customWidth="1"/>
    <col min="11269" max="11269" width="15.5" style="49" customWidth="1"/>
    <col min="11270" max="11270" width="11.19921875" style="49" customWidth="1"/>
    <col min="11271" max="11271" width="13.296875" style="49" customWidth="1"/>
    <col min="11272" max="11273" width="14" style="49" customWidth="1"/>
    <col min="11274" max="11274" width="13.296875" style="49" customWidth="1"/>
    <col min="11275" max="11275" width="12.296875" style="49" customWidth="1"/>
    <col min="11276" max="11276" width="14.296875" style="49" customWidth="1"/>
    <col min="11277" max="11277" width="15.19921875" style="49" customWidth="1"/>
    <col min="11278" max="11520" width="9.296875" style="49"/>
    <col min="11521" max="11521" width="5.796875" style="49" customWidth="1"/>
    <col min="11522" max="11522" width="22.296875" style="49" customWidth="1"/>
    <col min="11523" max="11523" width="13" style="49" customWidth="1"/>
    <col min="11524" max="11524" width="11" style="49" customWidth="1"/>
    <col min="11525" max="11525" width="15.5" style="49" customWidth="1"/>
    <col min="11526" max="11526" width="11.19921875" style="49" customWidth="1"/>
    <col min="11527" max="11527" width="13.296875" style="49" customWidth="1"/>
    <col min="11528" max="11529" width="14" style="49" customWidth="1"/>
    <col min="11530" max="11530" width="13.296875" style="49" customWidth="1"/>
    <col min="11531" max="11531" width="12.296875" style="49" customWidth="1"/>
    <col min="11532" max="11532" width="14.296875" style="49" customWidth="1"/>
    <col min="11533" max="11533" width="15.19921875" style="49" customWidth="1"/>
    <col min="11534" max="11776" width="9.296875" style="49"/>
    <col min="11777" max="11777" width="5.796875" style="49" customWidth="1"/>
    <col min="11778" max="11778" width="22.296875" style="49" customWidth="1"/>
    <col min="11779" max="11779" width="13" style="49" customWidth="1"/>
    <col min="11780" max="11780" width="11" style="49" customWidth="1"/>
    <col min="11781" max="11781" width="15.5" style="49" customWidth="1"/>
    <col min="11782" max="11782" width="11.19921875" style="49" customWidth="1"/>
    <col min="11783" max="11783" width="13.296875" style="49" customWidth="1"/>
    <col min="11784" max="11785" width="14" style="49" customWidth="1"/>
    <col min="11786" max="11786" width="13.296875" style="49" customWidth="1"/>
    <col min="11787" max="11787" width="12.296875" style="49" customWidth="1"/>
    <col min="11788" max="11788" width="14.296875" style="49" customWidth="1"/>
    <col min="11789" max="11789" width="15.19921875" style="49" customWidth="1"/>
    <col min="11790" max="12032" width="9.296875" style="49"/>
    <col min="12033" max="12033" width="5.796875" style="49" customWidth="1"/>
    <col min="12034" max="12034" width="22.296875" style="49" customWidth="1"/>
    <col min="12035" max="12035" width="13" style="49" customWidth="1"/>
    <col min="12036" max="12036" width="11" style="49" customWidth="1"/>
    <col min="12037" max="12037" width="15.5" style="49" customWidth="1"/>
    <col min="12038" max="12038" width="11.19921875" style="49" customWidth="1"/>
    <col min="12039" max="12039" width="13.296875" style="49" customWidth="1"/>
    <col min="12040" max="12041" width="14" style="49" customWidth="1"/>
    <col min="12042" max="12042" width="13.296875" style="49" customWidth="1"/>
    <col min="12043" max="12043" width="12.296875" style="49" customWidth="1"/>
    <col min="12044" max="12044" width="14.296875" style="49" customWidth="1"/>
    <col min="12045" max="12045" width="15.19921875" style="49" customWidth="1"/>
    <col min="12046" max="12288" width="9.296875" style="49"/>
    <col min="12289" max="12289" width="5.796875" style="49" customWidth="1"/>
    <col min="12290" max="12290" width="22.296875" style="49" customWidth="1"/>
    <col min="12291" max="12291" width="13" style="49" customWidth="1"/>
    <col min="12292" max="12292" width="11" style="49" customWidth="1"/>
    <col min="12293" max="12293" width="15.5" style="49" customWidth="1"/>
    <col min="12294" max="12294" width="11.19921875" style="49" customWidth="1"/>
    <col min="12295" max="12295" width="13.296875" style="49" customWidth="1"/>
    <col min="12296" max="12297" width="14" style="49" customWidth="1"/>
    <col min="12298" max="12298" width="13.296875" style="49" customWidth="1"/>
    <col min="12299" max="12299" width="12.296875" style="49" customWidth="1"/>
    <col min="12300" max="12300" width="14.296875" style="49" customWidth="1"/>
    <col min="12301" max="12301" width="15.19921875" style="49" customWidth="1"/>
    <col min="12302" max="12544" width="9.296875" style="49"/>
    <col min="12545" max="12545" width="5.796875" style="49" customWidth="1"/>
    <col min="12546" max="12546" width="22.296875" style="49" customWidth="1"/>
    <col min="12547" max="12547" width="13" style="49" customWidth="1"/>
    <col min="12548" max="12548" width="11" style="49" customWidth="1"/>
    <col min="12549" max="12549" width="15.5" style="49" customWidth="1"/>
    <col min="12550" max="12550" width="11.19921875" style="49" customWidth="1"/>
    <col min="12551" max="12551" width="13.296875" style="49" customWidth="1"/>
    <col min="12552" max="12553" width="14" style="49" customWidth="1"/>
    <col min="12554" max="12554" width="13.296875" style="49" customWidth="1"/>
    <col min="12555" max="12555" width="12.296875" style="49" customWidth="1"/>
    <col min="12556" max="12556" width="14.296875" style="49" customWidth="1"/>
    <col min="12557" max="12557" width="15.19921875" style="49" customWidth="1"/>
    <col min="12558" max="12800" width="9.296875" style="49"/>
    <col min="12801" max="12801" width="5.796875" style="49" customWidth="1"/>
    <col min="12802" max="12802" width="22.296875" style="49" customWidth="1"/>
    <col min="12803" max="12803" width="13" style="49" customWidth="1"/>
    <col min="12804" max="12804" width="11" style="49" customWidth="1"/>
    <col min="12805" max="12805" width="15.5" style="49" customWidth="1"/>
    <col min="12806" max="12806" width="11.19921875" style="49" customWidth="1"/>
    <col min="12807" max="12807" width="13.296875" style="49" customWidth="1"/>
    <col min="12808" max="12809" width="14" style="49" customWidth="1"/>
    <col min="12810" max="12810" width="13.296875" style="49" customWidth="1"/>
    <col min="12811" max="12811" width="12.296875" style="49" customWidth="1"/>
    <col min="12812" max="12812" width="14.296875" style="49" customWidth="1"/>
    <col min="12813" max="12813" width="15.19921875" style="49" customWidth="1"/>
    <col min="12814" max="13056" width="9.296875" style="49"/>
    <col min="13057" max="13057" width="5.796875" style="49" customWidth="1"/>
    <col min="13058" max="13058" width="22.296875" style="49" customWidth="1"/>
    <col min="13059" max="13059" width="13" style="49" customWidth="1"/>
    <col min="13060" max="13060" width="11" style="49" customWidth="1"/>
    <col min="13061" max="13061" width="15.5" style="49" customWidth="1"/>
    <col min="13062" max="13062" width="11.19921875" style="49" customWidth="1"/>
    <col min="13063" max="13063" width="13.296875" style="49" customWidth="1"/>
    <col min="13064" max="13065" width="14" style="49" customWidth="1"/>
    <col min="13066" max="13066" width="13.296875" style="49" customWidth="1"/>
    <col min="13067" max="13067" width="12.296875" style="49" customWidth="1"/>
    <col min="13068" max="13068" width="14.296875" style="49" customWidth="1"/>
    <col min="13069" max="13069" width="15.19921875" style="49" customWidth="1"/>
    <col min="13070" max="13312" width="9.296875" style="49"/>
    <col min="13313" max="13313" width="5.796875" style="49" customWidth="1"/>
    <col min="13314" max="13314" width="22.296875" style="49" customWidth="1"/>
    <col min="13315" max="13315" width="13" style="49" customWidth="1"/>
    <col min="13316" max="13316" width="11" style="49" customWidth="1"/>
    <col min="13317" max="13317" width="15.5" style="49" customWidth="1"/>
    <col min="13318" max="13318" width="11.19921875" style="49" customWidth="1"/>
    <col min="13319" max="13319" width="13.296875" style="49" customWidth="1"/>
    <col min="13320" max="13321" width="14" style="49" customWidth="1"/>
    <col min="13322" max="13322" width="13.296875" style="49" customWidth="1"/>
    <col min="13323" max="13323" width="12.296875" style="49" customWidth="1"/>
    <col min="13324" max="13324" width="14.296875" style="49" customWidth="1"/>
    <col min="13325" max="13325" width="15.19921875" style="49" customWidth="1"/>
    <col min="13326" max="13568" width="9.296875" style="49"/>
    <col min="13569" max="13569" width="5.796875" style="49" customWidth="1"/>
    <col min="13570" max="13570" width="22.296875" style="49" customWidth="1"/>
    <col min="13571" max="13571" width="13" style="49" customWidth="1"/>
    <col min="13572" max="13572" width="11" style="49" customWidth="1"/>
    <col min="13573" max="13573" width="15.5" style="49" customWidth="1"/>
    <col min="13574" max="13574" width="11.19921875" style="49" customWidth="1"/>
    <col min="13575" max="13575" width="13.296875" style="49" customWidth="1"/>
    <col min="13576" max="13577" width="14" style="49" customWidth="1"/>
    <col min="13578" max="13578" width="13.296875" style="49" customWidth="1"/>
    <col min="13579" max="13579" width="12.296875" style="49" customWidth="1"/>
    <col min="13580" max="13580" width="14.296875" style="49" customWidth="1"/>
    <col min="13581" max="13581" width="15.19921875" style="49" customWidth="1"/>
    <col min="13582" max="13824" width="9.296875" style="49"/>
    <col min="13825" max="13825" width="5.796875" style="49" customWidth="1"/>
    <col min="13826" max="13826" width="22.296875" style="49" customWidth="1"/>
    <col min="13827" max="13827" width="13" style="49" customWidth="1"/>
    <col min="13828" max="13828" width="11" style="49" customWidth="1"/>
    <col min="13829" max="13829" width="15.5" style="49" customWidth="1"/>
    <col min="13830" max="13830" width="11.19921875" style="49" customWidth="1"/>
    <col min="13831" max="13831" width="13.296875" style="49" customWidth="1"/>
    <col min="13832" max="13833" width="14" style="49" customWidth="1"/>
    <col min="13834" max="13834" width="13.296875" style="49" customWidth="1"/>
    <col min="13835" max="13835" width="12.296875" style="49" customWidth="1"/>
    <col min="13836" max="13836" width="14.296875" style="49" customWidth="1"/>
    <col min="13837" max="13837" width="15.19921875" style="49" customWidth="1"/>
    <col min="13838" max="14080" width="9.296875" style="49"/>
    <col min="14081" max="14081" width="5.796875" style="49" customWidth="1"/>
    <col min="14082" max="14082" width="22.296875" style="49" customWidth="1"/>
    <col min="14083" max="14083" width="13" style="49" customWidth="1"/>
    <col min="14084" max="14084" width="11" style="49" customWidth="1"/>
    <col min="14085" max="14085" width="15.5" style="49" customWidth="1"/>
    <col min="14086" max="14086" width="11.19921875" style="49" customWidth="1"/>
    <col min="14087" max="14087" width="13.296875" style="49" customWidth="1"/>
    <col min="14088" max="14089" width="14" style="49" customWidth="1"/>
    <col min="14090" max="14090" width="13.296875" style="49" customWidth="1"/>
    <col min="14091" max="14091" width="12.296875" style="49" customWidth="1"/>
    <col min="14092" max="14092" width="14.296875" style="49" customWidth="1"/>
    <col min="14093" max="14093" width="15.19921875" style="49" customWidth="1"/>
    <col min="14094" max="14336" width="9.296875" style="49"/>
    <col min="14337" max="14337" width="5.796875" style="49" customWidth="1"/>
    <col min="14338" max="14338" width="22.296875" style="49" customWidth="1"/>
    <col min="14339" max="14339" width="13" style="49" customWidth="1"/>
    <col min="14340" max="14340" width="11" style="49" customWidth="1"/>
    <col min="14341" max="14341" width="15.5" style="49" customWidth="1"/>
    <col min="14342" max="14342" width="11.19921875" style="49" customWidth="1"/>
    <col min="14343" max="14343" width="13.296875" style="49" customWidth="1"/>
    <col min="14344" max="14345" width="14" style="49" customWidth="1"/>
    <col min="14346" max="14346" width="13.296875" style="49" customWidth="1"/>
    <col min="14347" max="14347" width="12.296875" style="49" customWidth="1"/>
    <col min="14348" max="14348" width="14.296875" style="49" customWidth="1"/>
    <col min="14349" max="14349" width="15.19921875" style="49" customWidth="1"/>
    <col min="14350" max="14592" width="9.296875" style="49"/>
    <col min="14593" max="14593" width="5.796875" style="49" customWidth="1"/>
    <col min="14594" max="14594" width="22.296875" style="49" customWidth="1"/>
    <col min="14595" max="14595" width="13" style="49" customWidth="1"/>
    <col min="14596" max="14596" width="11" style="49" customWidth="1"/>
    <col min="14597" max="14597" width="15.5" style="49" customWidth="1"/>
    <col min="14598" max="14598" width="11.19921875" style="49" customWidth="1"/>
    <col min="14599" max="14599" width="13.296875" style="49" customWidth="1"/>
    <col min="14600" max="14601" width="14" style="49" customWidth="1"/>
    <col min="14602" max="14602" width="13.296875" style="49" customWidth="1"/>
    <col min="14603" max="14603" width="12.296875" style="49" customWidth="1"/>
    <col min="14604" max="14604" width="14.296875" style="49" customWidth="1"/>
    <col min="14605" max="14605" width="15.19921875" style="49" customWidth="1"/>
    <col min="14606" max="14848" width="9.296875" style="49"/>
    <col min="14849" max="14849" width="5.796875" style="49" customWidth="1"/>
    <col min="14850" max="14850" width="22.296875" style="49" customWidth="1"/>
    <col min="14851" max="14851" width="13" style="49" customWidth="1"/>
    <col min="14852" max="14852" width="11" style="49" customWidth="1"/>
    <col min="14853" max="14853" width="15.5" style="49" customWidth="1"/>
    <col min="14854" max="14854" width="11.19921875" style="49" customWidth="1"/>
    <col min="14855" max="14855" width="13.296875" style="49" customWidth="1"/>
    <col min="14856" max="14857" width="14" style="49" customWidth="1"/>
    <col min="14858" max="14858" width="13.296875" style="49" customWidth="1"/>
    <col min="14859" max="14859" width="12.296875" style="49" customWidth="1"/>
    <col min="14860" max="14860" width="14.296875" style="49" customWidth="1"/>
    <col min="14861" max="14861" width="15.19921875" style="49" customWidth="1"/>
    <col min="14862" max="15104" width="9.296875" style="49"/>
    <col min="15105" max="15105" width="5.796875" style="49" customWidth="1"/>
    <col min="15106" max="15106" width="22.296875" style="49" customWidth="1"/>
    <col min="15107" max="15107" width="13" style="49" customWidth="1"/>
    <col min="15108" max="15108" width="11" style="49" customWidth="1"/>
    <col min="15109" max="15109" width="15.5" style="49" customWidth="1"/>
    <col min="15110" max="15110" width="11.19921875" style="49" customWidth="1"/>
    <col min="15111" max="15111" width="13.296875" style="49" customWidth="1"/>
    <col min="15112" max="15113" width="14" style="49" customWidth="1"/>
    <col min="15114" max="15114" width="13.296875" style="49" customWidth="1"/>
    <col min="15115" max="15115" width="12.296875" style="49" customWidth="1"/>
    <col min="15116" max="15116" width="14.296875" style="49" customWidth="1"/>
    <col min="15117" max="15117" width="15.19921875" style="49" customWidth="1"/>
    <col min="15118" max="15360" width="9.296875" style="49"/>
    <col min="15361" max="15361" width="5.796875" style="49" customWidth="1"/>
    <col min="15362" max="15362" width="22.296875" style="49" customWidth="1"/>
    <col min="15363" max="15363" width="13" style="49" customWidth="1"/>
    <col min="15364" max="15364" width="11" style="49" customWidth="1"/>
    <col min="15365" max="15365" width="15.5" style="49" customWidth="1"/>
    <col min="15366" max="15366" width="11.19921875" style="49" customWidth="1"/>
    <col min="15367" max="15367" width="13.296875" style="49" customWidth="1"/>
    <col min="15368" max="15369" width="14" style="49" customWidth="1"/>
    <col min="15370" max="15370" width="13.296875" style="49" customWidth="1"/>
    <col min="15371" max="15371" width="12.296875" style="49" customWidth="1"/>
    <col min="15372" max="15372" width="14.296875" style="49" customWidth="1"/>
    <col min="15373" max="15373" width="15.19921875" style="49" customWidth="1"/>
    <col min="15374" max="15616" width="9.296875" style="49"/>
    <col min="15617" max="15617" width="5.796875" style="49" customWidth="1"/>
    <col min="15618" max="15618" width="22.296875" style="49" customWidth="1"/>
    <col min="15619" max="15619" width="13" style="49" customWidth="1"/>
    <col min="15620" max="15620" width="11" style="49" customWidth="1"/>
    <col min="15621" max="15621" width="15.5" style="49" customWidth="1"/>
    <col min="15622" max="15622" width="11.19921875" style="49" customWidth="1"/>
    <col min="15623" max="15623" width="13.296875" style="49" customWidth="1"/>
    <col min="15624" max="15625" width="14" style="49" customWidth="1"/>
    <col min="15626" max="15626" width="13.296875" style="49" customWidth="1"/>
    <col min="15627" max="15627" width="12.296875" style="49" customWidth="1"/>
    <col min="15628" max="15628" width="14.296875" style="49" customWidth="1"/>
    <col min="15629" max="15629" width="15.19921875" style="49" customWidth="1"/>
    <col min="15630" max="15872" width="9.296875" style="49"/>
    <col min="15873" max="15873" width="5.796875" style="49" customWidth="1"/>
    <col min="15874" max="15874" width="22.296875" style="49" customWidth="1"/>
    <col min="15875" max="15875" width="13" style="49" customWidth="1"/>
    <col min="15876" max="15876" width="11" style="49" customWidth="1"/>
    <col min="15877" max="15877" width="15.5" style="49" customWidth="1"/>
    <col min="15878" max="15878" width="11.19921875" style="49" customWidth="1"/>
    <col min="15879" max="15879" width="13.296875" style="49" customWidth="1"/>
    <col min="15880" max="15881" width="14" style="49" customWidth="1"/>
    <col min="15882" max="15882" width="13.296875" style="49" customWidth="1"/>
    <col min="15883" max="15883" width="12.296875" style="49" customWidth="1"/>
    <col min="15884" max="15884" width="14.296875" style="49" customWidth="1"/>
    <col min="15885" max="15885" width="15.19921875" style="49" customWidth="1"/>
    <col min="15886" max="16128" width="9.296875" style="49"/>
    <col min="16129" max="16129" width="5.796875" style="49" customWidth="1"/>
    <col min="16130" max="16130" width="22.296875" style="49" customWidth="1"/>
    <col min="16131" max="16131" width="13" style="49" customWidth="1"/>
    <col min="16132" max="16132" width="11" style="49" customWidth="1"/>
    <col min="16133" max="16133" width="15.5" style="49" customWidth="1"/>
    <col min="16134" max="16134" width="11.19921875" style="49" customWidth="1"/>
    <col min="16135" max="16135" width="13.296875" style="49" customWidth="1"/>
    <col min="16136" max="16137" width="14" style="49" customWidth="1"/>
    <col min="16138" max="16138" width="13.296875" style="49" customWidth="1"/>
    <col min="16139" max="16139" width="12.296875" style="49" customWidth="1"/>
    <col min="16140" max="16140" width="14.296875" style="49" customWidth="1"/>
    <col min="16141" max="16141" width="15.19921875" style="49" customWidth="1"/>
    <col min="16142" max="16384" width="9.296875" style="49"/>
  </cols>
  <sheetData>
    <row r="1" spans="1:13" ht="33" customHeight="1" x14ac:dyDescent="0.3">
      <c r="A1" s="885" t="s">
        <v>519</v>
      </c>
      <c r="B1" s="886"/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</row>
    <row r="2" spans="1:13" ht="14" x14ac:dyDescent="0.3">
      <c r="A2" s="50"/>
      <c r="B2" s="51"/>
      <c r="C2" s="51"/>
      <c r="D2" s="52"/>
      <c r="E2" s="53"/>
      <c r="F2" s="53"/>
      <c r="G2" s="54"/>
      <c r="H2" s="54"/>
      <c r="I2" s="53"/>
    </row>
    <row r="3" spans="1:13" ht="14" x14ac:dyDescent="0.3">
      <c r="A3" s="50"/>
      <c r="B3" s="55"/>
      <c r="C3" s="55"/>
      <c r="D3" s="56"/>
      <c r="E3" s="52"/>
      <c r="F3" s="52"/>
      <c r="G3" s="52"/>
      <c r="H3" s="52"/>
      <c r="I3" s="52"/>
      <c r="K3" s="887" t="s">
        <v>420</v>
      </c>
      <c r="L3" s="887"/>
      <c r="M3" s="887"/>
    </row>
    <row r="4" spans="1:13" s="57" customFormat="1" ht="75.75" customHeight="1" x14ac:dyDescent="0.3">
      <c r="A4" s="396" t="s">
        <v>404</v>
      </c>
      <c r="B4" s="396" t="s">
        <v>449</v>
      </c>
      <c r="C4" s="396" t="s">
        <v>450</v>
      </c>
      <c r="D4" s="396" t="s">
        <v>460</v>
      </c>
      <c r="E4" s="396" t="s">
        <v>206</v>
      </c>
      <c r="F4" s="396" t="s">
        <v>461</v>
      </c>
      <c r="G4" s="397" t="s">
        <v>210</v>
      </c>
      <c r="H4" s="397" t="s">
        <v>462</v>
      </c>
      <c r="I4" s="397" t="s">
        <v>231</v>
      </c>
      <c r="J4" s="398" t="s">
        <v>233</v>
      </c>
      <c r="K4" s="208" t="s">
        <v>235</v>
      </c>
      <c r="L4" s="398" t="s">
        <v>463</v>
      </c>
      <c r="M4" s="208" t="s">
        <v>464</v>
      </c>
    </row>
    <row r="5" spans="1:13" ht="65.25" customHeight="1" x14ac:dyDescent="0.3">
      <c r="A5" s="399" t="s">
        <v>10</v>
      </c>
      <c r="B5" s="400" t="s">
        <v>456</v>
      </c>
      <c r="C5" s="401" t="s">
        <v>457</v>
      </c>
      <c r="D5" s="417">
        <v>165241715</v>
      </c>
      <c r="E5" s="418">
        <v>38887585</v>
      </c>
      <c r="F5" s="418">
        <v>49162000</v>
      </c>
      <c r="G5" s="419"/>
      <c r="H5" s="419"/>
      <c r="I5" s="418">
        <v>3429000</v>
      </c>
      <c r="J5" s="443"/>
      <c r="K5" s="443"/>
      <c r="L5" s="443"/>
      <c r="M5" s="444">
        <f>SUM(D5:L5)</f>
        <v>256720300</v>
      </c>
    </row>
    <row r="6" spans="1:13" s="58" customFormat="1" ht="65.25" customHeight="1" x14ac:dyDescent="0.35">
      <c r="A6" s="396" t="s">
        <v>13</v>
      </c>
      <c r="B6" s="406" t="s">
        <v>798</v>
      </c>
      <c r="C6" s="407"/>
      <c r="D6" s="420">
        <v>172420749</v>
      </c>
      <c r="E6" s="420">
        <v>39255525</v>
      </c>
      <c r="F6" s="420">
        <v>47728310</v>
      </c>
      <c r="G6" s="420">
        <v>0</v>
      </c>
      <c r="H6" s="420">
        <f t="shared" ref="H6:L6" si="0">H7-H5</f>
        <v>0</v>
      </c>
      <c r="I6" s="420">
        <v>3395181</v>
      </c>
      <c r="J6" s="420">
        <f t="shared" si="0"/>
        <v>0</v>
      </c>
      <c r="K6" s="420">
        <f t="shared" si="0"/>
        <v>0</v>
      </c>
      <c r="L6" s="420">
        <f t="shared" si="0"/>
        <v>0</v>
      </c>
      <c r="M6" s="446">
        <f t="shared" ref="M6:M7" si="1">SUM(D6:L6)</f>
        <v>262799765</v>
      </c>
    </row>
    <row r="7" spans="1:13" s="58" customFormat="1" ht="65.25" customHeight="1" x14ac:dyDescent="0.35">
      <c r="A7" s="396" t="s">
        <v>16</v>
      </c>
      <c r="B7" s="406" t="s">
        <v>826</v>
      </c>
      <c r="C7" s="407"/>
      <c r="D7" s="420">
        <v>171433911</v>
      </c>
      <c r="E7" s="421">
        <v>38344848</v>
      </c>
      <c r="F7" s="421">
        <v>40894697</v>
      </c>
      <c r="G7" s="422">
        <v>0</v>
      </c>
      <c r="H7" s="422"/>
      <c r="I7" s="421">
        <v>2113328</v>
      </c>
      <c r="J7" s="445"/>
      <c r="K7" s="445"/>
      <c r="L7" s="445"/>
      <c r="M7" s="446">
        <f t="shared" si="1"/>
        <v>252786784</v>
      </c>
    </row>
    <row r="8" spans="1:13" ht="33.75" customHeight="1" x14ac:dyDescent="0.3">
      <c r="A8" s="399" t="s">
        <v>19</v>
      </c>
      <c r="B8" s="400" t="s">
        <v>752</v>
      </c>
      <c r="C8" s="401" t="s">
        <v>751</v>
      </c>
      <c r="D8" s="417">
        <v>8909833</v>
      </c>
      <c r="E8" s="418">
        <v>2335439</v>
      </c>
      <c r="F8" s="418">
        <v>2280000</v>
      </c>
      <c r="G8" s="419"/>
      <c r="H8" s="419"/>
      <c r="I8" s="418"/>
      <c r="J8" s="443"/>
      <c r="K8" s="443"/>
      <c r="L8" s="443"/>
      <c r="M8" s="444">
        <f t="shared" ref="M8:M16" si="2">SUM(D8:L8)</f>
        <v>13525272</v>
      </c>
    </row>
    <row r="9" spans="1:13" s="58" customFormat="1" ht="65.25" customHeight="1" x14ac:dyDescent="0.35">
      <c r="A9" s="396" t="s">
        <v>22</v>
      </c>
      <c r="B9" s="406" t="s">
        <v>798</v>
      </c>
      <c r="C9" s="407"/>
      <c r="D9" s="420">
        <v>8907702</v>
      </c>
      <c r="E9" s="420">
        <v>2397105</v>
      </c>
      <c r="F9" s="420">
        <v>1365987</v>
      </c>
      <c r="G9" s="420">
        <v>0</v>
      </c>
      <c r="H9" s="420">
        <f t="shared" ref="H9:L9" si="3">H10-H8</f>
        <v>0</v>
      </c>
      <c r="I9" s="420">
        <f t="shared" si="3"/>
        <v>0</v>
      </c>
      <c r="J9" s="420">
        <f t="shared" si="3"/>
        <v>0</v>
      </c>
      <c r="K9" s="420">
        <f t="shared" si="3"/>
        <v>0</v>
      </c>
      <c r="L9" s="420">
        <f t="shared" si="3"/>
        <v>0</v>
      </c>
      <c r="M9" s="446">
        <f t="shared" si="2"/>
        <v>12670794</v>
      </c>
    </row>
    <row r="10" spans="1:13" s="58" customFormat="1" ht="65.25" customHeight="1" x14ac:dyDescent="0.35">
      <c r="A10" s="396" t="s">
        <v>25</v>
      </c>
      <c r="B10" s="406" t="s">
        <v>826</v>
      </c>
      <c r="C10" s="407"/>
      <c r="D10" s="420">
        <v>8883664</v>
      </c>
      <c r="E10" s="421">
        <v>2003448</v>
      </c>
      <c r="F10" s="421">
        <v>1016829</v>
      </c>
      <c r="G10" s="422">
        <v>0</v>
      </c>
      <c r="H10" s="422"/>
      <c r="I10" s="421"/>
      <c r="J10" s="445"/>
      <c r="K10" s="445"/>
      <c r="L10" s="445"/>
      <c r="M10" s="446">
        <f t="shared" si="2"/>
        <v>11903941</v>
      </c>
    </row>
    <row r="11" spans="1:13" ht="31.5" customHeight="1" x14ac:dyDescent="0.3">
      <c r="A11" s="399" t="s">
        <v>37</v>
      </c>
      <c r="B11" s="400" t="s">
        <v>755</v>
      </c>
      <c r="C11" s="401" t="s">
        <v>753</v>
      </c>
      <c r="D11" s="417">
        <v>5883261</v>
      </c>
      <c r="E11" s="418">
        <v>1510522</v>
      </c>
      <c r="F11" s="418">
        <v>1020000</v>
      </c>
      <c r="G11" s="419"/>
      <c r="H11" s="419"/>
      <c r="I11" s="418">
        <v>635000</v>
      </c>
      <c r="J11" s="443"/>
      <c r="K11" s="443"/>
      <c r="L11" s="443"/>
      <c r="M11" s="444">
        <f t="shared" si="2"/>
        <v>9048783</v>
      </c>
    </row>
    <row r="12" spans="1:13" s="58" customFormat="1" ht="65.25" customHeight="1" x14ac:dyDescent="0.35">
      <c r="A12" s="396" t="s">
        <v>39</v>
      </c>
      <c r="B12" s="406" t="s">
        <v>798</v>
      </c>
      <c r="C12" s="407"/>
      <c r="D12" s="420">
        <v>6079952</v>
      </c>
      <c r="E12" s="420">
        <v>1548802</v>
      </c>
      <c r="F12" s="420">
        <v>1096064</v>
      </c>
      <c r="G12" s="420">
        <v>0</v>
      </c>
      <c r="H12" s="420">
        <f t="shared" ref="H12:L12" si="4">H13-H11</f>
        <v>0</v>
      </c>
      <c r="I12" s="420">
        <v>561633</v>
      </c>
      <c r="J12" s="420">
        <f t="shared" si="4"/>
        <v>0</v>
      </c>
      <c r="K12" s="420">
        <f t="shared" si="4"/>
        <v>0</v>
      </c>
      <c r="L12" s="420">
        <f t="shared" si="4"/>
        <v>0</v>
      </c>
      <c r="M12" s="446">
        <f t="shared" si="2"/>
        <v>9286451</v>
      </c>
    </row>
    <row r="13" spans="1:13" s="58" customFormat="1" ht="65.25" customHeight="1" x14ac:dyDescent="0.35">
      <c r="A13" s="396" t="s">
        <v>41</v>
      </c>
      <c r="B13" s="406" t="s">
        <v>826</v>
      </c>
      <c r="C13" s="407"/>
      <c r="D13" s="420">
        <v>5965360</v>
      </c>
      <c r="E13" s="421">
        <v>1501625</v>
      </c>
      <c r="F13" s="421">
        <v>858159</v>
      </c>
      <c r="G13" s="422">
        <v>0</v>
      </c>
      <c r="H13" s="422"/>
      <c r="I13" s="421">
        <v>300000</v>
      </c>
      <c r="J13" s="445"/>
      <c r="K13" s="445"/>
      <c r="L13" s="445"/>
      <c r="M13" s="446">
        <f t="shared" si="2"/>
        <v>8625144</v>
      </c>
    </row>
    <row r="14" spans="1:13" ht="43.5" customHeight="1" x14ac:dyDescent="0.3">
      <c r="A14" s="399" t="s">
        <v>43</v>
      </c>
      <c r="B14" s="400" t="s">
        <v>756</v>
      </c>
      <c r="C14" s="401" t="s">
        <v>754</v>
      </c>
      <c r="D14" s="417"/>
      <c r="E14" s="418"/>
      <c r="F14" s="418"/>
      <c r="G14" s="419">
        <v>677160</v>
      </c>
      <c r="H14" s="419"/>
      <c r="I14" s="418"/>
      <c r="J14" s="443"/>
      <c r="K14" s="443"/>
      <c r="L14" s="405"/>
      <c r="M14" s="444">
        <f t="shared" si="2"/>
        <v>677160</v>
      </c>
    </row>
    <row r="15" spans="1:13" s="58" customFormat="1" ht="65.25" customHeight="1" x14ac:dyDescent="0.35">
      <c r="A15" s="396" t="s">
        <v>45</v>
      </c>
      <c r="B15" s="406" t="s">
        <v>798</v>
      </c>
      <c r="C15" s="407"/>
      <c r="D15" s="420"/>
      <c r="E15" s="421"/>
      <c r="F15" s="421"/>
      <c r="G15" s="422">
        <v>13118860</v>
      </c>
      <c r="H15" s="422"/>
      <c r="I15" s="421"/>
      <c r="J15" s="445"/>
      <c r="K15" s="445"/>
      <c r="L15" s="445"/>
      <c r="M15" s="446">
        <f t="shared" si="2"/>
        <v>13118860</v>
      </c>
    </row>
    <row r="16" spans="1:13" s="58" customFormat="1" ht="65.25" customHeight="1" x14ac:dyDescent="0.35">
      <c r="A16" s="396" t="s">
        <v>47</v>
      </c>
      <c r="B16" s="406" t="s">
        <v>826</v>
      </c>
      <c r="C16" s="407"/>
      <c r="D16" s="420"/>
      <c r="E16" s="421"/>
      <c r="F16" s="421"/>
      <c r="G16" s="422">
        <v>13118860</v>
      </c>
      <c r="H16" s="422"/>
      <c r="I16" s="421"/>
      <c r="J16" s="445"/>
      <c r="K16" s="445"/>
      <c r="L16" s="445"/>
      <c r="M16" s="446">
        <f t="shared" si="2"/>
        <v>13118860</v>
      </c>
    </row>
    <row r="17" spans="1:13" s="58" customFormat="1" ht="33" customHeight="1" x14ac:dyDescent="0.35">
      <c r="A17" s="399" t="s">
        <v>49</v>
      </c>
      <c r="B17" s="412" t="s">
        <v>835</v>
      </c>
      <c r="C17" s="413"/>
      <c r="D17" s="420">
        <f>D16+D13+D10+D7</f>
        <v>186282935</v>
      </c>
      <c r="E17" s="420">
        <f t="shared" ref="E17:M17" si="5">E16+E13+E10+E7</f>
        <v>41849921</v>
      </c>
      <c r="F17" s="420">
        <f t="shared" si="5"/>
        <v>42769685</v>
      </c>
      <c r="G17" s="420">
        <f t="shared" si="5"/>
        <v>13118860</v>
      </c>
      <c r="H17" s="420">
        <f t="shared" si="5"/>
        <v>0</v>
      </c>
      <c r="I17" s="420">
        <f t="shared" si="5"/>
        <v>2413328</v>
      </c>
      <c r="J17" s="420">
        <f t="shared" si="5"/>
        <v>0</v>
      </c>
      <c r="K17" s="420">
        <f t="shared" si="5"/>
        <v>0</v>
      </c>
      <c r="L17" s="420">
        <f t="shared" si="5"/>
        <v>0</v>
      </c>
      <c r="M17" s="420">
        <f t="shared" si="5"/>
        <v>286434729</v>
      </c>
    </row>
    <row r="18" spans="1:13" s="573" customFormat="1" ht="21" customHeight="1" x14ac:dyDescent="0.3">
      <c r="A18" s="396" t="s">
        <v>51</v>
      </c>
      <c r="B18" s="574" t="s">
        <v>836</v>
      </c>
      <c r="C18" s="574"/>
      <c r="D18" s="575">
        <f>D6+D9+D12+D15</f>
        <v>187408403</v>
      </c>
      <c r="E18" s="575">
        <f t="shared" ref="E18:M18" si="6">E6+E9+E12+E15</f>
        <v>43201432</v>
      </c>
      <c r="F18" s="575">
        <f t="shared" si="6"/>
        <v>50190361</v>
      </c>
      <c r="G18" s="575">
        <f t="shared" si="6"/>
        <v>13118860</v>
      </c>
      <c r="H18" s="575">
        <f t="shared" si="6"/>
        <v>0</v>
      </c>
      <c r="I18" s="422">
        <f t="shared" si="6"/>
        <v>3956814</v>
      </c>
      <c r="J18" s="422">
        <f t="shared" si="6"/>
        <v>0</v>
      </c>
      <c r="K18" s="422">
        <f t="shared" si="6"/>
        <v>0</v>
      </c>
      <c r="L18" s="422">
        <f t="shared" si="6"/>
        <v>0</v>
      </c>
      <c r="M18" s="422">
        <f t="shared" si="6"/>
        <v>297875870</v>
      </c>
    </row>
    <row r="19" spans="1:13" ht="42" customHeight="1" x14ac:dyDescent="0.3">
      <c r="A19" s="59"/>
      <c r="B19" s="62"/>
      <c r="C19" s="63"/>
      <c r="D19" s="64"/>
      <c r="E19" s="61"/>
      <c r="F19" s="61"/>
      <c r="G19" s="60"/>
      <c r="H19" s="60"/>
      <c r="I19" s="60"/>
    </row>
    <row r="20" spans="1:13" ht="42" customHeight="1" x14ac:dyDescent="0.3">
      <c r="A20" s="65"/>
      <c r="B20" s="66"/>
      <c r="C20" s="67"/>
      <c r="D20" s="68"/>
      <c r="E20" s="53"/>
      <c r="F20" s="53"/>
      <c r="G20" s="54"/>
      <c r="H20" s="54"/>
      <c r="I20" s="54"/>
    </row>
    <row r="21" spans="1:13" ht="14" x14ac:dyDescent="0.3">
      <c r="A21" s="50"/>
      <c r="B21" s="51"/>
      <c r="C21" s="51"/>
      <c r="D21" s="52"/>
      <c r="E21" s="52"/>
      <c r="F21" s="52"/>
      <c r="G21" s="52"/>
      <c r="H21" s="52"/>
      <c r="I21" s="52"/>
    </row>
    <row r="22" spans="1:13" s="70" customFormat="1" ht="14" x14ac:dyDescent="0.3">
      <c r="A22" s="50"/>
      <c r="B22" s="51"/>
      <c r="C22" s="51"/>
      <c r="D22" s="52"/>
      <c r="E22" s="53"/>
      <c r="F22" s="69"/>
      <c r="G22" s="69"/>
      <c r="H22" s="69"/>
      <c r="I22" s="69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4/2018. (III.19.)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view="pageLayout" topLeftCell="C1" zoomScaleNormal="100" zoomScaleSheetLayoutView="100" workbookViewId="0">
      <selection activeCell="J6" sqref="J6"/>
    </sheetView>
  </sheetViews>
  <sheetFormatPr defaultRowHeight="13" x14ac:dyDescent="0.3"/>
  <cols>
    <col min="1" max="1" width="6.796875" style="102" customWidth="1"/>
    <col min="2" max="2" width="66.796875" style="103" customWidth="1"/>
    <col min="3" max="3" width="8.19921875" style="103" customWidth="1"/>
    <col min="4" max="6" width="13.796875" style="80" customWidth="1"/>
    <col min="7" max="7" width="13.796875" style="263" customWidth="1"/>
    <col min="8" max="9" width="13.796875" style="665" customWidth="1"/>
    <col min="10" max="11" width="13.796875" style="263" customWidth="1"/>
    <col min="12" max="12" width="13.796875" style="598" customWidth="1"/>
    <col min="13" max="258" width="9.296875" style="80"/>
    <col min="259" max="259" width="6.796875" style="80" customWidth="1"/>
    <col min="260" max="260" width="60.19921875" style="80" customWidth="1"/>
    <col min="261" max="261" width="8.19921875" style="80" customWidth="1"/>
    <col min="262" max="264" width="14.5" style="80" customWidth="1"/>
    <col min="265" max="514" width="9.296875" style="80"/>
    <col min="515" max="515" width="6.796875" style="80" customWidth="1"/>
    <col min="516" max="516" width="60.19921875" style="80" customWidth="1"/>
    <col min="517" max="517" width="8.19921875" style="80" customWidth="1"/>
    <col min="518" max="520" width="14.5" style="80" customWidth="1"/>
    <col min="521" max="770" width="9.296875" style="80"/>
    <col min="771" max="771" width="6.796875" style="80" customWidth="1"/>
    <col min="772" max="772" width="60.19921875" style="80" customWidth="1"/>
    <col min="773" max="773" width="8.19921875" style="80" customWidth="1"/>
    <col min="774" max="776" width="14.5" style="80" customWidth="1"/>
    <col min="777" max="1026" width="9.296875" style="80"/>
    <col min="1027" max="1027" width="6.796875" style="80" customWidth="1"/>
    <col min="1028" max="1028" width="60.19921875" style="80" customWidth="1"/>
    <col min="1029" max="1029" width="8.19921875" style="80" customWidth="1"/>
    <col min="1030" max="1032" width="14.5" style="80" customWidth="1"/>
    <col min="1033" max="1282" width="9.296875" style="80"/>
    <col min="1283" max="1283" width="6.796875" style="80" customWidth="1"/>
    <col min="1284" max="1284" width="60.19921875" style="80" customWidth="1"/>
    <col min="1285" max="1285" width="8.19921875" style="80" customWidth="1"/>
    <col min="1286" max="1288" width="14.5" style="80" customWidth="1"/>
    <col min="1289" max="1538" width="9.296875" style="80"/>
    <col min="1539" max="1539" width="6.796875" style="80" customWidth="1"/>
    <col min="1540" max="1540" width="60.19921875" style="80" customWidth="1"/>
    <col min="1541" max="1541" width="8.19921875" style="80" customWidth="1"/>
    <col min="1542" max="1544" width="14.5" style="80" customWidth="1"/>
    <col min="1545" max="1794" width="9.296875" style="80"/>
    <col min="1795" max="1795" width="6.796875" style="80" customWidth="1"/>
    <col min="1796" max="1796" width="60.19921875" style="80" customWidth="1"/>
    <col min="1797" max="1797" width="8.19921875" style="80" customWidth="1"/>
    <col min="1798" max="1800" width="14.5" style="80" customWidth="1"/>
    <col min="1801" max="2050" width="9.296875" style="80"/>
    <col min="2051" max="2051" width="6.796875" style="80" customWidth="1"/>
    <col min="2052" max="2052" width="60.19921875" style="80" customWidth="1"/>
    <col min="2053" max="2053" width="8.19921875" style="80" customWidth="1"/>
    <col min="2054" max="2056" width="14.5" style="80" customWidth="1"/>
    <col min="2057" max="2306" width="9.296875" style="80"/>
    <col min="2307" max="2307" width="6.796875" style="80" customWidth="1"/>
    <col min="2308" max="2308" width="60.19921875" style="80" customWidth="1"/>
    <col min="2309" max="2309" width="8.19921875" style="80" customWidth="1"/>
    <col min="2310" max="2312" width="14.5" style="80" customWidth="1"/>
    <col min="2313" max="2562" width="9.296875" style="80"/>
    <col min="2563" max="2563" width="6.796875" style="80" customWidth="1"/>
    <col min="2564" max="2564" width="60.19921875" style="80" customWidth="1"/>
    <col min="2565" max="2565" width="8.19921875" style="80" customWidth="1"/>
    <col min="2566" max="2568" width="14.5" style="80" customWidth="1"/>
    <col min="2569" max="2818" width="9.296875" style="80"/>
    <col min="2819" max="2819" width="6.796875" style="80" customWidth="1"/>
    <col min="2820" max="2820" width="60.19921875" style="80" customWidth="1"/>
    <col min="2821" max="2821" width="8.19921875" style="80" customWidth="1"/>
    <col min="2822" max="2824" width="14.5" style="80" customWidth="1"/>
    <col min="2825" max="3074" width="9.296875" style="80"/>
    <col min="3075" max="3075" width="6.796875" style="80" customWidth="1"/>
    <col min="3076" max="3076" width="60.19921875" style="80" customWidth="1"/>
    <col min="3077" max="3077" width="8.19921875" style="80" customWidth="1"/>
    <col min="3078" max="3080" width="14.5" style="80" customWidth="1"/>
    <col min="3081" max="3330" width="9.296875" style="80"/>
    <col min="3331" max="3331" width="6.796875" style="80" customWidth="1"/>
    <col min="3332" max="3332" width="60.19921875" style="80" customWidth="1"/>
    <col min="3333" max="3333" width="8.19921875" style="80" customWidth="1"/>
    <col min="3334" max="3336" width="14.5" style="80" customWidth="1"/>
    <col min="3337" max="3586" width="9.296875" style="80"/>
    <col min="3587" max="3587" width="6.796875" style="80" customWidth="1"/>
    <col min="3588" max="3588" width="60.19921875" style="80" customWidth="1"/>
    <col min="3589" max="3589" width="8.19921875" style="80" customWidth="1"/>
    <col min="3590" max="3592" width="14.5" style="80" customWidth="1"/>
    <col min="3593" max="3842" width="9.296875" style="80"/>
    <col min="3843" max="3843" width="6.796875" style="80" customWidth="1"/>
    <col min="3844" max="3844" width="60.19921875" style="80" customWidth="1"/>
    <col min="3845" max="3845" width="8.19921875" style="80" customWidth="1"/>
    <col min="3846" max="3848" width="14.5" style="80" customWidth="1"/>
    <col min="3849" max="4098" width="9.296875" style="80"/>
    <col min="4099" max="4099" width="6.796875" style="80" customWidth="1"/>
    <col min="4100" max="4100" width="60.19921875" style="80" customWidth="1"/>
    <col min="4101" max="4101" width="8.19921875" style="80" customWidth="1"/>
    <col min="4102" max="4104" width="14.5" style="80" customWidth="1"/>
    <col min="4105" max="4354" width="9.296875" style="80"/>
    <col min="4355" max="4355" width="6.796875" style="80" customWidth="1"/>
    <col min="4356" max="4356" width="60.19921875" style="80" customWidth="1"/>
    <col min="4357" max="4357" width="8.19921875" style="80" customWidth="1"/>
    <col min="4358" max="4360" width="14.5" style="80" customWidth="1"/>
    <col min="4361" max="4610" width="9.296875" style="80"/>
    <col min="4611" max="4611" width="6.796875" style="80" customWidth="1"/>
    <col min="4612" max="4612" width="60.19921875" style="80" customWidth="1"/>
    <col min="4613" max="4613" width="8.19921875" style="80" customWidth="1"/>
    <col min="4614" max="4616" width="14.5" style="80" customWidth="1"/>
    <col min="4617" max="4866" width="9.296875" style="80"/>
    <col min="4867" max="4867" width="6.796875" style="80" customWidth="1"/>
    <col min="4868" max="4868" width="60.19921875" style="80" customWidth="1"/>
    <col min="4869" max="4869" width="8.19921875" style="80" customWidth="1"/>
    <col min="4870" max="4872" width="14.5" style="80" customWidth="1"/>
    <col min="4873" max="5122" width="9.296875" style="80"/>
    <col min="5123" max="5123" width="6.796875" style="80" customWidth="1"/>
    <col min="5124" max="5124" width="60.19921875" style="80" customWidth="1"/>
    <col min="5125" max="5125" width="8.19921875" style="80" customWidth="1"/>
    <col min="5126" max="5128" width="14.5" style="80" customWidth="1"/>
    <col min="5129" max="5378" width="9.296875" style="80"/>
    <col min="5379" max="5379" width="6.796875" style="80" customWidth="1"/>
    <col min="5380" max="5380" width="60.19921875" style="80" customWidth="1"/>
    <col min="5381" max="5381" width="8.19921875" style="80" customWidth="1"/>
    <col min="5382" max="5384" width="14.5" style="80" customWidth="1"/>
    <col min="5385" max="5634" width="9.296875" style="80"/>
    <col min="5635" max="5635" width="6.796875" style="80" customWidth="1"/>
    <col min="5636" max="5636" width="60.19921875" style="80" customWidth="1"/>
    <col min="5637" max="5637" width="8.19921875" style="80" customWidth="1"/>
    <col min="5638" max="5640" width="14.5" style="80" customWidth="1"/>
    <col min="5641" max="5890" width="9.296875" style="80"/>
    <col min="5891" max="5891" width="6.796875" style="80" customWidth="1"/>
    <col min="5892" max="5892" width="60.19921875" style="80" customWidth="1"/>
    <col min="5893" max="5893" width="8.19921875" style="80" customWidth="1"/>
    <col min="5894" max="5896" width="14.5" style="80" customWidth="1"/>
    <col min="5897" max="6146" width="9.296875" style="80"/>
    <col min="6147" max="6147" width="6.796875" style="80" customWidth="1"/>
    <col min="6148" max="6148" width="60.19921875" style="80" customWidth="1"/>
    <col min="6149" max="6149" width="8.19921875" style="80" customWidth="1"/>
    <col min="6150" max="6152" width="14.5" style="80" customWidth="1"/>
    <col min="6153" max="6402" width="9.296875" style="80"/>
    <col min="6403" max="6403" width="6.796875" style="80" customWidth="1"/>
    <col min="6404" max="6404" width="60.19921875" style="80" customWidth="1"/>
    <col min="6405" max="6405" width="8.19921875" style="80" customWidth="1"/>
    <col min="6406" max="6408" width="14.5" style="80" customWidth="1"/>
    <col min="6409" max="6658" width="9.296875" style="80"/>
    <col min="6659" max="6659" width="6.796875" style="80" customWidth="1"/>
    <col min="6660" max="6660" width="60.19921875" style="80" customWidth="1"/>
    <col min="6661" max="6661" width="8.19921875" style="80" customWidth="1"/>
    <col min="6662" max="6664" width="14.5" style="80" customWidth="1"/>
    <col min="6665" max="6914" width="9.296875" style="80"/>
    <col min="6915" max="6915" width="6.796875" style="80" customWidth="1"/>
    <col min="6916" max="6916" width="60.19921875" style="80" customWidth="1"/>
    <col min="6917" max="6917" width="8.19921875" style="80" customWidth="1"/>
    <col min="6918" max="6920" width="14.5" style="80" customWidth="1"/>
    <col min="6921" max="7170" width="9.296875" style="80"/>
    <col min="7171" max="7171" width="6.796875" style="80" customWidth="1"/>
    <col min="7172" max="7172" width="60.19921875" style="80" customWidth="1"/>
    <col min="7173" max="7173" width="8.19921875" style="80" customWidth="1"/>
    <col min="7174" max="7176" width="14.5" style="80" customWidth="1"/>
    <col min="7177" max="7426" width="9.296875" style="80"/>
    <col min="7427" max="7427" width="6.796875" style="80" customWidth="1"/>
    <col min="7428" max="7428" width="60.19921875" style="80" customWidth="1"/>
    <col min="7429" max="7429" width="8.19921875" style="80" customWidth="1"/>
    <col min="7430" max="7432" width="14.5" style="80" customWidth="1"/>
    <col min="7433" max="7682" width="9.296875" style="80"/>
    <col min="7683" max="7683" width="6.796875" style="80" customWidth="1"/>
    <col min="7684" max="7684" width="60.19921875" style="80" customWidth="1"/>
    <col min="7685" max="7685" width="8.19921875" style="80" customWidth="1"/>
    <col min="7686" max="7688" width="14.5" style="80" customWidth="1"/>
    <col min="7689" max="7938" width="9.296875" style="80"/>
    <col min="7939" max="7939" width="6.796875" style="80" customWidth="1"/>
    <col min="7940" max="7940" width="60.19921875" style="80" customWidth="1"/>
    <col min="7941" max="7941" width="8.19921875" style="80" customWidth="1"/>
    <col min="7942" max="7944" width="14.5" style="80" customWidth="1"/>
    <col min="7945" max="8194" width="9.296875" style="80"/>
    <col min="8195" max="8195" width="6.796875" style="80" customWidth="1"/>
    <col min="8196" max="8196" width="60.19921875" style="80" customWidth="1"/>
    <col min="8197" max="8197" width="8.19921875" style="80" customWidth="1"/>
    <col min="8198" max="8200" width="14.5" style="80" customWidth="1"/>
    <col min="8201" max="8450" width="9.296875" style="80"/>
    <col min="8451" max="8451" width="6.796875" style="80" customWidth="1"/>
    <col min="8452" max="8452" width="60.19921875" style="80" customWidth="1"/>
    <col min="8453" max="8453" width="8.19921875" style="80" customWidth="1"/>
    <col min="8454" max="8456" width="14.5" style="80" customWidth="1"/>
    <col min="8457" max="8706" width="9.296875" style="80"/>
    <col min="8707" max="8707" width="6.796875" style="80" customWidth="1"/>
    <col min="8708" max="8708" width="60.19921875" style="80" customWidth="1"/>
    <col min="8709" max="8709" width="8.19921875" style="80" customWidth="1"/>
    <col min="8710" max="8712" width="14.5" style="80" customWidth="1"/>
    <col min="8713" max="8962" width="9.296875" style="80"/>
    <col min="8963" max="8963" width="6.796875" style="80" customWidth="1"/>
    <col min="8964" max="8964" width="60.19921875" style="80" customWidth="1"/>
    <col min="8965" max="8965" width="8.19921875" style="80" customWidth="1"/>
    <col min="8966" max="8968" width="14.5" style="80" customWidth="1"/>
    <col min="8969" max="9218" width="9.296875" style="80"/>
    <col min="9219" max="9219" width="6.796875" style="80" customWidth="1"/>
    <col min="9220" max="9220" width="60.19921875" style="80" customWidth="1"/>
    <col min="9221" max="9221" width="8.19921875" style="80" customWidth="1"/>
    <col min="9222" max="9224" width="14.5" style="80" customWidth="1"/>
    <col min="9225" max="9474" width="9.296875" style="80"/>
    <col min="9475" max="9475" width="6.796875" style="80" customWidth="1"/>
    <col min="9476" max="9476" width="60.19921875" style="80" customWidth="1"/>
    <col min="9477" max="9477" width="8.19921875" style="80" customWidth="1"/>
    <col min="9478" max="9480" width="14.5" style="80" customWidth="1"/>
    <col min="9481" max="9730" width="9.296875" style="80"/>
    <col min="9731" max="9731" width="6.796875" style="80" customWidth="1"/>
    <col min="9732" max="9732" width="60.19921875" style="80" customWidth="1"/>
    <col min="9733" max="9733" width="8.19921875" style="80" customWidth="1"/>
    <col min="9734" max="9736" width="14.5" style="80" customWidth="1"/>
    <col min="9737" max="9986" width="9.296875" style="80"/>
    <col min="9987" max="9987" width="6.796875" style="80" customWidth="1"/>
    <col min="9988" max="9988" width="60.19921875" style="80" customWidth="1"/>
    <col min="9989" max="9989" width="8.19921875" style="80" customWidth="1"/>
    <col min="9990" max="9992" width="14.5" style="80" customWidth="1"/>
    <col min="9993" max="10242" width="9.296875" style="80"/>
    <col min="10243" max="10243" width="6.796875" style="80" customWidth="1"/>
    <col min="10244" max="10244" width="60.19921875" style="80" customWidth="1"/>
    <col min="10245" max="10245" width="8.19921875" style="80" customWidth="1"/>
    <col min="10246" max="10248" width="14.5" style="80" customWidth="1"/>
    <col min="10249" max="10498" width="9.296875" style="80"/>
    <col min="10499" max="10499" width="6.796875" style="80" customWidth="1"/>
    <col min="10500" max="10500" width="60.19921875" style="80" customWidth="1"/>
    <col min="10501" max="10501" width="8.19921875" style="80" customWidth="1"/>
    <col min="10502" max="10504" width="14.5" style="80" customWidth="1"/>
    <col min="10505" max="10754" width="9.296875" style="80"/>
    <col min="10755" max="10755" width="6.796875" style="80" customWidth="1"/>
    <col min="10756" max="10756" width="60.19921875" style="80" customWidth="1"/>
    <col min="10757" max="10757" width="8.19921875" style="80" customWidth="1"/>
    <col min="10758" max="10760" width="14.5" style="80" customWidth="1"/>
    <col min="10761" max="11010" width="9.296875" style="80"/>
    <col min="11011" max="11011" width="6.796875" style="80" customWidth="1"/>
    <col min="11012" max="11012" width="60.19921875" style="80" customWidth="1"/>
    <col min="11013" max="11013" width="8.19921875" style="80" customWidth="1"/>
    <col min="11014" max="11016" width="14.5" style="80" customWidth="1"/>
    <col min="11017" max="11266" width="9.296875" style="80"/>
    <col min="11267" max="11267" width="6.796875" style="80" customWidth="1"/>
    <col min="11268" max="11268" width="60.19921875" style="80" customWidth="1"/>
    <col min="11269" max="11269" width="8.19921875" style="80" customWidth="1"/>
    <col min="11270" max="11272" width="14.5" style="80" customWidth="1"/>
    <col min="11273" max="11522" width="9.296875" style="80"/>
    <col min="11523" max="11523" width="6.796875" style="80" customWidth="1"/>
    <col min="11524" max="11524" width="60.19921875" style="80" customWidth="1"/>
    <col min="11525" max="11525" width="8.19921875" style="80" customWidth="1"/>
    <col min="11526" max="11528" width="14.5" style="80" customWidth="1"/>
    <col min="11529" max="11778" width="9.296875" style="80"/>
    <col min="11779" max="11779" width="6.796875" style="80" customWidth="1"/>
    <col min="11780" max="11780" width="60.19921875" style="80" customWidth="1"/>
    <col min="11781" max="11781" width="8.19921875" style="80" customWidth="1"/>
    <col min="11782" max="11784" width="14.5" style="80" customWidth="1"/>
    <col min="11785" max="12034" width="9.296875" style="80"/>
    <col min="12035" max="12035" width="6.796875" style="80" customWidth="1"/>
    <col min="12036" max="12036" width="60.19921875" style="80" customWidth="1"/>
    <col min="12037" max="12037" width="8.19921875" style="80" customWidth="1"/>
    <col min="12038" max="12040" width="14.5" style="80" customWidth="1"/>
    <col min="12041" max="12290" width="9.296875" style="80"/>
    <col min="12291" max="12291" width="6.796875" style="80" customWidth="1"/>
    <col min="12292" max="12292" width="60.19921875" style="80" customWidth="1"/>
    <col min="12293" max="12293" width="8.19921875" style="80" customWidth="1"/>
    <col min="12294" max="12296" width="14.5" style="80" customWidth="1"/>
    <col min="12297" max="12546" width="9.296875" style="80"/>
    <col min="12547" max="12547" width="6.796875" style="80" customWidth="1"/>
    <col min="12548" max="12548" width="60.19921875" style="80" customWidth="1"/>
    <col min="12549" max="12549" width="8.19921875" style="80" customWidth="1"/>
    <col min="12550" max="12552" width="14.5" style="80" customWidth="1"/>
    <col min="12553" max="12802" width="9.296875" style="80"/>
    <col min="12803" max="12803" width="6.796875" style="80" customWidth="1"/>
    <col min="12804" max="12804" width="60.19921875" style="80" customWidth="1"/>
    <col min="12805" max="12805" width="8.19921875" style="80" customWidth="1"/>
    <col min="12806" max="12808" width="14.5" style="80" customWidth="1"/>
    <col min="12809" max="13058" width="9.296875" style="80"/>
    <col min="13059" max="13059" width="6.796875" style="80" customWidth="1"/>
    <col min="13060" max="13060" width="60.19921875" style="80" customWidth="1"/>
    <col min="13061" max="13061" width="8.19921875" style="80" customWidth="1"/>
    <col min="13062" max="13064" width="14.5" style="80" customWidth="1"/>
    <col min="13065" max="13314" width="9.296875" style="80"/>
    <col min="13315" max="13315" width="6.796875" style="80" customWidth="1"/>
    <col min="13316" max="13316" width="60.19921875" style="80" customWidth="1"/>
    <col min="13317" max="13317" width="8.19921875" style="80" customWidth="1"/>
    <col min="13318" max="13320" width="14.5" style="80" customWidth="1"/>
    <col min="13321" max="13570" width="9.296875" style="80"/>
    <col min="13571" max="13571" width="6.796875" style="80" customWidth="1"/>
    <col min="13572" max="13572" width="60.19921875" style="80" customWidth="1"/>
    <col min="13573" max="13573" width="8.19921875" style="80" customWidth="1"/>
    <col min="13574" max="13576" width="14.5" style="80" customWidth="1"/>
    <col min="13577" max="13826" width="9.296875" style="80"/>
    <col min="13827" max="13827" width="6.796875" style="80" customWidth="1"/>
    <col min="13828" max="13828" width="60.19921875" style="80" customWidth="1"/>
    <col min="13829" max="13829" width="8.19921875" style="80" customWidth="1"/>
    <col min="13830" max="13832" width="14.5" style="80" customWidth="1"/>
    <col min="13833" max="14082" width="9.296875" style="80"/>
    <col min="14083" max="14083" width="6.796875" style="80" customWidth="1"/>
    <col min="14084" max="14084" width="60.19921875" style="80" customWidth="1"/>
    <col min="14085" max="14085" width="8.19921875" style="80" customWidth="1"/>
    <col min="14086" max="14088" width="14.5" style="80" customWidth="1"/>
    <col min="14089" max="14338" width="9.296875" style="80"/>
    <col min="14339" max="14339" width="6.796875" style="80" customWidth="1"/>
    <col min="14340" max="14340" width="60.19921875" style="80" customWidth="1"/>
    <col min="14341" max="14341" width="8.19921875" style="80" customWidth="1"/>
    <col min="14342" max="14344" width="14.5" style="80" customWidth="1"/>
    <col min="14345" max="14594" width="9.296875" style="80"/>
    <col min="14595" max="14595" width="6.796875" style="80" customWidth="1"/>
    <col min="14596" max="14596" width="60.19921875" style="80" customWidth="1"/>
    <col min="14597" max="14597" width="8.19921875" style="80" customWidth="1"/>
    <col min="14598" max="14600" width="14.5" style="80" customWidth="1"/>
    <col min="14601" max="14850" width="9.296875" style="80"/>
    <col min="14851" max="14851" width="6.796875" style="80" customWidth="1"/>
    <col min="14852" max="14852" width="60.19921875" style="80" customWidth="1"/>
    <col min="14853" max="14853" width="8.19921875" style="80" customWidth="1"/>
    <col min="14854" max="14856" width="14.5" style="80" customWidth="1"/>
    <col min="14857" max="15106" width="9.296875" style="80"/>
    <col min="15107" max="15107" width="6.796875" style="80" customWidth="1"/>
    <col min="15108" max="15108" width="60.19921875" style="80" customWidth="1"/>
    <col min="15109" max="15109" width="8.19921875" style="80" customWidth="1"/>
    <col min="15110" max="15112" width="14.5" style="80" customWidth="1"/>
    <col min="15113" max="15362" width="9.296875" style="80"/>
    <col min="15363" max="15363" width="6.796875" style="80" customWidth="1"/>
    <col min="15364" max="15364" width="60.19921875" style="80" customWidth="1"/>
    <col min="15365" max="15365" width="8.19921875" style="80" customWidth="1"/>
    <col min="15366" max="15368" width="14.5" style="80" customWidth="1"/>
    <col min="15369" max="15618" width="9.296875" style="80"/>
    <col min="15619" max="15619" width="6.796875" style="80" customWidth="1"/>
    <col min="15620" max="15620" width="60.19921875" style="80" customWidth="1"/>
    <col min="15621" max="15621" width="8.19921875" style="80" customWidth="1"/>
    <col min="15622" max="15624" width="14.5" style="80" customWidth="1"/>
    <col min="15625" max="15874" width="9.296875" style="80"/>
    <col min="15875" max="15875" width="6.796875" style="80" customWidth="1"/>
    <col min="15876" max="15876" width="60.19921875" style="80" customWidth="1"/>
    <col min="15877" max="15877" width="8.19921875" style="80" customWidth="1"/>
    <col min="15878" max="15880" width="14.5" style="80" customWidth="1"/>
    <col min="15881" max="16130" width="9.296875" style="80"/>
    <col min="16131" max="16131" width="6.796875" style="80" customWidth="1"/>
    <col min="16132" max="16132" width="60.19921875" style="80" customWidth="1"/>
    <col min="16133" max="16133" width="8.19921875" style="80" customWidth="1"/>
    <col min="16134" max="16136" width="14.5" style="80" customWidth="1"/>
    <col min="16137" max="16384" width="9.296875" style="80"/>
  </cols>
  <sheetData>
    <row r="1" spans="1:12" s="74" customFormat="1" ht="40.5" customHeight="1" x14ac:dyDescent="0.3">
      <c r="A1" s="888" t="s">
        <v>638</v>
      </c>
      <c r="B1" s="888"/>
      <c r="C1" s="888"/>
      <c r="D1" s="888"/>
      <c r="E1" s="888"/>
      <c r="F1" s="888"/>
      <c r="G1" s="888"/>
      <c r="H1" s="888"/>
      <c r="I1" s="888"/>
      <c r="J1" s="888"/>
      <c r="K1" s="888"/>
      <c r="L1" s="888"/>
    </row>
    <row r="2" spans="1:12" s="77" customFormat="1" ht="16" customHeight="1" x14ac:dyDescent="0.25">
      <c r="A2" s="75"/>
      <c r="B2" s="75"/>
      <c r="C2" s="76"/>
      <c r="D2" s="76"/>
      <c r="E2" s="76"/>
      <c r="G2" s="258"/>
      <c r="H2" s="663"/>
      <c r="I2" s="663"/>
      <c r="J2" s="76" t="s">
        <v>801</v>
      </c>
      <c r="K2" s="258"/>
      <c r="L2" s="601" t="s">
        <v>1</v>
      </c>
    </row>
    <row r="3" spans="1:12" ht="38.25" customHeight="1" x14ac:dyDescent="0.3">
      <c r="A3" s="78" t="s">
        <v>404</v>
      </c>
      <c r="B3" s="78" t="s">
        <v>468</v>
      </c>
      <c r="C3" s="756" t="s">
        <v>469</v>
      </c>
      <c r="D3" s="756" t="s">
        <v>470</v>
      </c>
      <c r="E3" s="756" t="s">
        <v>471</v>
      </c>
      <c r="F3" s="756" t="s">
        <v>268</v>
      </c>
      <c r="G3" s="594" t="s">
        <v>824</v>
      </c>
      <c r="H3" s="666" t="s">
        <v>825</v>
      </c>
      <c r="I3" s="666" t="s">
        <v>856</v>
      </c>
      <c r="J3" s="594" t="s">
        <v>798</v>
      </c>
      <c r="K3" s="594" t="s">
        <v>826</v>
      </c>
      <c r="L3" s="595" t="s">
        <v>827</v>
      </c>
    </row>
    <row r="4" spans="1:12" s="571" customFormat="1" ht="13" customHeight="1" x14ac:dyDescent="0.3">
      <c r="A4" s="78" t="s">
        <v>6</v>
      </c>
      <c r="B4" s="78" t="s">
        <v>7</v>
      </c>
      <c r="C4" s="78" t="s">
        <v>8</v>
      </c>
      <c r="D4" s="78" t="s">
        <v>9</v>
      </c>
      <c r="E4" s="78" t="s">
        <v>269</v>
      </c>
      <c r="F4" s="78" t="s">
        <v>472</v>
      </c>
      <c r="G4" s="664" t="s">
        <v>796</v>
      </c>
      <c r="H4" s="664" t="s">
        <v>799</v>
      </c>
      <c r="I4" s="664" t="s">
        <v>800</v>
      </c>
      <c r="J4" s="664" t="s">
        <v>828</v>
      </c>
      <c r="K4" s="600" t="s">
        <v>829</v>
      </c>
      <c r="L4" s="760" t="s">
        <v>830</v>
      </c>
    </row>
    <row r="5" spans="1:12" s="81" customFormat="1" ht="16" customHeight="1" x14ac:dyDescent="0.3">
      <c r="A5" s="882" t="s">
        <v>265</v>
      </c>
      <c r="B5" s="883"/>
      <c r="C5" s="883"/>
      <c r="D5" s="883"/>
      <c r="E5" s="883"/>
      <c r="F5" s="883"/>
      <c r="G5" s="883"/>
      <c r="H5" s="883"/>
      <c r="I5" s="883"/>
      <c r="J5" s="883"/>
      <c r="K5" s="883"/>
      <c r="L5" s="884"/>
    </row>
    <row r="6" spans="1:12" s="81" customFormat="1" ht="25.5" customHeight="1" x14ac:dyDescent="0.3">
      <c r="A6" s="423" t="s">
        <v>10</v>
      </c>
      <c r="B6" s="427" t="s">
        <v>473</v>
      </c>
      <c r="C6" s="423" t="s">
        <v>474</v>
      </c>
      <c r="D6" s="761"/>
      <c r="E6" s="761"/>
      <c r="F6" s="761">
        <f>SUM(D6:E6)</f>
        <v>0</v>
      </c>
      <c r="G6" s="600"/>
      <c r="H6" s="664"/>
      <c r="I6" s="664"/>
      <c r="J6" s="600"/>
      <c r="K6" s="600"/>
      <c r="L6" s="760"/>
    </row>
    <row r="7" spans="1:12" s="81" customFormat="1" ht="30" customHeight="1" x14ac:dyDescent="0.3">
      <c r="A7" s="423" t="s">
        <v>13</v>
      </c>
      <c r="B7" s="427" t="s">
        <v>475</v>
      </c>
      <c r="C7" s="423" t="s">
        <v>476</v>
      </c>
      <c r="D7" s="761"/>
      <c r="E7" s="761"/>
      <c r="F7" s="761">
        <f>SUM(D7:E7)</f>
        <v>0</v>
      </c>
      <c r="G7" s="600"/>
      <c r="H7" s="664"/>
      <c r="I7" s="664"/>
      <c r="J7" s="600"/>
      <c r="K7" s="600"/>
      <c r="L7" s="760"/>
    </row>
    <row r="8" spans="1:12" s="81" customFormat="1" ht="25.5" customHeight="1" x14ac:dyDescent="0.3">
      <c r="A8" s="423" t="s">
        <v>16</v>
      </c>
      <c r="B8" s="427" t="s">
        <v>477</v>
      </c>
      <c r="C8" s="423" t="s">
        <v>478</v>
      </c>
      <c r="D8" s="761">
        <v>640402</v>
      </c>
      <c r="E8" s="761"/>
      <c r="F8" s="761">
        <f>SUM(D8:E8)</f>
        <v>640402</v>
      </c>
      <c r="G8" s="600">
        <v>6740711</v>
      </c>
      <c r="H8" s="664">
        <f>J8-F8-G8</f>
        <v>0</v>
      </c>
      <c r="I8" s="664">
        <f>J8-F8-G8-H8</f>
        <v>0</v>
      </c>
      <c r="J8" s="600">
        <v>7381113</v>
      </c>
      <c r="K8" s="600">
        <v>3855861</v>
      </c>
      <c r="L8" s="760">
        <f>K8/J8</f>
        <v>0.52239560619109882</v>
      </c>
    </row>
    <row r="9" spans="1:12" s="81" customFormat="1" ht="25.5" customHeight="1" x14ac:dyDescent="0.3">
      <c r="A9" s="423" t="s">
        <v>19</v>
      </c>
      <c r="B9" s="427" t="s">
        <v>479</v>
      </c>
      <c r="C9" s="423" t="s">
        <v>480</v>
      </c>
      <c r="D9" s="323"/>
      <c r="E9" s="323"/>
      <c r="F9" s="323">
        <f>SUM(D9:E9)</f>
        <v>0</v>
      </c>
      <c r="G9" s="594"/>
      <c r="H9" s="594">
        <f t="shared" ref="H9:H36" si="0">J9-F9-G9</f>
        <v>0</v>
      </c>
      <c r="I9" s="594">
        <f t="shared" ref="I9:I39" si="1">J9-F9-G9-H9</f>
        <v>0</v>
      </c>
      <c r="J9" s="594"/>
      <c r="K9" s="594"/>
      <c r="L9" s="595" t="s">
        <v>801</v>
      </c>
    </row>
    <row r="10" spans="1:12" s="81" customFormat="1" ht="27.75" customHeight="1" x14ac:dyDescent="0.3">
      <c r="A10" s="425" t="s">
        <v>22</v>
      </c>
      <c r="B10" s="209" t="s">
        <v>481</v>
      </c>
      <c r="C10" s="425" t="s">
        <v>36</v>
      </c>
      <c r="D10" s="323">
        <f>SUM(D6:D9)</f>
        <v>640402</v>
      </c>
      <c r="E10" s="323">
        <f>SUM(E6:E9)</f>
        <v>0</v>
      </c>
      <c r="F10" s="323">
        <f t="shared" ref="F10:F14" si="2">SUM(D10:E10)</f>
        <v>640402</v>
      </c>
      <c r="G10" s="323">
        <f>SUM(G8:G9)</f>
        <v>6740711</v>
      </c>
      <c r="H10" s="594">
        <f t="shared" si="0"/>
        <v>0</v>
      </c>
      <c r="I10" s="594">
        <f t="shared" si="1"/>
        <v>0</v>
      </c>
      <c r="J10" s="323">
        <f>SUM(J8:J9)</f>
        <v>7381113</v>
      </c>
      <c r="K10" s="323">
        <f t="shared" ref="K10" si="3">SUM(K8:K9)</f>
        <v>3855861</v>
      </c>
      <c r="L10" s="595">
        <f t="shared" ref="L10:L42" si="4">K10/J10</f>
        <v>0.52239560619109882</v>
      </c>
    </row>
    <row r="11" spans="1:12" s="81" customFormat="1" ht="24.75" customHeight="1" x14ac:dyDescent="0.3">
      <c r="A11" s="423" t="s">
        <v>25</v>
      </c>
      <c r="B11" s="427" t="s">
        <v>482</v>
      </c>
      <c r="C11" s="423" t="s">
        <v>483</v>
      </c>
      <c r="D11" s="761"/>
      <c r="E11" s="761"/>
      <c r="F11" s="761">
        <f t="shared" si="2"/>
        <v>0</v>
      </c>
      <c r="G11" s="600"/>
      <c r="H11" s="664">
        <f t="shared" si="0"/>
        <v>0</v>
      </c>
      <c r="I11" s="664">
        <f t="shared" si="1"/>
        <v>0</v>
      </c>
      <c r="J11" s="600"/>
      <c r="K11" s="600"/>
      <c r="L11" s="760"/>
    </row>
    <row r="12" spans="1:12" s="81" customFormat="1" ht="30" customHeight="1" x14ac:dyDescent="0.3">
      <c r="A12" s="423" t="s">
        <v>28</v>
      </c>
      <c r="B12" s="427" t="s">
        <v>484</v>
      </c>
      <c r="C12" s="423" t="s">
        <v>485</v>
      </c>
      <c r="D12" s="761"/>
      <c r="E12" s="761"/>
      <c r="F12" s="761">
        <f t="shared" si="2"/>
        <v>0</v>
      </c>
      <c r="G12" s="600"/>
      <c r="H12" s="664">
        <f t="shared" si="0"/>
        <v>0</v>
      </c>
      <c r="I12" s="664">
        <f t="shared" si="1"/>
        <v>0</v>
      </c>
      <c r="J12" s="600"/>
      <c r="K12" s="600"/>
      <c r="L12" s="760"/>
    </row>
    <row r="13" spans="1:12" s="81" customFormat="1" ht="30" customHeight="1" x14ac:dyDescent="0.3">
      <c r="A13" s="423" t="s">
        <v>31</v>
      </c>
      <c r="B13" s="427" t="s">
        <v>486</v>
      </c>
      <c r="C13" s="423" t="s">
        <v>487</v>
      </c>
      <c r="D13" s="761"/>
      <c r="E13" s="761"/>
      <c r="F13" s="761">
        <f t="shared" si="2"/>
        <v>0</v>
      </c>
      <c r="G13" s="600"/>
      <c r="H13" s="664">
        <f t="shared" si="0"/>
        <v>0</v>
      </c>
      <c r="I13" s="664">
        <f t="shared" si="1"/>
        <v>0</v>
      </c>
      <c r="J13" s="600"/>
      <c r="K13" s="600"/>
      <c r="L13" s="760"/>
    </row>
    <row r="14" spans="1:12" s="81" customFormat="1" ht="30" customHeight="1" x14ac:dyDescent="0.3">
      <c r="A14" s="423" t="s">
        <v>34</v>
      </c>
      <c r="B14" s="427" t="s">
        <v>488</v>
      </c>
      <c r="C14" s="423" t="s">
        <v>489</v>
      </c>
      <c r="D14" s="761"/>
      <c r="E14" s="761"/>
      <c r="F14" s="761">
        <f t="shared" si="2"/>
        <v>0</v>
      </c>
      <c r="G14" s="600"/>
      <c r="H14" s="664">
        <f t="shared" si="0"/>
        <v>0</v>
      </c>
      <c r="I14" s="664">
        <f t="shared" si="1"/>
        <v>0</v>
      </c>
      <c r="J14" s="600"/>
      <c r="K14" s="600"/>
      <c r="L14" s="760"/>
    </row>
    <row r="15" spans="1:12" s="81" customFormat="1" ht="21.75" customHeight="1" x14ac:dyDescent="0.3">
      <c r="A15" s="425" t="s">
        <v>37</v>
      </c>
      <c r="B15" s="210" t="s">
        <v>451</v>
      </c>
      <c r="C15" s="78" t="s">
        <v>59</v>
      </c>
      <c r="D15" s="762">
        <f>SUM(D11:D14)</f>
        <v>0</v>
      </c>
      <c r="E15" s="762">
        <f>SUM(E11:E14)</f>
        <v>0</v>
      </c>
      <c r="F15" s="762">
        <f>SUM(F11:F14)</f>
        <v>0</v>
      </c>
      <c r="G15" s="762">
        <f t="shared" ref="G15:L15" si="5">SUM(G11:G14)</f>
        <v>0</v>
      </c>
      <c r="H15" s="762">
        <f t="shared" si="5"/>
        <v>0</v>
      </c>
      <c r="I15" s="762">
        <f t="shared" si="5"/>
        <v>0</v>
      </c>
      <c r="J15" s="762">
        <f t="shared" si="5"/>
        <v>0</v>
      </c>
      <c r="K15" s="762">
        <f t="shared" si="5"/>
        <v>0</v>
      </c>
      <c r="L15" s="762">
        <f t="shared" si="5"/>
        <v>0</v>
      </c>
    </row>
    <row r="16" spans="1:12" s="82" customFormat="1" ht="16.5" customHeight="1" x14ac:dyDescent="0.3">
      <c r="A16" s="423" t="s">
        <v>39</v>
      </c>
      <c r="B16" s="428" t="s">
        <v>111</v>
      </c>
      <c r="C16" s="429" t="s">
        <v>112</v>
      </c>
      <c r="D16" s="430"/>
      <c r="E16" s="430"/>
      <c r="F16" s="430">
        <f>SUM(D16:E16)</f>
        <v>0</v>
      </c>
      <c r="G16" s="259"/>
      <c r="H16" s="664">
        <f t="shared" si="0"/>
        <v>0</v>
      </c>
      <c r="I16" s="664">
        <f t="shared" si="1"/>
        <v>0</v>
      </c>
      <c r="J16" s="259"/>
      <c r="K16" s="259"/>
      <c r="L16" s="760"/>
    </row>
    <row r="17" spans="1:12" s="82" customFormat="1" ht="16.5" customHeight="1" x14ac:dyDescent="0.3">
      <c r="A17" s="423" t="s">
        <v>41</v>
      </c>
      <c r="B17" s="428" t="s">
        <v>114</v>
      </c>
      <c r="C17" s="429" t="s">
        <v>115</v>
      </c>
      <c r="D17" s="430">
        <v>700000</v>
      </c>
      <c r="E17" s="430"/>
      <c r="F17" s="430">
        <f>SUM(D17:E17)</f>
        <v>700000</v>
      </c>
      <c r="G17" s="259"/>
      <c r="H17" s="664">
        <v>264000</v>
      </c>
      <c r="I17" s="664">
        <f t="shared" si="1"/>
        <v>99390</v>
      </c>
      <c r="J17" s="259">
        <v>1063390</v>
      </c>
      <c r="K17" s="259">
        <v>1063390</v>
      </c>
      <c r="L17" s="760">
        <f t="shared" si="4"/>
        <v>1</v>
      </c>
    </row>
    <row r="18" spans="1:12" s="82" customFormat="1" ht="16.5" customHeight="1" x14ac:dyDescent="0.3">
      <c r="A18" s="423" t="s">
        <v>43</v>
      </c>
      <c r="B18" s="428" t="s">
        <v>490</v>
      </c>
      <c r="C18" s="429" t="s">
        <v>118</v>
      </c>
      <c r="D18" s="430">
        <f>SUM(D19:D20)</f>
        <v>0</v>
      </c>
      <c r="E18" s="430">
        <f>SUM(E19:E20)</f>
        <v>0</v>
      </c>
      <c r="F18" s="430">
        <f>SUM(F19:F20)</f>
        <v>0</v>
      </c>
      <c r="G18" s="259"/>
      <c r="H18" s="664">
        <f t="shared" si="0"/>
        <v>0</v>
      </c>
      <c r="I18" s="664">
        <f t="shared" si="1"/>
        <v>0</v>
      </c>
      <c r="J18" s="259"/>
      <c r="K18" s="259"/>
      <c r="L18" s="760"/>
    </row>
    <row r="19" spans="1:12" s="82" customFormat="1" ht="16.5" customHeight="1" x14ac:dyDescent="0.3">
      <c r="A19" s="423" t="s">
        <v>45</v>
      </c>
      <c r="B19" s="431" t="s">
        <v>491</v>
      </c>
      <c r="C19" s="432" t="s">
        <v>492</v>
      </c>
      <c r="D19" s="433"/>
      <c r="E19" s="433"/>
      <c r="F19" s="433">
        <f>SUM(D19:E19)</f>
        <v>0</v>
      </c>
      <c r="G19" s="259"/>
      <c r="H19" s="664">
        <f t="shared" si="0"/>
        <v>0</v>
      </c>
      <c r="I19" s="664">
        <f t="shared" si="1"/>
        <v>0</v>
      </c>
      <c r="J19" s="259"/>
      <c r="K19" s="259"/>
      <c r="L19" s="760"/>
    </row>
    <row r="20" spans="1:12" s="83" customFormat="1" ht="16.5" customHeight="1" x14ac:dyDescent="0.3">
      <c r="A20" s="423" t="s">
        <v>47</v>
      </c>
      <c r="B20" s="431" t="s">
        <v>493</v>
      </c>
      <c r="C20" s="432" t="s">
        <v>494</v>
      </c>
      <c r="D20" s="433"/>
      <c r="E20" s="433"/>
      <c r="F20" s="433">
        <f>SUM(D20:E20)</f>
        <v>0</v>
      </c>
      <c r="G20" s="261"/>
      <c r="H20" s="664">
        <f t="shared" si="0"/>
        <v>0</v>
      </c>
      <c r="I20" s="664">
        <f t="shared" si="1"/>
        <v>0</v>
      </c>
      <c r="J20" s="261"/>
      <c r="K20" s="261"/>
      <c r="L20" s="760"/>
    </row>
    <row r="21" spans="1:12" s="83" customFormat="1" ht="16.5" customHeight="1" x14ac:dyDescent="0.3">
      <c r="A21" s="423" t="s">
        <v>49</v>
      </c>
      <c r="B21" s="434" t="s">
        <v>120</v>
      </c>
      <c r="C21" s="429" t="s">
        <v>121</v>
      </c>
      <c r="D21" s="433"/>
      <c r="E21" s="433"/>
      <c r="F21" s="433">
        <f>SUM(D21:E21)</f>
        <v>0</v>
      </c>
      <c r="G21" s="261"/>
      <c r="H21" s="664">
        <f t="shared" si="0"/>
        <v>0</v>
      </c>
      <c r="I21" s="664">
        <f t="shared" si="1"/>
        <v>0</v>
      </c>
      <c r="J21" s="261"/>
      <c r="K21" s="261"/>
      <c r="L21" s="760"/>
    </row>
    <row r="22" spans="1:12" s="82" customFormat="1" ht="16.5" customHeight="1" x14ac:dyDescent="0.3">
      <c r="A22" s="423" t="s">
        <v>51</v>
      </c>
      <c r="B22" s="428" t="s">
        <v>123</v>
      </c>
      <c r="C22" s="429" t="s">
        <v>124</v>
      </c>
      <c r="D22" s="430"/>
      <c r="E22" s="430"/>
      <c r="F22" s="433">
        <f t="shared" ref="F22:F28" si="6">SUM(D22:E22)</f>
        <v>0</v>
      </c>
      <c r="G22" s="259"/>
      <c r="H22" s="664">
        <f t="shared" si="0"/>
        <v>0</v>
      </c>
      <c r="I22" s="664">
        <f t="shared" si="1"/>
        <v>0</v>
      </c>
      <c r="J22" s="259"/>
      <c r="K22" s="259"/>
      <c r="L22" s="760"/>
    </row>
    <row r="23" spans="1:12" s="82" customFormat="1" ht="16.5" customHeight="1" x14ac:dyDescent="0.3">
      <c r="A23" s="423" t="s">
        <v>54</v>
      </c>
      <c r="B23" s="428" t="s">
        <v>495</v>
      </c>
      <c r="C23" s="429" t="s">
        <v>127</v>
      </c>
      <c r="D23" s="430"/>
      <c r="E23" s="430"/>
      <c r="F23" s="433">
        <f t="shared" si="6"/>
        <v>0</v>
      </c>
      <c r="G23" s="259"/>
      <c r="H23" s="664">
        <f t="shared" si="0"/>
        <v>0</v>
      </c>
      <c r="I23" s="664">
        <f t="shared" si="1"/>
        <v>0</v>
      </c>
      <c r="J23" s="259"/>
      <c r="K23" s="259"/>
      <c r="L23" s="760"/>
    </row>
    <row r="24" spans="1:12" s="83" customFormat="1" ht="16.5" customHeight="1" x14ac:dyDescent="0.3">
      <c r="A24" s="423" t="s">
        <v>57</v>
      </c>
      <c r="B24" s="428" t="s">
        <v>496</v>
      </c>
      <c r="C24" s="429" t="s">
        <v>130</v>
      </c>
      <c r="D24" s="430"/>
      <c r="E24" s="430"/>
      <c r="F24" s="433">
        <f t="shared" si="6"/>
        <v>0</v>
      </c>
      <c r="G24" s="261"/>
      <c r="H24" s="664">
        <f t="shared" si="0"/>
        <v>0</v>
      </c>
      <c r="I24" s="664">
        <f t="shared" si="1"/>
        <v>0</v>
      </c>
      <c r="J24" s="261"/>
      <c r="K24" s="261"/>
      <c r="L24" s="760"/>
    </row>
    <row r="25" spans="1:12" s="83" customFormat="1" ht="16.5" customHeight="1" x14ac:dyDescent="0.3">
      <c r="A25" s="423" t="s">
        <v>60</v>
      </c>
      <c r="B25" s="435" t="s">
        <v>132</v>
      </c>
      <c r="C25" s="429" t="s">
        <v>133</v>
      </c>
      <c r="D25" s="430"/>
      <c r="E25" s="430"/>
      <c r="F25" s="433">
        <f t="shared" si="6"/>
        <v>0</v>
      </c>
      <c r="G25" s="261">
        <v>1166</v>
      </c>
      <c r="H25" s="664">
        <v>316</v>
      </c>
      <c r="I25" s="664">
        <v>197</v>
      </c>
      <c r="J25" s="261">
        <v>1680</v>
      </c>
      <c r="K25" s="261">
        <v>1680</v>
      </c>
      <c r="L25" s="760">
        <f t="shared" si="4"/>
        <v>1</v>
      </c>
    </row>
    <row r="26" spans="1:12" s="83" customFormat="1" ht="16.5" customHeight="1" x14ac:dyDescent="0.3">
      <c r="A26" s="423" t="s">
        <v>62</v>
      </c>
      <c r="B26" s="428" t="s">
        <v>497</v>
      </c>
      <c r="C26" s="429" t="s">
        <v>136</v>
      </c>
      <c r="D26" s="430"/>
      <c r="E26" s="430"/>
      <c r="F26" s="433">
        <f t="shared" si="6"/>
        <v>0</v>
      </c>
      <c r="G26" s="261"/>
      <c r="H26" s="664">
        <f t="shared" si="0"/>
        <v>0</v>
      </c>
      <c r="I26" s="664">
        <f t="shared" si="1"/>
        <v>0</v>
      </c>
      <c r="J26" s="261"/>
      <c r="K26" s="261"/>
      <c r="L26" s="760" t="s">
        <v>801</v>
      </c>
    </row>
    <row r="27" spans="1:12" s="83" customFormat="1" ht="16.5" customHeight="1" x14ac:dyDescent="0.3">
      <c r="A27" s="423" t="s">
        <v>64</v>
      </c>
      <c r="B27" s="428" t="s">
        <v>498</v>
      </c>
      <c r="C27" s="429" t="s">
        <v>139</v>
      </c>
      <c r="D27" s="430"/>
      <c r="E27" s="430"/>
      <c r="F27" s="433">
        <f t="shared" si="6"/>
        <v>0</v>
      </c>
      <c r="G27" s="261"/>
      <c r="H27" s="664">
        <f t="shared" si="0"/>
        <v>0</v>
      </c>
      <c r="I27" s="664">
        <f t="shared" si="1"/>
        <v>0</v>
      </c>
      <c r="J27" s="261"/>
      <c r="K27" s="261"/>
      <c r="L27" s="760" t="s">
        <v>801</v>
      </c>
    </row>
    <row r="28" spans="1:12" s="83" customFormat="1" ht="16.5" customHeight="1" x14ac:dyDescent="0.3">
      <c r="A28" s="423" t="s">
        <v>66</v>
      </c>
      <c r="B28" s="428" t="s">
        <v>141</v>
      </c>
      <c r="C28" s="429" t="s">
        <v>142</v>
      </c>
      <c r="D28" s="323"/>
      <c r="E28" s="323"/>
      <c r="F28" s="433">
        <f t="shared" si="6"/>
        <v>0</v>
      </c>
      <c r="G28" s="261"/>
      <c r="H28" s="664">
        <v>0</v>
      </c>
      <c r="I28" s="664">
        <v>1</v>
      </c>
      <c r="J28" s="259">
        <v>1</v>
      </c>
      <c r="K28" s="259">
        <v>1</v>
      </c>
      <c r="L28" s="760">
        <f t="shared" si="4"/>
        <v>1</v>
      </c>
    </row>
    <row r="29" spans="1:12" s="83" customFormat="1" ht="21.75" customHeight="1" x14ac:dyDescent="0.3">
      <c r="A29" s="425" t="s">
        <v>68</v>
      </c>
      <c r="B29" s="85" t="s">
        <v>499</v>
      </c>
      <c r="C29" s="211" t="s">
        <v>145</v>
      </c>
      <c r="D29" s="86">
        <f>SUM(D16+D17+D18+D21+D22+D23+D24+D25+D26+D27+D28)</f>
        <v>700000</v>
      </c>
      <c r="E29" s="86">
        <f>SUM(E16+E17+E18+E21+E22+E23+E24+E25+E26+E27+E28)</f>
        <v>0</v>
      </c>
      <c r="F29" s="86">
        <f>SUM(F16+F17+F18+F21+F22+F23+F24+F25+F26+F27+F28)</f>
        <v>700000</v>
      </c>
      <c r="G29" s="86">
        <f t="shared" ref="G29:K29" si="7">SUM(G16+G17+G18+G21+G22+G23+G24+G25+G26+G27+G28)</f>
        <v>1166</v>
      </c>
      <c r="H29" s="86">
        <f t="shared" si="7"/>
        <v>264316</v>
      </c>
      <c r="I29" s="86">
        <f t="shared" si="7"/>
        <v>99588</v>
      </c>
      <c r="J29" s="86">
        <f t="shared" si="7"/>
        <v>1065071</v>
      </c>
      <c r="K29" s="86">
        <f t="shared" si="7"/>
        <v>1065071</v>
      </c>
      <c r="L29" s="595">
        <f t="shared" si="4"/>
        <v>1</v>
      </c>
    </row>
    <row r="30" spans="1:12" s="84" customFormat="1" ht="21.75" customHeight="1" x14ac:dyDescent="0.3">
      <c r="A30" s="425" t="s">
        <v>70</v>
      </c>
      <c r="B30" s="85" t="s">
        <v>453</v>
      </c>
      <c r="C30" s="211" t="s">
        <v>163</v>
      </c>
      <c r="D30" s="86"/>
      <c r="E30" s="86"/>
      <c r="F30" s="86">
        <f>SUM(D30:E30)</f>
        <v>0</v>
      </c>
      <c r="G30" s="261"/>
      <c r="H30" s="664">
        <f t="shared" si="0"/>
        <v>0</v>
      </c>
      <c r="I30" s="664">
        <f t="shared" si="1"/>
        <v>0</v>
      </c>
      <c r="J30" s="261"/>
      <c r="K30" s="261"/>
      <c r="L30" s="760"/>
    </row>
    <row r="31" spans="1:12" s="83" customFormat="1" ht="21.75" customHeight="1" x14ac:dyDescent="0.3">
      <c r="A31" s="425" t="s">
        <v>72</v>
      </c>
      <c r="B31" s="85" t="s">
        <v>424</v>
      </c>
      <c r="C31" s="211" t="s">
        <v>172</v>
      </c>
      <c r="D31" s="212"/>
      <c r="E31" s="212"/>
      <c r="F31" s="212">
        <f>SUM(D31:E31)</f>
        <v>0</v>
      </c>
      <c r="G31" s="261">
        <v>45000</v>
      </c>
      <c r="H31" s="664">
        <f t="shared" si="0"/>
        <v>0</v>
      </c>
      <c r="I31" s="664">
        <f t="shared" si="1"/>
        <v>0</v>
      </c>
      <c r="J31" s="261">
        <v>45000</v>
      </c>
      <c r="K31" s="261">
        <v>45000</v>
      </c>
      <c r="L31" s="760">
        <f t="shared" si="4"/>
        <v>1</v>
      </c>
    </row>
    <row r="32" spans="1:12" s="83" customFormat="1" ht="21.75" customHeight="1" x14ac:dyDescent="0.3">
      <c r="A32" s="425" t="s">
        <v>75</v>
      </c>
      <c r="B32" s="85" t="s">
        <v>454</v>
      </c>
      <c r="C32" s="211" t="s">
        <v>181</v>
      </c>
      <c r="D32" s="212"/>
      <c r="E32" s="212"/>
      <c r="F32" s="212">
        <f>SUM(D32:E32)</f>
        <v>0</v>
      </c>
      <c r="G32" s="261"/>
      <c r="H32" s="664">
        <f t="shared" si="0"/>
        <v>0</v>
      </c>
      <c r="I32" s="664">
        <f t="shared" si="1"/>
        <v>0</v>
      </c>
      <c r="J32" s="261"/>
      <c r="K32" s="261"/>
      <c r="L32" s="760"/>
    </row>
    <row r="33" spans="1:12" s="83" customFormat="1" ht="21.75" customHeight="1" x14ac:dyDescent="0.3">
      <c r="A33" s="425" t="s">
        <v>78</v>
      </c>
      <c r="B33" s="85" t="s">
        <v>500</v>
      </c>
      <c r="C33" s="763"/>
      <c r="D33" s="86">
        <f>D10+D15+D29+D30+D31+D32</f>
        <v>1340402</v>
      </c>
      <c r="E33" s="86">
        <f>E10+E15+E29+E30+E31+E32</f>
        <v>0</v>
      </c>
      <c r="F33" s="86">
        <f>F10+F15+F29+F30+F31+F32</f>
        <v>1340402</v>
      </c>
      <c r="G33" s="86">
        <f t="shared" ref="G33:K33" si="8">G10+G15+G29+G30+G31+G32</f>
        <v>6786877</v>
      </c>
      <c r="H33" s="86">
        <f t="shared" si="8"/>
        <v>264316</v>
      </c>
      <c r="I33" s="86">
        <f t="shared" si="8"/>
        <v>99588</v>
      </c>
      <c r="J33" s="86">
        <f t="shared" si="8"/>
        <v>8491184</v>
      </c>
      <c r="K33" s="86">
        <f t="shared" si="8"/>
        <v>4965932</v>
      </c>
      <c r="L33" s="760">
        <f t="shared" si="4"/>
        <v>0.58483387004686271</v>
      </c>
    </row>
    <row r="34" spans="1:12" s="82" customFormat="1" ht="21.75" customHeight="1" x14ac:dyDescent="0.3">
      <c r="A34" s="423" t="s">
        <v>81</v>
      </c>
      <c r="B34" s="231" t="s">
        <v>501</v>
      </c>
      <c r="C34" s="313" t="s">
        <v>190</v>
      </c>
      <c r="D34" s="764">
        <f>SUM(D35:D36)</f>
        <v>0</v>
      </c>
      <c r="E34" s="764">
        <f>SUM(E35:E36)</f>
        <v>0</v>
      </c>
      <c r="F34" s="764">
        <f>SUM(F35:F36)</f>
        <v>0</v>
      </c>
      <c r="G34" s="259">
        <v>788326</v>
      </c>
      <c r="H34" s="664">
        <f t="shared" si="0"/>
        <v>0</v>
      </c>
      <c r="I34" s="664">
        <f t="shared" si="1"/>
        <v>0</v>
      </c>
      <c r="J34" s="259">
        <v>788326</v>
      </c>
      <c r="K34" s="259">
        <v>788326</v>
      </c>
      <c r="L34" s="760">
        <f t="shared" si="4"/>
        <v>1</v>
      </c>
    </row>
    <row r="35" spans="1:12" s="82" customFormat="1" ht="21.75" customHeight="1" x14ac:dyDescent="0.3">
      <c r="A35" s="423" t="s">
        <v>83</v>
      </c>
      <c r="B35" s="228" t="s">
        <v>192</v>
      </c>
      <c r="C35" s="313" t="s">
        <v>193</v>
      </c>
      <c r="D35" s="764"/>
      <c r="E35" s="764"/>
      <c r="F35" s="764">
        <f>SUM(D35:E35)</f>
        <v>0</v>
      </c>
      <c r="G35" s="259">
        <v>788326</v>
      </c>
      <c r="H35" s="664">
        <f t="shared" si="0"/>
        <v>0</v>
      </c>
      <c r="I35" s="664">
        <f t="shared" si="1"/>
        <v>0</v>
      </c>
      <c r="J35" s="259">
        <v>788326</v>
      </c>
      <c r="K35" s="259">
        <v>788326</v>
      </c>
      <c r="L35" s="760">
        <f t="shared" si="4"/>
        <v>1</v>
      </c>
    </row>
    <row r="36" spans="1:12" s="82" customFormat="1" ht="21.75" customHeight="1" x14ac:dyDescent="0.3">
      <c r="A36" s="423" t="s">
        <v>85</v>
      </c>
      <c r="B36" s="228" t="s">
        <v>195</v>
      </c>
      <c r="C36" s="313" t="s">
        <v>196</v>
      </c>
      <c r="D36" s="764"/>
      <c r="E36" s="764"/>
      <c r="F36" s="764">
        <f>SUM(D36:E36)</f>
        <v>0</v>
      </c>
      <c r="G36" s="259"/>
      <c r="H36" s="664">
        <f t="shared" si="0"/>
        <v>0</v>
      </c>
      <c r="I36" s="664">
        <f t="shared" si="1"/>
        <v>0</v>
      </c>
      <c r="J36" s="259"/>
      <c r="K36" s="259"/>
      <c r="L36" s="760"/>
    </row>
    <row r="37" spans="1:12" s="82" customFormat="1" ht="21.75" customHeight="1" x14ac:dyDescent="0.3">
      <c r="A37" s="423" t="s">
        <v>87</v>
      </c>
      <c r="B37" s="231" t="s">
        <v>502</v>
      </c>
      <c r="C37" s="313" t="s">
        <v>503</v>
      </c>
      <c r="D37" s="764">
        <f>SUM(D38:D39)</f>
        <v>27195291</v>
      </c>
      <c r="E37" s="764">
        <f t="shared" ref="E37:F37" si="9">SUM(E38:E39)</f>
        <v>0</v>
      </c>
      <c r="F37" s="764">
        <f t="shared" si="9"/>
        <v>27195291</v>
      </c>
      <c r="G37" s="259">
        <v>1798193</v>
      </c>
      <c r="H37" s="664">
        <v>879836</v>
      </c>
      <c r="I37" s="664">
        <f t="shared" si="1"/>
        <v>485927</v>
      </c>
      <c r="J37" s="259">
        <v>30359247</v>
      </c>
      <c r="K37" s="259">
        <v>27808686</v>
      </c>
      <c r="L37" s="760">
        <f t="shared" si="4"/>
        <v>0.91598734316434138</v>
      </c>
    </row>
    <row r="38" spans="1:12" s="82" customFormat="1" ht="21.75" customHeight="1" x14ac:dyDescent="0.3">
      <c r="A38" s="423"/>
      <c r="B38" s="436" t="s">
        <v>590</v>
      </c>
      <c r="C38" s="304" t="s">
        <v>503</v>
      </c>
      <c r="D38" s="447">
        <f>19867920+53594</f>
        <v>19921514</v>
      </c>
      <c r="E38" s="447"/>
      <c r="F38" s="447">
        <f>SUM(D38:E38)</f>
        <v>19921514</v>
      </c>
      <c r="G38" s="765">
        <v>1798193</v>
      </c>
      <c r="H38" s="664">
        <v>879836</v>
      </c>
      <c r="I38" s="664">
        <f t="shared" si="1"/>
        <v>5385331</v>
      </c>
      <c r="J38" s="765">
        <v>27984874</v>
      </c>
      <c r="K38" s="259">
        <f>F38+H38</f>
        <v>20801350</v>
      </c>
      <c r="L38" s="760">
        <f t="shared" si="4"/>
        <v>0.74330690215006867</v>
      </c>
    </row>
    <row r="39" spans="1:12" s="82" customFormat="1" ht="21.75" customHeight="1" x14ac:dyDescent="0.3">
      <c r="A39" s="423"/>
      <c r="B39" s="437" t="s">
        <v>591</v>
      </c>
      <c r="C39" s="304" t="s">
        <v>503</v>
      </c>
      <c r="D39" s="447">
        <f>7273777</f>
        <v>7273777</v>
      </c>
      <c r="E39" s="447"/>
      <c r="F39" s="447">
        <f>SUM(D39:E39)</f>
        <v>7273777</v>
      </c>
      <c r="G39" s="765"/>
      <c r="H39" s="664">
        <v>0</v>
      </c>
      <c r="I39" s="664">
        <f t="shared" si="1"/>
        <v>-4899404</v>
      </c>
      <c r="J39" s="765">
        <v>2374373</v>
      </c>
      <c r="K39" s="259">
        <v>7273777</v>
      </c>
      <c r="L39" s="760">
        <f t="shared" si="4"/>
        <v>3.0634516986168561</v>
      </c>
    </row>
    <row r="40" spans="1:12" s="82" customFormat="1" ht="21.75" customHeight="1" x14ac:dyDescent="0.3">
      <c r="A40" s="423" t="s">
        <v>90</v>
      </c>
      <c r="B40" s="85" t="s">
        <v>504</v>
      </c>
      <c r="C40" s="88" t="s">
        <v>505</v>
      </c>
      <c r="D40" s="87">
        <f>SUM(D34+D37)</f>
        <v>27195291</v>
      </c>
      <c r="E40" s="87">
        <f>SUM(E34+E37)</f>
        <v>0</v>
      </c>
      <c r="F40" s="87">
        <f>SUM(F34+F37)</f>
        <v>27195291</v>
      </c>
      <c r="G40" s="87">
        <f t="shared" ref="G40:K40" si="10">SUM(G34+G37)</f>
        <v>2586519</v>
      </c>
      <c r="H40" s="87">
        <f t="shared" si="10"/>
        <v>879836</v>
      </c>
      <c r="I40" s="87">
        <f t="shared" si="10"/>
        <v>485927</v>
      </c>
      <c r="J40" s="87">
        <f t="shared" si="10"/>
        <v>31147573</v>
      </c>
      <c r="K40" s="87">
        <f t="shared" si="10"/>
        <v>28597012</v>
      </c>
      <c r="L40" s="595">
        <f t="shared" si="4"/>
        <v>0.91811365206528295</v>
      </c>
    </row>
    <row r="41" spans="1:12" s="82" customFormat="1" ht="21.75" customHeight="1" x14ac:dyDescent="0.3">
      <c r="A41" s="425" t="s">
        <v>94</v>
      </c>
      <c r="B41" s="85" t="s">
        <v>593</v>
      </c>
      <c r="C41" s="88" t="s">
        <v>199</v>
      </c>
      <c r="D41" s="87">
        <f>D40</f>
        <v>27195291</v>
      </c>
      <c r="E41" s="87">
        <f t="shared" ref="E41:K41" si="11">E40</f>
        <v>0</v>
      </c>
      <c r="F41" s="87">
        <f t="shared" si="11"/>
        <v>27195291</v>
      </c>
      <c r="G41" s="87">
        <f t="shared" si="11"/>
        <v>2586519</v>
      </c>
      <c r="H41" s="87">
        <f t="shared" si="11"/>
        <v>879836</v>
      </c>
      <c r="I41" s="87">
        <f t="shared" si="11"/>
        <v>485927</v>
      </c>
      <c r="J41" s="87">
        <f t="shared" si="11"/>
        <v>31147573</v>
      </c>
      <c r="K41" s="87">
        <f t="shared" si="11"/>
        <v>28597012</v>
      </c>
      <c r="L41" s="595">
        <f t="shared" si="4"/>
        <v>0.91811365206528295</v>
      </c>
    </row>
    <row r="42" spans="1:12" s="82" customFormat="1" ht="21.75" customHeight="1" x14ac:dyDescent="0.3">
      <c r="A42" s="425" t="s">
        <v>97</v>
      </c>
      <c r="B42" s="85" t="s">
        <v>507</v>
      </c>
      <c r="C42" s="88"/>
      <c r="D42" s="87">
        <f>D33+D41</f>
        <v>28535693</v>
      </c>
      <c r="E42" s="87">
        <f>E33+E41</f>
        <v>0</v>
      </c>
      <c r="F42" s="87">
        <f>F33+F41</f>
        <v>28535693</v>
      </c>
      <c r="G42" s="87">
        <f t="shared" ref="G42:K42" si="12">G33+G41</f>
        <v>9373396</v>
      </c>
      <c r="H42" s="87">
        <f t="shared" si="12"/>
        <v>1144152</v>
      </c>
      <c r="I42" s="87">
        <f t="shared" si="12"/>
        <v>585515</v>
      </c>
      <c r="J42" s="87">
        <f t="shared" si="12"/>
        <v>39638757</v>
      </c>
      <c r="K42" s="87">
        <f t="shared" si="12"/>
        <v>33562944</v>
      </c>
      <c r="L42" s="595">
        <f t="shared" si="4"/>
        <v>0.84672039539484045</v>
      </c>
    </row>
    <row r="43" spans="1:12" s="82" customFormat="1" ht="15" customHeight="1" x14ac:dyDescent="0.3">
      <c r="A43" s="89"/>
      <c r="B43" s="90"/>
      <c r="C43" s="91"/>
      <c r="D43" s="92"/>
      <c r="E43" s="92"/>
      <c r="F43" s="92"/>
      <c r="G43" s="260"/>
      <c r="H43" s="665"/>
      <c r="I43" s="665"/>
      <c r="J43" s="260"/>
      <c r="K43" s="263"/>
      <c r="L43" s="602"/>
    </row>
    <row r="44" spans="1:12" s="82" customFormat="1" ht="15" customHeight="1" x14ac:dyDescent="0.3">
      <c r="A44" s="880" t="s">
        <v>508</v>
      </c>
      <c r="B44" s="880"/>
      <c r="C44" s="880"/>
      <c r="D44" s="880"/>
      <c r="E44" s="880"/>
      <c r="F44" s="880"/>
      <c r="G44" s="880"/>
      <c r="H44" s="880"/>
      <c r="I44" s="880"/>
      <c r="J44" s="880"/>
      <c r="K44" s="263"/>
      <c r="L44" s="602"/>
    </row>
    <row r="45" spans="1:12" s="438" customFormat="1" ht="38.25" customHeight="1" x14ac:dyDescent="0.3">
      <c r="A45" s="88" t="s">
        <v>404</v>
      </c>
      <c r="B45" s="88" t="s">
        <v>267</v>
      </c>
      <c r="C45" s="576" t="s">
        <v>469</v>
      </c>
      <c r="D45" s="576" t="s">
        <v>470</v>
      </c>
      <c r="E45" s="576" t="s">
        <v>471</v>
      </c>
      <c r="F45" s="576" t="s">
        <v>509</v>
      </c>
      <c r="G45" s="594" t="s">
        <v>824</v>
      </c>
      <c r="H45" s="594" t="s">
        <v>825</v>
      </c>
      <c r="I45" s="594" t="s">
        <v>856</v>
      </c>
      <c r="J45" s="594" t="s">
        <v>798</v>
      </c>
      <c r="K45" s="594" t="s">
        <v>826</v>
      </c>
      <c r="L45" s="595" t="s">
        <v>827</v>
      </c>
    </row>
    <row r="46" spans="1:12" s="572" customFormat="1" ht="15" customHeight="1" x14ac:dyDescent="0.3">
      <c r="A46" s="88" t="s">
        <v>6</v>
      </c>
      <c r="B46" s="88" t="s">
        <v>7</v>
      </c>
      <c r="C46" s="88"/>
      <c r="D46" s="88" t="s">
        <v>9</v>
      </c>
      <c r="E46" s="88" t="s">
        <v>269</v>
      </c>
      <c r="F46" s="88" t="s">
        <v>472</v>
      </c>
      <c r="G46" s="594" t="s">
        <v>796</v>
      </c>
      <c r="H46" s="594" t="s">
        <v>799</v>
      </c>
      <c r="I46" s="594" t="s">
        <v>800</v>
      </c>
      <c r="J46" s="594" t="s">
        <v>828</v>
      </c>
      <c r="K46" s="766" t="s">
        <v>829</v>
      </c>
      <c r="L46" s="767" t="s">
        <v>830</v>
      </c>
    </row>
    <row r="47" spans="1:12" s="82" customFormat="1" ht="24.75" customHeight="1" x14ac:dyDescent="0.3">
      <c r="A47" s="768" t="s">
        <v>10</v>
      </c>
      <c r="B47" s="442" t="s">
        <v>204</v>
      </c>
      <c r="C47" s="424" t="s">
        <v>205</v>
      </c>
      <c r="D47" s="298">
        <v>17964620</v>
      </c>
      <c r="E47" s="298"/>
      <c r="F47" s="298">
        <f>SUM(D47:E47)</f>
        <v>17964620</v>
      </c>
      <c r="G47" s="769">
        <v>6577812</v>
      </c>
      <c r="H47" s="769">
        <v>697479</v>
      </c>
      <c r="I47" s="769">
        <f>J47-F47-G47-H47</f>
        <v>398301</v>
      </c>
      <c r="J47" s="769">
        <v>25638212</v>
      </c>
      <c r="K47" s="769">
        <v>21127379</v>
      </c>
      <c r="L47" s="770">
        <f>K47/J47</f>
        <v>0.82405820655512174</v>
      </c>
    </row>
    <row r="48" spans="1:12" s="82" customFormat="1" ht="24.75" customHeight="1" x14ac:dyDescent="0.3">
      <c r="A48" s="768" t="s">
        <v>13</v>
      </c>
      <c r="B48" s="442" t="s">
        <v>206</v>
      </c>
      <c r="C48" s="424" t="s">
        <v>207</v>
      </c>
      <c r="D48" s="298">
        <v>3905423</v>
      </c>
      <c r="E48" s="298"/>
      <c r="F48" s="298">
        <f>SUM(D48:E48)</f>
        <v>3905423</v>
      </c>
      <c r="G48" s="769">
        <v>761538</v>
      </c>
      <c r="H48" s="769">
        <v>269983</v>
      </c>
      <c r="I48" s="769">
        <f t="shared" ref="I48:I59" si="13">J48-F48-G48-H48</f>
        <v>0</v>
      </c>
      <c r="J48" s="769">
        <v>4936944</v>
      </c>
      <c r="K48" s="769">
        <v>4455307</v>
      </c>
      <c r="L48" s="770">
        <f t="shared" ref="L48:L60" si="14">K48/J48</f>
        <v>0.90244228008257743</v>
      </c>
    </row>
    <row r="49" spans="1:12" s="82" customFormat="1" ht="24.75" customHeight="1" x14ac:dyDescent="0.3">
      <c r="A49" s="768" t="s">
        <v>16</v>
      </c>
      <c r="B49" s="442" t="s">
        <v>208</v>
      </c>
      <c r="C49" s="424" t="s">
        <v>209</v>
      </c>
      <c r="D49" s="298">
        <v>6665650</v>
      </c>
      <c r="E49" s="298"/>
      <c r="F49" s="298">
        <f>SUM(D49:E49)</f>
        <v>6665650</v>
      </c>
      <c r="G49" s="769">
        <v>2034046</v>
      </c>
      <c r="H49" s="769">
        <v>-284196</v>
      </c>
      <c r="I49" s="769">
        <f t="shared" si="13"/>
        <v>0</v>
      </c>
      <c r="J49" s="769">
        <v>8415500</v>
      </c>
      <c r="K49" s="769">
        <v>6971329</v>
      </c>
      <c r="L49" s="770">
        <f t="shared" si="14"/>
        <v>0.82839153942130594</v>
      </c>
    </row>
    <row r="50" spans="1:12" s="82" customFormat="1" ht="24.75" customHeight="1" x14ac:dyDescent="0.3">
      <c r="A50" s="768" t="s">
        <v>19</v>
      </c>
      <c r="B50" s="442" t="s">
        <v>210</v>
      </c>
      <c r="C50" s="424" t="s">
        <v>211</v>
      </c>
      <c r="D50" s="298"/>
      <c r="E50" s="298"/>
      <c r="F50" s="298">
        <f>SUM(D50:E50)</f>
        <v>0</v>
      </c>
      <c r="G50" s="769">
        <f t="shared" ref="G50" si="15">J50-F50</f>
        <v>0</v>
      </c>
      <c r="H50" s="769">
        <f t="shared" ref="H50:H51" si="16">J50-F50</f>
        <v>0</v>
      </c>
      <c r="I50" s="769">
        <f t="shared" si="13"/>
        <v>0</v>
      </c>
      <c r="J50" s="769"/>
      <c r="K50" s="769">
        <v>0</v>
      </c>
      <c r="L50" s="770"/>
    </row>
    <row r="51" spans="1:12" s="82" customFormat="1" ht="24.75" customHeight="1" x14ac:dyDescent="0.3">
      <c r="A51" s="768" t="s">
        <v>22</v>
      </c>
      <c r="B51" s="442" t="s">
        <v>212</v>
      </c>
      <c r="C51" s="424" t="s">
        <v>213</v>
      </c>
      <c r="D51" s="298"/>
      <c r="E51" s="298"/>
      <c r="F51" s="298">
        <f>SUM(D51:E51)</f>
        <v>0</v>
      </c>
      <c r="G51" s="769"/>
      <c r="H51" s="769">
        <f t="shared" si="16"/>
        <v>0</v>
      </c>
      <c r="I51" s="769">
        <f t="shared" si="13"/>
        <v>0</v>
      </c>
      <c r="J51" s="769"/>
      <c r="K51" s="769">
        <v>0</v>
      </c>
      <c r="L51" s="770"/>
    </row>
    <row r="52" spans="1:12" s="81" customFormat="1" ht="24.75" customHeight="1" x14ac:dyDescent="0.3">
      <c r="A52" s="94" t="s">
        <v>25</v>
      </c>
      <c r="B52" s="310" t="s">
        <v>510</v>
      </c>
      <c r="C52" s="88" t="s">
        <v>230</v>
      </c>
      <c r="D52" s="214">
        <f>SUM(D47:D51)</f>
        <v>28535693</v>
      </c>
      <c r="E52" s="214">
        <f>SUM(E47:E51)</f>
        <v>0</v>
      </c>
      <c r="F52" s="214">
        <f>SUM(F47:F51)</f>
        <v>28535693</v>
      </c>
      <c r="G52" s="214">
        <f t="shared" ref="G52:K52" si="17">SUM(G47:G51)</f>
        <v>9373396</v>
      </c>
      <c r="H52" s="214">
        <f t="shared" si="17"/>
        <v>683266</v>
      </c>
      <c r="I52" s="214">
        <f t="shared" si="17"/>
        <v>398301</v>
      </c>
      <c r="J52" s="214">
        <f t="shared" si="17"/>
        <v>38990656</v>
      </c>
      <c r="K52" s="214">
        <f t="shared" si="17"/>
        <v>32554015</v>
      </c>
      <c r="L52" s="593">
        <f t="shared" si="14"/>
        <v>0.83491837121181034</v>
      </c>
    </row>
    <row r="53" spans="1:12" s="93" customFormat="1" ht="24.75" customHeight="1" x14ac:dyDescent="0.3">
      <c r="A53" s="768" t="s">
        <v>28</v>
      </c>
      <c r="B53" s="442" t="s">
        <v>511</v>
      </c>
      <c r="C53" s="424" t="s">
        <v>232</v>
      </c>
      <c r="D53" s="298"/>
      <c r="E53" s="298"/>
      <c r="F53" s="298">
        <f>SUM(D53:E53)</f>
        <v>0</v>
      </c>
      <c r="G53" s="261"/>
      <c r="H53" s="769">
        <v>460886</v>
      </c>
      <c r="I53" s="769">
        <f t="shared" si="13"/>
        <v>187215</v>
      </c>
      <c r="J53" s="769">
        <v>648101</v>
      </c>
      <c r="K53" s="769">
        <v>648101</v>
      </c>
      <c r="L53" s="770">
        <f t="shared" si="14"/>
        <v>1</v>
      </c>
    </row>
    <row r="54" spans="1:12" ht="24.75" customHeight="1" x14ac:dyDescent="0.3">
      <c r="A54" s="768" t="s">
        <v>31</v>
      </c>
      <c r="B54" s="442" t="s">
        <v>233</v>
      </c>
      <c r="C54" s="424" t="s">
        <v>234</v>
      </c>
      <c r="D54" s="298"/>
      <c r="E54" s="298"/>
      <c r="F54" s="298">
        <f>SUM(D54:E54)</f>
        <v>0</v>
      </c>
      <c r="G54" s="769"/>
      <c r="H54" s="769">
        <v>0</v>
      </c>
      <c r="I54" s="769">
        <f t="shared" si="13"/>
        <v>0</v>
      </c>
      <c r="J54" s="769"/>
      <c r="K54" s="769"/>
      <c r="L54" s="770"/>
    </row>
    <row r="55" spans="1:12" ht="24.75" customHeight="1" x14ac:dyDescent="0.3">
      <c r="A55" s="768" t="s">
        <v>34</v>
      </c>
      <c r="B55" s="442" t="s">
        <v>512</v>
      </c>
      <c r="C55" s="424" t="s">
        <v>236</v>
      </c>
      <c r="D55" s="298"/>
      <c r="E55" s="298"/>
      <c r="F55" s="298">
        <f>SUM(D55:E55)</f>
        <v>0</v>
      </c>
      <c r="G55" s="769"/>
      <c r="H55" s="769"/>
      <c r="I55" s="769">
        <f t="shared" si="13"/>
        <v>0</v>
      </c>
      <c r="J55" s="769"/>
      <c r="K55" s="769"/>
      <c r="L55" s="770"/>
    </row>
    <row r="56" spans="1:12" ht="24.75" customHeight="1" x14ac:dyDescent="0.3">
      <c r="A56" s="94" t="s">
        <v>37</v>
      </c>
      <c r="B56" s="95" t="s">
        <v>513</v>
      </c>
      <c r="C56" s="88" t="s">
        <v>248</v>
      </c>
      <c r="D56" s="214">
        <f>SUM(D53:D55)</f>
        <v>0</v>
      </c>
      <c r="E56" s="214">
        <f t="shared" ref="E56:K56" si="18">SUM(E53:E55)</f>
        <v>0</v>
      </c>
      <c r="F56" s="214">
        <f t="shared" si="18"/>
        <v>0</v>
      </c>
      <c r="G56" s="214">
        <f t="shared" si="18"/>
        <v>0</v>
      </c>
      <c r="H56" s="214">
        <f t="shared" si="18"/>
        <v>460886</v>
      </c>
      <c r="I56" s="214">
        <f t="shared" si="18"/>
        <v>187215</v>
      </c>
      <c r="J56" s="214">
        <f t="shared" si="18"/>
        <v>648101</v>
      </c>
      <c r="K56" s="214">
        <f t="shared" si="18"/>
        <v>648101</v>
      </c>
      <c r="L56" s="593">
        <f t="shared" si="14"/>
        <v>1</v>
      </c>
    </row>
    <row r="57" spans="1:12" ht="24.75" customHeight="1" x14ac:dyDescent="0.3">
      <c r="A57" s="94" t="s">
        <v>39</v>
      </c>
      <c r="B57" s="95" t="s">
        <v>514</v>
      </c>
      <c r="C57" s="88" t="s">
        <v>515</v>
      </c>
      <c r="D57" s="96">
        <f>D52+D56</f>
        <v>28535693</v>
      </c>
      <c r="E57" s="96">
        <f>E52+E56</f>
        <v>0</v>
      </c>
      <c r="F57" s="96">
        <f>F52+F56</f>
        <v>28535693</v>
      </c>
      <c r="G57" s="96">
        <f t="shared" ref="G57:K57" si="19">G52+G56</f>
        <v>9373396</v>
      </c>
      <c r="H57" s="96">
        <f t="shared" si="19"/>
        <v>1144152</v>
      </c>
      <c r="I57" s="96">
        <f t="shared" si="19"/>
        <v>585516</v>
      </c>
      <c r="J57" s="96">
        <f t="shared" si="19"/>
        <v>39638757</v>
      </c>
      <c r="K57" s="96">
        <f t="shared" si="19"/>
        <v>33202116</v>
      </c>
      <c r="L57" s="593">
        <f t="shared" si="14"/>
        <v>0.83761748634045208</v>
      </c>
    </row>
    <row r="58" spans="1:12" ht="24.75" customHeight="1" x14ac:dyDescent="0.3">
      <c r="A58" s="424" t="s">
        <v>41</v>
      </c>
      <c r="B58" s="95" t="s">
        <v>516</v>
      </c>
      <c r="C58" s="88" t="s">
        <v>517</v>
      </c>
      <c r="D58" s="96"/>
      <c r="E58" s="96"/>
      <c r="F58" s="96">
        <f>SUM(D58:E58)</f>
        <v>0</v>
      </c>
      <c r="G58" s="769"/>
      <c r="H58" s="769"/>
      <c r="I58" s="769">
        <f t="shared" si="13"/>
        <v>0</v>
      </c>
      <c r="J58" s="769"/>
      <c r="K58" s="769"/>
      <c r="L58" s="593"/>
    </row>
    <row r="59" spans="1:12" ht="24.75" customHeight="1" x14ac:dyDescent="0.3">
      <c r="A59" s="88" t="s">
        <v>45</v>
      </c>
      <c r="B59" s="95" t="s">
        <v>592</v>
      </c>
      <c r="C59" s="88" t="s">
        <v>260</v>
      </c>
      <c r="D59" s="96">
        <f>SUM(D58:D58)</f>
        <v>0</v>
      </c>
      <c r="E59" s="96">
        <f>SUM(E58:E58)</f>
        <v>0</v>
      </c>
      <c r="F59" s="96">
        <f>SUM(F58:F58)</f>
        <v>0</v>
      </c>
      <c r="G59" s="769"/>
      <c r="H59" s="769"/>
      <c r="I59" s="769">
        <f t="shared" si="13"/>
        <v>0</v>
      </c>
      <c r="J59" s="769"/>
      <c r="K59" s="769"/>
      <c r="L59" s="593"/>
    </row>
    <row r="60" spans="1:12" ht="24.75" customHeight="1" x14ac:dyDescent="0.3">
      <c r="A60" s="88" t="s">
        <v>47</v>
      </c>
      <c r="B60" s="95" t="s">
        <v>518</v>
      </c>
      <c r="C60" s="88" t="s">
        <v>262</v>
      </c>
      <c r="D60" s="96">
        <f>SUM(D57+D59)</f>
        <v>28535693</v>
      </c>
      <c r="E60" s="96">
        <f>SUM(E57+E59)</f>
        <v>0</v>
      </c>
      <c r="F60" s="96">
        <f>SUM(F57+F59)</f>
        <v>28535693</v>
      </c>
      <c r="G60" s="96">
        <f t="shared" ref="G60:K60" si="20">SUM(G57+G59)</f>
        <v>9373396</v>
      </c>
      <c r="H60" s="96">
        <f t="shared" si="20"/>
        <v>1144152</v>
      </c>
      <c r="I60" s="96">
        <f t="shared" si="20"/>
        <v>585516</v>
      </c>
      <c r="J60" s="96">
        <f t="shared" si="20"/>
        <v>39638757</v>
      </c>
      <c r="K60" s="96">
        <f t="shared" si="20"/>
        <v>33202116</v>
      </c>
      <c r="L60" s="593">
        <f t="shared" si="14"/>
        <v>0.83761748634045208</v>
      </c>
    </row>
    <row r="61" spans="1:12" ht="12" customHeight="1" x14ac:dyDescent="0.3">
      <c r="A61" s="97"/>
      <c r="B61" s="98"/>
      <c r="C61" s="99"/>
      <c r="D61" s="99"/>
      <c r="E61" s="99"/>
      <c r="F61" s="99"/>
      <c r="G61" s="262"/>
      <c r="H61" s="667"/>
      <c r="I61" s="667"/>
      <c r="J61" s="262"/>
      <c r="K61" s="262"/>
      <c r="L61" s="599"/>
    </row>
    <row r="62" spans="1:12" ht="12" customHeight="1" x14ac:dyDescent="0.3">
      <c r="A62" s="97"/>
      <c r="B62" s="98"/>
      <c r="C62" s="99"/>
      <c r="D62" s="99"/>
      <c r="E62" s="99"/>
      <c r="F62" s="99"/>
      <c r="G62" s="262"/>
      <c r="H62" s="667"/>
      <c r="I62" s="667"/>
      <c r="J62" s="262"/>
      <c r="K62" s="262"/>
      <c r="L62" s="599"/>
    </row>
    <row r="63" spans="1:12" x14ac:dyDescent="0.3">
      <c r="A63" s="100"/>
      <c r="B63" s="101"/>
      <c r="C63" s="101"/>
    </row>
    <row r="64" spans="1:12" x14ac:dyDescent="0.3">
      <c r="A64" s="100"/>
      <c r="B64" s="101"/>
      <c r="C64" s="101"/>
    </row>
    <row r="65" spans="1:3" x14ac:dyDescent="0.3">
      <c r="A65" s="100"/>
      <c r="B65" s="101"/>
      <c r="C65" s="101"/>
    </row>
  </sheetData>
  <sheetProtection formatCells="0"/>
  <mergeCells count="3">
    <mergeCell ref="A44:J44"/>
    <mergeCell ref="A1:L1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verticalDpi="300" r:id="rId1"/>
  <headerFooter alignWithMargins="0">
    <oddHeader>&amp;R&amp;"Times New Roman CE,Félkövér dőlt"&amp;11 11. melléklet a 4/2018. (III.19.)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Layout" topLeftCell="C1" zoomScaleNormal="100" workbookViewId="0">
      <selection activeCell="J5" sqref="J4:K5"/>
    </sheetView>
  </sheetViews>
  <sheetFormatPr defaultRowHeight="13.5" x14ac:dyDescent="0.35"/>
  <cols>
    <col min="1" max="1" width="6.69921875" style="71" customWidth="1"/>
    <col min="2" max="2" width="24.69921875" style="49" customWidth="1"/>
    <col min="3" max="3" width="13" style="49" customWidth="1"/>
    <col min="4" max="5" width="15.5" style="72" customWidth="1"/>
    <col min="6" max="6" width="11.5" style="72" customWidth="1"/>
    <col min="7" max="7" width="13" style="72" customWidth="1"/>
    <col min="8" max="9" width="14" style="72" customWidth="1"/>
    <col min="10" max="10" width="13.296875" style="49" customWidth="1"/>
    <col min="11" max="11" width="16.796875" style="49" customWidth="1"/>
    <col min="12" max="12" width="14.69921875" style="58" customWidth="1"/>
    <col min="13" max="257" width="9.296875" style="49"/>
    <col min="258" max="258" width="6.69921875" style="49" customWidth="1"/>
    <col min="259" max="259" width="24.69921875" style="49" customWidth="1"/>
    <col min="260" max="260" width="13" style="49" customWidth="1"/>
    <col min="261" max="262" width="15.5" style="49" customWidth="1"/>
    <col min="263" max="263" width="11.5" style="49" customWidth="1"/>
    <col min="264" max="264" width="13" style="49" customWidth="1"/>
    <col min="265" max="266" width="14" style="49" customWidth="1"/>
    <col min="267" max="267" width="13.296875" style="49" customWidth="1"/>
    <col min="268" max="268" width="14.69921875" style="49" customWidth="1"/>
    <col min="269" max="513" width="9.296875" style="49"/>
    <col min="514" max="514" width="6.69921875" style="49" customWidth="1"/>
    <col min="515" max="515" width="24.69921875" style="49" customWidth="1"/>
    <col min="516" max="516" width="13" style="49" customWidth="1"/>
    <col min="517" max="518" width="15.5" style="49" customWidth="1"/>
    <col min="519" max="519" width="11.5" style="49" customWidth="1"/>
    <col min="520" max="520" width="13" style="49" customWidth="1"/>
    <col min="521" max="522" width="14" style="49" customWidth="1"/>
    <col min="523" max="523" width="13.296875" style="49" customWidth="1"/>
    <col min="524" max="524" width="14.69921875" style="49" customWidth="1"/>
    <col min="525" max="769" width="9.296875" style="49"/>
    <col min="770" max="770" width="6.69921875" style="49" customWidth="1"/>
    <col min="771" max="771" width="24.69921875" style="49" customWidth="1"/>
    <col min="772" max="772" width="13" style="49" customWidth="1"/>
    <col min="773" max="774" width="15.5" style="49" customWidth="1"/>
    <col min="775" max="775" width="11.5" style="49" customWidth="1"/>
    <col min="776" max="776" width="13" style="49" customWidth="1"/>
    <col min="777" max="778" width="14" style="49" customWidth="1"/>
    <col min="779" max="779" width="13.296875" style="49" customWidth="1"/>
    <col min="780" max="780" width="14.69921875" style="49" customWidth="1"/>
    <col min="781" max="1025" width="9.296875" style="49"/>
    <col min="1026" max="1026" width="6.69921875" style="49" customWidth="1"/>
    <col min="1027" max="1027" width="24.69921875" style="49" customWidth="1"/>
    <col min="1028" max="1028" width="13" style="49" customWidth="1"/>
    <col min="1029" max="1030" width="15.5" style="49" customWidth="1"/>
    <col min="1031" max="1031" width="11.5" style="49" customWidth="1"/>
    <col min="1032" max="1032" width="13" style="49" customWidth="1"/>
    <col min="1033" max="1034" width="14" style="49" customWidth="1"/>
    <col min="1035" max="1035" width="13.296875" style="49" customWidth="1"/>
    <col min="1036" max="1036" width="14.69921875" style="49" customWidth="1"/>
    <col min="1037" max="1281" width="9.296875" style="49"/>
    <col min="1282" max="1282" width="6.69921875" style="49" customWidth="1"/>
    <col min="1283" max="1283" width="24.69921875" style="49" customWidth="1"/>
    <col min="1284" max="1284" width="13" style="49" customWidth="1"/>
    <col min="1285" max="1286" width="15.5" style="49" customWidth="1"/>
    <col min="1287" max="1287" width="11.5" style="49" customWidth="1"/>
    <col min="1288" max="1288" width="13" style="49" customWidth="1"/>
    <col min="1289" max="1290" width="14" style="49" customWidth="1"/>
    <col min="1291" max="1291" width="13.296875" style="49" customWidth="1"/>
    <col min="1292" max="1292" width="14.69921875" style="49" customWidth="1"/>
    <col min="1293" max="1537" width="9.296875" style="49"/>
    <col min="1538" max="1538" width="6.69921875" style="49" customWidth="1"/>
    <col min="1539" max="1539" width="24.69921875" style="49" customWidth="1"/>
    <col min="1540" max="1540" width="13" style="49" customWidth="1"/>
    <col min="1541" max="1542" width="15.5" style="49" customWidth="1"/>
    <col min="1543" max="1543" width="11.5" style="49" customWidth="1"/>
    <col min="1544" max="1544" width="13" style="49" customWidth="1"/>
    <col min="1545" max="1546" width="14" style="49" customWidth="1"/>
    <col min="1547" max="1547" width="13.296875" style="49" customWidth="1"/>
    <col min="1548" max="1548" width="14.69921875" style="49" customWidth="1"/>
    <col min="1549" max="1793" width="9.296875" style="49"/>
    <col min="1794" max="1794" width="6.69921875" style="49" customWidth="1"/>
    <col min="1795" max="1795" width="24.69921875" style="49" customWidth="1"/>
    <col min="1796" max="1796" width="13" style="49" customWidth="1"/>
    <col min="1797" max="1798" width="15.5" style="49" customWidth="1"/>
    <col min="1799" max="1799" width="11.5" style="49" customWidth="1"/>
    <col min="1800" max="1800" width="13" style="49" customWidth="1"/>
    <col min="1801" max="1802" width="14" style="49" customWidth="1"/>
    <col min="1803" max="1803" width="13.296875" style="49" customWidth="1"/>
    <col min="1804" max="1804" width="14.69921875" style="49" customWidth="1"/>
    <col min="1805" max="2049" width="9.296875" style="49"/>
    <col min="2050" max="2050" width="6.69921875" style="49" customWidth="1"/>
    <col min="2051" max="2051" width="24.69921875" style="49" customWidth="1"/>
    <col min="2052" max="2052" width="13" style="49" customWidth="1"/>
    <col min="2053" max="2054" width="15.5" style="49" customWidth="1"/>
    <col min="2055" max="2055" width="11.5" style="49" customWidth="1"/>
    <col min="2056" max="2056" width="13" style="49" customWidth="1"/>
    <col min="2057" max="2058" width="14" style="49" customWidth="1"/>
    <col min="2059" max="2059" width="13.296875" style="49" customWidth="1"/>
    <col min="2060" max="2060" width="14.69921875" style="49" customWidth="1"/>
    <col min="2061" max="2305" width="9.296875" style="49"/>
    <col min="2306" max="2306" width="6.69921875" style="49" customWidth="1"/>
    <col min="2307" max="2307" width="24.69921875" style="49" customWidth="1"/>
    <col min="2308" max="2308" width="13" style="49" customWidth="1"/>
    <col min="2309" max="2310" width="15.5" style="49" customWidth="1"/>
    <col min="2311" max="2311" width="11.5" style="49" customWidth="1"/>
    <col min="2312" max="2312" width="13" style="49" customWidth="1"/>
    <col min="2313" max="2314" width="14" style="49" customWidth="1"/>
    <col min="2315" max="2315" width="13.296875" style="49" customWidth="1"/>
    <col min="2316" max="2316" width="14.69921875" style="49" customWidth="1"/>
    <col min="2317" max="2561" width="9.296875" style="49"/>
    <col min="2562" max="2562" width="6.69921875" style="49" customWidth="1"/>
    <col min="2563" max="2563" width="24.69921875" style="49" customWidth="1"/>
    <col min="2564" max="2564" width="13" style="49" customWidth="1"/>
    <col min="2565" max="2566" width="15.5" style="49" customWidth="1"/>
    <col min="2567" max="2567" width="11.5" style="49" customWidth="1"/>
    <col min="2568" max="2568" width="13" style="49" customWidth="1"/>
    <col min="2569" max="2570" width="14" style="49" customWidth="1"/>
    <col min="2571" max="2571" width="13.296875" style="49" customWidth="1"/>
    <col min="2572" max="2572" width="14.69921875" style="49" customWidth="1"/>
    <col min="2573" max="2817" width="9.296875" style="49"/>
    <col min="2818" max="2818" width="6.69921875" style="49" customWidth="1"/>
    <col min="2819" max="2819" width="24.69921875" style="49" customWidth="1"/>
    <col min="2820" max="2820" width="13" style="49" customWidth="1"/>
    <col min="2821" max="2822" width="15.5" style="49" customWidth="1"/>
    <col min="2823" max="2823" width="11.5" style="49" customWidth="1"/>
    <col min="2824" max="2824" width="13" style="49" customWidth="1"/>
    <col min="2825" max="2826" width="14" style="49" customWidth="1"/>
    <col min="2827" max="2827" width="13.296875" style="49" customWidth="1"/>
    <col min="2828" max="2828" width="14.69921875" style="49" customWidth="1"/>
    <col min="2829" max="3073" width="9.296875" style="49"/>
    <col min="3074" max="3074" width="6.69921875" style="49" customWidth="1"/>
    <col min="3075" max="3075" width="24.69921875" style="49" customWidth="1"/>
    <col min="3076" max="3076" width="13" style="49" customWidth="1"/>
    <col min="3077" max="3078" width="15.5" style="49" customWidth="1"/>
    <col min="3079" max="3079" width="11.5" style="49" customWidth="1"/>
    <col min="3080" max="3080" width="13" style="49" customWidth="1"/>
    <col min="3081" max="3082" width="14" style="49" customWidth="1"/>
    <col min="3083" max="3083" width="13.296875" style="49" customWidth="1"/>
    <col min="3084" max="3084" width="14.69921875" style="49" customWidth="1"/>
    <col min="3085" max="3329" width="9.296875" style="49"/>
    <col min="3330" max="3330" width="6.69921875" style="49" customWidth="1"/>
    <col min="3331" max="3331" width="24.69921875" style="49" customWidth="1"/>
    <col min="3332" max="3332" width="13" style="49" customWidth="1"/>
    <col min="3333" max="3334" width="15.5" style="49" customWidth="1"/>
    <col min="3335" max="3335" width="11.5" style="49" customWidth="1"/>
    <col min="3336" max="3336" width="13" style="49" customWidth="1"/>
    <col min="3337" max="3338" width="14" style="49" customWidth="1"/>
    <col min="3339" max="3339" width="13.296875" style="49" customWidth="1"/>
    <col min="3340" max="3340" width="14.69921875" style="49" customWidth="1"/>
    <col min="3341" max="3585" width="9.296875" style="49"/>
    <col min="3586" max="3586" width="6.69921875" style="49" customWidth="1"/>
    <col min="3587" max="3587" width="24.69921875" style="49" customWidth="1"/>
    <col min="3588" max="3588" width="13" style="49" customWidth="1"/>
    <col min="3589" max="3590" width="15.5" style="49" customWidth="1"/>
    <col min="3591" max="3591" width="11.5" style="49" customWidth="1"/>
    <col min="3592" max="3592" width="13" style="49" customWidth="1"/>
    <col min="3593" max="3594" width="14" style="49" customWidth="1"/>
    <col min="3595" max="3595" width="13.296875" style="49" customWidth="1"/>
    <col min="3596" max="3596" width="14.69921875" style="49" customWidth="1"/>
    <col min="3597" max="3841" width="9.296875" style="49"/>
    <col min="3842" max="3842" width="6.69921875" style="49" customWidth="1"/>
    <col min="3843" max="3843" width="24.69921875" style="49" customWidth="1"/>
    <col min="3844" max="3844" width="13" style="49" customWidth="1"/>
    <col min="3845" max="3846" width="15.5" style="49" customWidth="1"/>
    <col min="3847" max="3847" width="11.5" style="49" customWidth="1"/>
    <col min="3848" max="3848" width="13" style="49" customWidth="1"/>
    <col min="3849" max="3850" width="14" style="49" customWidth="1"/>
    <col min="3851" max="3851" width="13.296875" style="49" customWidth="1"/>
    <col min="3852" max="3852" width="14.69921875" style="49" customWidth="1"/>
    <col min="3853" max="4097" width="9.296875" style="49"/>
    <col min="4098" max="4098" width="6.69921875" style="49" customWidth="1"/>
    <col min="4099" max="4099" width="24.69921875" style="49" customWidth="1"/>
    <col min="4100" max="4100" width="13" style="49" customWidth="1"/>
    <col min="4101" max="4102" width="15.5" style="49" customWidth="1"/>
    <col min="4103" max="4103" width="11.5" style="49" customWidth="1"/>
    <col min="4104" max="4104" width="13" style="49" customWidth="1"/>
    <col min="4105" max="4106" width="14" style="49" customWidth="1"/>
    <col min="4107" max="4107" width="13.296875" style="49" customWidth="1"/>
    <col min="4108" max="4108" width="14.69921875" style="49" customWidth="1"/>
    <col min="4109" max="4353" width="9.296875" style="49"/>
    <col min="4354" max="4354" width="6.69921875" style="49" customWidth="1"/>
    <col min="4355" max="4355" width="24.69921875" style="49" customWidth="1"/>
    <col min="4356" max="4356" width="13" style="49" customWidth="1"/>
    <col min="4357" max="4358" width="15.5" style="49" customWidth="1"/>
    <col min="4359" max="4359" width="11.5" style="49" customWidth="1"/>
    <col min="4360" max="4360" width="13" style="49" customWidth="1"/>
    <col min="4361" max="4362" width="14" style="49" customWidth="1"/>
    <col min="4363" max="4363" width="13.296875" style="49" customWidth="1"/>
    <col min="4364" max="4364" width="14.69921875" style="49" customWidth="1"/>
    <col min="4365" max="4609" width="9.296875" style="49"/>
    <col min="4610" max="4610" width="6.69921875" style="49" customWidth="1"/>
    <col min="4611" max="4611" width="24.69921875" style="49" customWidth="1"/>
    <col min="4612" max="4612" width="13" style="49" customWidth="1"/>
    <col min="4613" max="4614" width="15.5" style="49" customWidth="1"/>
    <col min="4615" max="4615" width="11.5" style="49" customWidth="1"/>
    <col min="4616" max="4616" width="13" style="49" customWidth="1"/>
    <col min="4617" max="4618" width="14" style="49" customWidth="1"/>
    <col min="4619" max="4619" width="13.296875" style="49" customWidth="1"/>
    <col min="4620" max="4620" width="14.69921875" style="49" customWidth="1"/>
    <col min="4621" max="4865" width="9.296875" style="49"/>
    <col min="4866" max="4866" width="6.69921875" style="49" customWidth="1"/>
    <col min="4867" max="4867" width="24.69921875" style="49" customWidth="1"/>
    <col min="4868" max="4868" width="13" style="49" customWidth="1"/>
    <col min="4869" max="4870" width="15.5" style="49" customWidth="1"/>
    <col min="4871" max="4871" width="11.5" style="49" customWidth="1"/>
    <col min="4872" max="4872" width="13" style="49" customWidth="1"/>
    <col min="4873" max="4874" width="14" style="49" customWidth="1"/>
    <col min="4875" max="4875" width="13.296875" style="49" customWidth="1"/>
    <col min="4876" max="4876" width="14.69921875" style="49" customWidth="1"/>
    <col min="4877" max="5121" width="9.296875" style="49"/>
    <col min="5122" max="5122" width="6.69921875" style="49" customWidth="1"/>
    <col min="5123" max="5123" width="24.69921875" style="49" customWidth="1"/>
    <col min="5124" max="5124" width="13" style="49" customWidth="1"/>
    <col min="5125" max="5126" width="15.5" style="49" customWidth="1"/>
    <col min="5127" max="5127" width="11.5" style="49" customWidth="1"/>
    <col min="5128" max="5128" width="13" style="49" customWidth="1"/>
    <col min="5129" max="5130" width="14" style="49" customWidth="1"/>
    <col min="5131" max="5131" width="13.296875" style="49" customWidth="1"/>
    <col min="5132" max="5132" width="14.69921875" style="49" customWidth="1"/>
    <col min="5133" max="5377" width="9.296875" style="49"/>
    <col min="5378" max="5378" width="6.69921875" style="49" customWidth="1"/>
    <col min="5379" max="5379" width="24.69921875" style="49" customWidth="1"/>
    <col min="5380" max="5380" width="13" style="49" customWidth="1"/>
    <col min="5381" max="5382" width="15.5" style="49" customWidth="1"/>
    <col min="5383" max="5383" width="11.5" style="49" customWidth="1"/>
    <col min="5384" max="5384" width="13" style="49" customWidth="1"/>
    <col min="5385" max="5386" width="14" style="49" customWidth="1"/>
    <col min="5387" max="5387" width="13.296875" style="49" customWidth="1"/>
    <col min="5388" max="5388" width="14.69921875" style="49" customWidth="1"/>
    <col min="5389" max="5633" width="9.296875" style="49"/>
    <col min="5634" max="5634" width="6.69921875" style="49" customWidth="1"/>
    <col min="5635" max="5635" width="24.69921875" style="49" customWidth="1"/>
    <col min="5636" max="5636" width="13" style="49" customWidth="1"/>
    <col min="5637" max="5638" width="15.5" style="49" customWidth="1"/>
    <col min="5639" max="5639" width="11.5" style="49" customWidth="1"/>
    <col min="5640" max="5640" width="13" style="49" customWidth="1"/>
    <col min="5641" max="5642" width="14" style="49" customWidth="1"/>
    <col min="5643" max="5643" width="13.296875" style="49" customWidth="1"/>
    <col min="5644" max="5644" width="14.69921875" style="49" customWidth="1"/>
    <col min="5645" max="5889" width="9.296875" style="49"/>
    <col min="5890" max="5890" width="6.69921875" style="49" customWidth="1"/>
    <col min="5891" max="5891" width="24.69921875" style="49" customWidth="1"/>
    <col min="5892" max="5892" width="13" style="49" customWidth="1"/>
    <col min="5893" max="5894" width="15.5" style="49" customWidth="1"/>
    <col min="5895" max="5895" width="11.5" style="49" customWidth="1"/>
    <col min="5896" max="5896" width="13" style="49" customWidth="1"/>
    <col min="5897" max="5898" width="14" style="49" customWidth="1"/>
    <col min="5899" max="5899" width="13.296875" style="49" customWidth="1"/>
    <col min="5900" max="5900" width="14.69921875" style="49" customWidth="1"/>
    <col min="5901" max="6145" width="9.296875" style="49"/>
    <col min="6146" max="6146" width="6.69921875" style="49" customWidth="1"/>
    <col min="6147" max="6147" width="24.69921875" style="49" customWidth="1"/>
    <col min="6148" max="6148" width="13" style="49" customWidth="1"/>
    <col min="6149" max="6150" width="15.5" style="49" customWidth="1"/>
    <col min="6151" max="6151" width="11.5" style="49" customWidth="1"/>
    <col min="6152" max="6152" width="13" style="49" customWidth="1"/>
    <col min="6153" max="6154" width="14" style="49" customWidth="1"/>
    <col min="6155" max="6155" width="13.296875" style="49" customWidth="1"/>
    <col min="6156" max="6156" width="14.69921875" style="49" customWidth="1"/>
    <col min="6157" max="6401" width="9.296875" style="49"/>
    <col min="6402" max="6402" width="6.69921875" style="49" customWidth="1"/>
    <col min="6403" max="6403" width="24.69921875" style="49" customWidth="1"/>
    <col min="6404" max="6404" width="13" style="49" customWidth="1"/>
    <col min="6405" max="6406" width="15.5" style="49" customWidth="1"/>
    <col min="6407" max="6407" width="11.5" style="49" customWidth="1"/>
    <col min="6408" max="6408" width="13" style="49" customWidth="1"/>
    <col min="6409" max="6410" width="14" style="49" customWidth="1"/>
    <col min="6411" max="6411" width="13.296875" style="49" customWidth="1"/>
    <col min="6412" max="6412" width="14.69921875" style="49" customWidth="1"/>
    <col min="6413" max="6657" width="9.296875" style="49"/>
    <col min="6658" max="6658" width="6.69921875" style="49" customWidth="1"/>
    <col min="6659" max="6659" width="24.69921875" style="49" customWidth="1"/>
    <col min="6660" max="6660" width="13" style="49" customWidth="1"/>
    <col min="6661" max="6662" width="15.5" style="49" customWidth="1"/>
    <col min="6663" max="6663" width="11.5" style="49" customWidth="1"/>
    <col min="6664" max="6664" width="13" style="49" customWidth="1"/>
    <col min="6665" max="6666" width="14" style="49" customWidth="1"/>
    <col min="6667" max="6667" width="13.296875" style="49" customWidth="1"/>
    <col min="6668" max="6668" width="14.69921875" style="49" customWidth="1"/>
    <col min="6669" max="6913" width="9.296875" style="49"/>
    <col min="6914" max="6914" width="6.69921875" style="49" customWidth="1"/>
    <col min="6915" max="6915" width="24.69921875" style="49" customWidth="1"/>
    <col min="6916" max="6916" width="13" style="49" customWidth="1"/>
    <col min="6917" max="6918" width="15.5" style="49" customWidth="1"/>
    <col min="6919" max="6919" width="11.5" style="49" customWidth="1"/>
    <col min="6920" max="6920" width="13" style="49" customWidth="1"/>
    <col min="6921" max="6922" width="14" style="49" customWidth="1"/>
    <col min="6923" max="6923" width="13.296875" style="49" customWidth="1"/>
    <col min="6924" max="6924" width="14.69921875" style="49" customWidth="1"/>
    <col min="6925" max="7169" width="9.296875" style="49"/>
    <col min="7170" max="7170" width="6.69921875" style="49" customWidth="1"/>
    <col min="7171" max="7171" width="24.69921875" style="49" customWidth="1"/>
    <col min="7172" max="7172" width="13" style="49" customWidth="1"/>
    <col min="7173" max="7174" width="15.5" style="49" customWidth="1"/>
    <col min="7175" max="7175" width="11.5" style="49" customWidth="1"/>
    <col min="7176" max="7176" width="13" style="49" customWidth="1"/>
    <col min="7177" max="7178" width="14" style="49" customWidth="1"/>
    <col min="7179" max="7179" width="13.296875" style="49" customWidth="1"/>
    <col min="7180" max="7180" width="14.69921875" style="49" customWidth="1"/>
    <col min="7181" max="7425" width="9.296875" style="49"/>
    <col min="7426" max="7426" width="6.69921875" style="49" customWidth="1"/>
    <col min="7427" max="7427" width="24.69921875" style="49" customWidth="1"/>
    <col min="7428" max="7428" width="13" style="49" customWidth="1"/>
    <col min="7429" max="7430" width="15.5" style="49" customWidth="1"/>
    <col min="7431" max="7431" width="11.5" style="49" customWidth="1"/>
    <col min="7432" max="7432" width="13" style="49" customWidth="1"/>
    <col min="7433" max="7434" width="14" style="49" customWidth="1"/>
    <col min="7435" max="7435" width="13.296875" style="49" customWidth="1"/>
    <col min="7436" max="7436" width="14.69921875" style="49" customWidth="1"/>
    <col min="7437" max="7681" width="9.296875" style="49"/>
    <col min="7682" max="7682" width="6.69921875" style="49" customWidth="1"/>
    <col min="7683" max="7683" width="24.69921875" style="49" customWidth="1"/>
    <col min="7684" max="7684" width="13" style="49" customWidth="1"/>
    <col min="7685" max="7686" width="15.5" style="49" customWidth="1"/>
    <col min="7687" max="7687" width="11.5" style="49" customWidth="1"/>
    <col min="7688" max="7688" width="13" style="49" customWidth="1"/>
    <col min="7689" max="7690" width="14" style="49" customWidth="1"/>
    <col min="7691" max="7691" width="13.296875" style="49" customWidth="1"/>
    <col min="7692" max="7692" width="14.69921875" style="49" customWidth="1"/>
    <col min="7693" max="7937" width="9.296875" style="49"/>
    <col min="7938" max="7938" width="6.69921875" style="49" customWidth="1"/>
    <col min="7939" max="7939" width="24.69921875" style="49" customWidth="1"/>
    <col min="7940" max="7940" width="13" style="49" customWidth="1"/>
    <col min="7941" max="7942" width="15.5" style="49" customWidth="1"/>
    <col min="7943" max="7943" width="11.5" style="49" customWidth="1"/>
    <col min="7944" max="7944" width="13" style="49" customWidth="1"/>
    <col min="7945" max="7946" width="14" style="49" customWidth="1"/>
    <col min="7947" max="7947" width="13.296875" style="49" customWidth="1"/>
    <col min="7948" max="7948" width="14.69921875" style="49" customWidth="1"/>
    <col min="7949" max="8193" width="9.296875" style="49"/>
    <col min="8194" max="8194" width="6.69921875" style="49" customWidth="1"/>
    <col min="8195" max="8195" width="24.69921875" style="49" customWidth="1"/>
    <col min="8196" max="8196" width="13" style="49" customWidth="1"/>
    <col min="8197" max="8198" width="15.5" style="49" customWidth="1"/>
    <col min="8199" max="8199" width="11.5" style="49" customWidth="1"/>
    <col min="8200" max="8200" width="13" style="49" customWidth="1"/>
    <col min="8201" max="8202" width="14" style="49" customWidth="1"/>
    <col min="8203" max="8203" width="13.296875" style="49" customWidth="1"/>
    <col min="8204" max="8204" width="14.69921875" style="49" customWidth="1"/>
    <col min="8205" max="8449" width="9.296875" style="49"/>
    <col min="8450" max="8450" width="6.69921875" style="49" customWidth="1"/>
    <col min="8451" max="8451" width="24.69921875" style="49" customWidth="1"/>
    <col min="8452" max="8452" width="13" style="49" customWidth="1"/>
    <col min="8453" max="8454" width="15.5" style="49" customWidth="1"/>
    <col min="8455" max="8455" width="11.5" style="49" customWidth="1"/>
    <col min="8456" max="8456" width="13" style="49" customWidth="1"/>
    <col min="8457" max="8458" width="14" style="49" customWidth="1"/>
    <col min="8459" max="8459" width="13.296875" style="49" customWidth="1"/>
    <col min="8460" max="8460" width="14.69921875" style="49" customWidth="1"/>
    <col min="8461" max="8705" width="9.296875" style="49"/>
    <col min="8706" max="8706" width="6.69921875" style="49" customWidth="1"/>
    <col min="8707" max="8707" width="24.69921875" style="49" customWidth="1"/>
    <col min="8708" max="8708" width="13" style="49" customWidth="1"/>
    <col min="8709" max="8710" width="15.5" style="49" customWidth="1"/>
    <col min="8711" max="8711" width="11.5" style="49" customWidth="1"/>
    <col min="8712" max="8712" width="13" style="49" customWidth="1"/>
    <col min="8713" max="8714" width="14" style="49" customWidth="1"/>
    <col min="8715" max="8715" width="13.296875" style="49" customWidth="1"/>
    <col min="8716" max="8716" width="14.69921875" style="49" customWidth="1"/>
    <col min="8717" max="8961" width="9.296875" style="49"/>
    <col min="8962" max="8962" width="6.69921875" style="49" customWidth="1"/>
    <col min="8963" max="8963" width="24.69921875" style="49" customWidth="1"/>
    <col min="8964" max="8964" width="13" style="49" customWidth="1"/>
    <col min="8965" max="8966" width="15.5" style="49" customWidth="1"/>
    <col min="8967" max="8967" width="11.5" style="49" customWidth="1"/>
    <col min="8968" max="8968" width="13" style="49" customWidth="1"/>
    <col min="8969" max="8970" width="14" style="49" customWidth="1"/>
    <col min="8971" max="8971" width="13.296875" style="49" customWidth="1"/>
    <col min="8972" max="8972" width="14.69921875" style="49" customWidth="1"/>
    <col min="8973" max="9217" width="9.296875" style="49"/>
    <col min="9218" max="9218" width="6.69921875" style="49" customWidth="1"/>
    <col min="9219" max="9219" width="24.69921875" style="49" customWidth="1"/>
    <col min="9220" max="9220" width="13" style="49" customWidth="1"/>
    <col min="9221" max="9222" width="15.5" style="49" customWidth="1"/>
    <col min="9223" max="9223" width="11.5" style="49" customWidth="1"/>
    <col min="9224" max="9224" width="13" style="49" customWidth="1"/>
    <col min="9225" max="9226" width="14" style="49" customWidth="1"/>
    <col min="9227" max="9227" width="13.296875" style="49" customWidth="1"/>
    <col min="9228" max="9228" width="14.69921875" style="49" customWidth="1"/>
    <col min="9229" max="9473" width="9.296875" style="49"/>
    <col min="9474" max="9474" width="6.69921875" style="49" customWidth="1"/>
    <col min="9475" max="9475" width="24.69921875" style="49" customWidth="1"/>
    <col min="9476" max="9476" width="13" style="49" customWidth="1"/>
    <col min="9477" max="9478" width="15.5" style="49" customWidth="1"/>
    <col min="9479" max="9479" width="11.5" style="49" customWidth="1"/>
    <col min="9480" max="9480" width="13" style="49" customWidth="1"/>
    <col min="9481" max="9482" width="14" style="49" customWidth="1"/>
    <col min="9483" max="9483" width="13.296875" style="49" customWidth="1"/>
    <col min="9484" max="9484" width="14.69921875" style="49" customWidth="1"/>
    <col min="9485" max="9729" width="9.296875" style="49"/>
    <col min="9730" max="9730" width="6.69921875" style="49" customWidth="1"/>
    <col min="9731" max="9731" width="24.69921875" style="49" customWidth="1"/>
    <col min="9732" max="9732" width="13" style="49" customWidth="1"/>
    <col min="9733" max="9734" width="15.5" style="49" customWidth="1"/>
    <col min="9735" max="9735" width="11.5" style="49" customWidth="1"/>
    <col min="9736" max="9736" width="13" style="49" customWidth="1"/>
    <col min="9737" max="9738" width="14" style="49" customWidth="1"/>
    <col min="9739" max="9739" width="13.296875" style="49" customWidth="1"/>
    <col min="9740" max="9740" width="14.69921875" style="49" customWidth="1"/>
    <col min="9741" max="9985" width="9.296875" style="49"/>
    <col min="9986" max="9986" width="6.69921875" style="49" customWidth="1"/>
    <col min="9987" max="9987" width="24.69921875" style="49" customWidth="1"/>
    <col min="9988" max="9988" width="13" style="49" customWidth="1"/>
    <col min="9989" max="9990" width="15.5" style="49" customWidth="1"/>
    <col min="9991" max="9991" width="11.5" style="49" customWidth="1"/>
    <col min="9992" max="9992" width="13" style="49" customWidth="1"/>
    <col min="9993" max="9994" width="14" style="49" customWidth="1"/>
    <col min="9995" max="9995" width="13.296875" style="49" customWidth="1"/>
    <col min="9996" max="9996" width="14.69921875" style="49" customWidth="1"/>
    <col min="9997" max="10241" width="9.296875" style="49"/>
    <col min="10242" max="10242" width="6.69921875" style="49" customWidth="1"/>
    <col min="10243" max="10243" width="24.69921875" style="49" customWidth="1"/>
    <col min="10244" max="10244" width="13" style="49" customWidth="1"/>
    <col min="10245" max="10246" width="15.5" style="49" customWidth="1"/>
    <col min="10247" max="10247" width="11.5" style="49" customWidth="1"/>
    <col min="10248" max="10248" width="13" style="49" customWidth="1"/>
    <col min="10249" max="10250" width="14" style="49" customWidth="1"/>
    <col min="10251" max="10251" width="13.296875" style="49" customWidth="1"/>
    <col min="10252" max="10252" width="14.69921875" style="49" customWidth="1"/>
    <col min="10253" max="10497" width="9.296875" style="49"/>
    <col min="10498" max="10498" width="6.69921875" style="49" customWidth="1"/>
    <col min="10499" max="10499" width="24.69921875" style="49" customWidth="1"/>
    <col min="10500" max="10500" width="13" style="49" customWidth="1"/>
    <col min="10501" max="10502" width="15.5" style="49" customWidth="1"/>
    <col min="10503" max="10503" width="11.5" style="49" customWidth="1"/>
    <col min="10504" max="10504" width="13" style="49" customWidth="1"/>
    <col min="10505" max="10506" width="14" style="49" customWidth="1"/>
    <col min="10507" max="10507" width="13.296875" style="49" customWidth="1"/>
    <col min="10508" max="10508" width="14.69921875" style="49" customWidth="1"/>
    <col min="10509" max="10753" width="9.296875" style="49"/>
    <col min="10754" max="10754" width="6.69921875" style="49" customWidth="1"/>
    <col min="10755" max="10755" width="24.69921875" style="49" customWidth="1"/>
    <col min="10756" max="10756" width="13" style="49" customWidth="1"/>
    <col min="10757" max="10758" width="15.5" style="49" customWidth="1"/>
    <col min="10759" max="10759" width="11.5" style="49" customWidth="1"/>
    <col min="10760" max="10760" width="13" style="49" customWidth="1"/>
    <col min="10761" max="10762" width="14" style="49" customWidth="1"/>
    <col min="10763" max="10763" width="13.296875" style="49" customWidth="1"/>
    <col min="10764" max="10764" width="14.69921875" style="49" customWidth="1"/>
    <col min="10765" max="11009" width="9.296875" style="49"/>
    <col min="11010" max="11010" width="6.69921875" style="49" customWidth="1"/>
    <col min="11011" max="11011" width="24.69921875" style="49" customWidth="1"/>
    <col min="11012" max="11012" width="13" style="49" customWidth="1"/>
    <col min="11013" max="11014" width="15.5" style="49" customWidth="1"/>
    <col min="11015" max="11015" width="11.5" style="49" customWidth="1"/>
    <col min="11016" max="11016" width="13" style="49" customWidth="1"/>
    <col min="11017" max="11018" width="14" style="49" customWidth="1"/>
    <col min="11019" max="11019" width="13.296875" style="49" customWidth="1"/>
    <col min="11020" max="11020" width="14.69921875" style="49" customWidth="1"/>
    <col min="11021" max="11265" width="9.296875" style="49"/>
    <col min="11266" max="11266" width="6.69921875" style="49" customWidth="1"/>
    <col min="11267" max="11267" width="24.69921875" style="49" customWidth="1"/>
    <col min="11268" max="11268" width="13" style="49" customWidth="1"/>
    <col min="11269" max="11270" width="15.5" style="49" customWidth="1"/>
    <col min="11271" max="11271" width="11.5" style="49" customWidth="1"/>
    <col min="11272" max="11272" width="13" style="49" customWidth="1"/>
    <col min="11273" max="11274" width="14" style="49" customWidth="1"/>
    <col min="11275" max="11275" width="13.296875" style="49" customWidth="1"/>
    <col min="11276" max="11276" width="14.69921875" style="49" customWidth="1"/>
    <col min="11277" max="11521" width="9.296875" style="49"/>
    <col min="11522" max="11522" width="6.69921875" style="49" customWidth="1"/>
    <col min="11523" max="11523" width="24.69921875" style="49" customWidth="1"/>
    <col min="11524" max="11524" width="13" style="49" customWidth="1"/>
    <col min="11525" max="11526" width="15.5" style="49" customWidth="1"/>
    <col min="11527" max="11527" width="11.5" style="49" customWidth="1"/>
    <col min="11528" max="11528" width="13" style="49" customWidth="1"/>
    <col min="11529" max="11530" width="14" style="49" customWidth="1"/>
    <col min="11531" max="11531" width="13.296875" style="49" customWidth="1"/>
    <col min="11532" max="11532" width="14.69921875" style="49" customWidth="1"/>
    <col min="11533" max="11777" width="9.296875" style="49"/>
    <col min="11778" max="11778" width="6.69921875" style="49" customWidth="1"/>
    <col min="11779" max="11779" width="24.69921875" style="49" customWidth="1"/>
    <col min="11780" max="11780" width="13" style="49" customWidth="1"/>
    <col min="11781" max="11782" width="15.5" style="49" customWidth="1"/>
    <col min="11783" max="11783" width="11.5" style="49" customWidth="1"/>
    <col min="11784" max="11784" width="13" style="49" customWidth="1"/>
    <col min="11785" max="11786" width="14" style="49" customWidth="1"/>
    <col min="11787" max="11787" width="13.296875" style="49" customWidth="1"/>
    <col min="11788" max="11788" width="14.69921875" style="49" customWidth="1"/>
    <col min="11789" max="12033" width="9.296875" style="49"/>
    <col min="12034" max="12034" width="6.69921875" style="49" customWidth="1"/>
    <col min="12035" max="12035" width="24.69921875" style="49" customWidth="1"/>
    <col min="12036" max="12036" width="13" style="49" customWidth="1"/>
    <col min="12037" max="12038" width="15.5" style="49" customWidth="1"/>
    <col min="12039" max="12039" width="11.5" style="49" customWidth="1"/>
    <col min="12040" max="12040" width="13" style="49" customWidth="1"/>
    <col min="12041" max="12042" width="14" style="49" customWidth="1"/>
    <col min="12043" max="12043" width="13.296875" style="49" customWidth="1"/>
    <col min="12044" max="12044" width="14.69921875" style="49" customWidth="1"/>
    <col min="12045" max="12289" width="9.296875" style="49"/>
    <col min="12290" max="12290" width="6.69921875" style="49" customWidth="1"/>
    <col min="12291" max="12291" width="24.69921875" style="49" customWidth="1"/>
    <col min="12292" max="12292" width="13" style="49" customWidth="1"/>
    <col min="12293" max="12294" width="15.5" style="49" customWidth="1"/>
    <col min="12295" max="12295" width="11.5" style="49" customWidth="1"/>
    <col min="12296" max="12296" width="13" style="49" customWidth="1"/>
    <col min="12297" max="12298" width="14" style="49" customWidth="1"/>
    <col min="12299" max="12299" width="13.296875" style="49" customWidth="1"/>
    <col min="12300" max="12300" width="14.69921875" style="49" customWidth="1"/>
    <col min="12301" max="12545" width="9.296875" style="49"/>
    <col min="12546" max="12546" width="6.69921875" style="49" customWidth="1"/>
    <col min="12547" max="12547" width="24.69921875" style="49" customWidth="1"/>
    <col min="12548" max="12548" width="13" style="49" customWidth="1"/>
    <col min="12549" max="12550" width="15.5" style="49" customWidth="1"/>
    <col min="12551" max="12551" width="11.5" style="49" customWidth="1"/>
    <col min="12552" max="12552" width="13" style="49" customWidth="1"/>
    <col min="12553" max="12554" width="14" style="49" customWidth="1"/>
    <col min="12555" max="12555" width="13.296875" style="49" customWidth="1"/>
    <col min="12556" max="12556" width="14.69921875" style="49" customWidth="1"/>
    <col min="12557" max="12801" width="9.296875" style="49"/>
    <col min="12802" max="12802" width="6.69921875" style="49" customWidth="1"/>
    <col min="12803" max="12803" width="24.69921875" style="49" customWidth="1"/>
    <col min="12804" max="12804" width="13" style="49" customWidth="1"/>
    <col min="12805" max="12806" width="15.5" style="49" customWidth="1"/>
    <col min="12807" max="12807" width="11.5" style="49" customWidth="1"/>
    <col min="12808" max="12808" width="13" style="49" customWidth="1"/>
    <col min="12809" max="12810" width="14" style="49" customWidth="1"/>
    <col min="12811" max="12811" width="13.296875" style="49" customWidth="1"/>
    <col min="12812" max="12812" width="14.69921875" style="49" customWidth="1"/>
    <col min="12813" max="13057" width="9.296875" style="49"/>
    <col min="13058" max="13058" width="6.69921875" style="49" customWidth="1"/>
    <col min="13059" max="13059" width="24.69921875" style="49" customWidth="1"/>
    <col min="13060" max="13060" width="13" style="49" customWidth="1"/>
    <col min="13061" max="13062" width="15.5" style="49" customWidth="1"/>
    <col min="13063" max="13063" width="11.5" style="49" customWidth="1"/>
    <col min="13064" max="13064" width="13" style="49" customWidth="1"/>
    <col min="13065" max="13066" width="14" style="49" customWidth="1"/>
    <col min="13067" max="13067" width="13.296875" style="49" customWidth="1"/>
    <col min="13068" max="13068" width="14.69921875" style="49" customWidth="1"/>
    <col min="13069" max="13313" width="9.296875" style="49"/>
    <col min="13314" max="13314" width="6.69921875" style="49" customWidth="1"/>
    <col min="13315" max="13315" width="24.69921875" style="49" customWidth="1"/>
    <col min="13316" max="13316" width="13" style="49" customWidth="1"/>
    <col min="13317" max="13318" width="15.5" style="49" customWidth="1"/>
    <col min="13319" max="13319" width="11.5" style="49" customWidth="1"/>
    <col min="13320" max="13320" width="13" style="49" customWidth="1"/>
    <col min="13321" max="13322" width="14" style="49" customWidth="1"/>
    <col min="13323" max="13323" width="13.296875" style="49" customWidth="1"/>
    <col min="13324" max="13324" width="14.69921875" style="49" customWidth="1"/>
    <col min="13325" max="13569" width="9.296875" style="49"/>
    <col min="13570" max="13570" width="6.69921875" style="49" customWidth="1"/>
    <col min="13571" max="13571" width="24.69921875" style="49" customWidth="1"/>
    <col min="13572" max="13572" width="13" style="49" customWidth="1"/>
    <col min="13573" max="13574" width="15.5" style="49" customWidth="1"/>
    <col min="13575" max="13575" width="11.5" style="49" customWidth="1"/>
    <col min="13576" max="13576" width="13" style="49" customWidth="1"/>
    <col min="13577" max="13578" width="14" style="49" customWidth="1"/>
    <col min="13579" max="13579" width="13.296875" style="49" customWidth="1"/>
    <col min="13580" max="13580" width="14.69921875" style="49" customWidth="1"/>
    <col min="13581" max="13825" width="9.296875" style="49"/>
    <col min="13826" max="13826" width="6.69921875" style="49" customWidth="1"/>
    <col min="13827" max="13827" width="24.69921875" style="49" customWidth="1"/>
    <col min="13828" max="13828" width="13" style="49" customWidth="1"/>
    <col min="13829" max="13830" width="15.5" style="49" customWidth="1"/>
    <col min="13831" max="13831" width="11.5" style="49" customWidth="1"/>
    <col min="13832" max="13832" width="13" style="49" customWidth="1"/>
    <col min="13833" max="13834" width="14" style="49" customWidth="1"/>
    <col min="13835" max="13835" width="13.296875" style="49" customWidth="1"/>
    <col min="13836" max="13836" width="14.69921875" style="49" customWidth="1"/>
    <col min="13837" max="14081" width="9.296875" style="49"/>
    <col min="14082" max="14082" width="6.69921875" style="49" customWidth="1"/>
    <col min="14083" max="14083" width="24.69921875" style="49" customWidth="1"/>
    <col min="14084" max="14084" width="13" style="49" customWidth="1"/>
    <col min="14085" max="14086" width="15.5" style="49" customWidth="1"/>
    <col min="14087" max="14087" width="11.5" style="49" customWidth="1"/>
    <col min="14088" max="14088" width="13" style="49" customWidth="1"/>
    <col min="14089" max="14090" width="14" style="49" customWidth="1"/>
    <col min="14091" max="14091" width="13.296875" style="49" customWidth="1"/>
    <col min="14092" max="14092" width="14.69921875" style="49" customWidth="1"/>
    <col min="14093" max="14337" width="9.296875" style="49"/>
    <col min="14338" max="14338" width="6.69921875" style="49" customWidth="1"/>
    <col min="14339" max="14339" width="24.69921875" style="49" customWidth="1"/>
    <col min="14340" max="14340" width="13" style="49" customWidth="1"/>
    <col min="14341" max="14342" width="15.5" style="49" customWidth="1"/>
    <col min="14343" max="14343" width="11.5" style="49" customWidth="1"/>
    <col min="14344" max="14344" width="13" style="49" customWidth="1"/>
    <col min="14345" max="14346" width="14" style="49" customWidth="1"/>
    <col min="14347" max="14347" width="13.296875" style="49" customWidth="1"/>
    <col min="14348" max="14348" width="14.69921875" style="49" customWidth="1"/>
    <col min="14349" max="14593" width="9.296875" style="49"/>
    <col min="14594" max="14594" width="6.69921875" style="49" customWidth="1"/>
    <col min="14595" max="14595" width="24.69921875" style="49" customWidth="1"/>
    <col min="14596" max="14596" width="13" style="49" customWidth="1"/>
    <col min="14597" max="14598" width="15.5" style="49" customWidth="1"/>
    <col min="14599" max="14599" width="11.5" style="49" customWidth="1"/>
    <col min="14600" max="14600" width="13" style="49" customWidth="1"/>
    <col min="14601" max="14602" width="14" style="49" customWidth="1"/>
    <col min="14603" max="14603" width="13.296875" style="49" customWidth="1"/>
    <col min="14604" max="14604" width="14.69921875" style="49" customWidth="1"/>
    <col min="14605" max="14849" width="9.296875" style="49"/>
    <col min="14850" max="14850" width="6.69921875" style="49" customWidth="1"/>
    <col min="14851" max="14851" width="24.69921875" style="49" customWidth="1"/>
    <col min="14852" max="14852" width="13" style="49" customWidth="1"/>
    <col min="14853" max="14854" width="15.5" style="49" customWidth="1"/>
    <col min="14855" max="14855" width="11.5" style="49" customWidth="1"/>
    <col min="14856" max="14856" width="13" style="49" customWidth="1"/>
    <col min="14857" max="14858" width="14" style="49" customWidth="1"/>
    <col min="14859" max="14859" width="13.296875" style="49" customWidth="1"/>
    <col min="14860" max="14860" width="14.69921875" style="49" customWidth="1"/>
    <col min="14861" max="15105" width="9.296875" style="49"/>
    <col min="15106" max="15106" width="6.69921875" style="49" customWidth="1"/>
    <col min="15107" max="15107" width="24.69921875" style="49" customWidth="1"/>
    <col min="15108" max="15108" width="13" style="49" customWidth="1"/>
    <col min="15109" max="15110" width="15.5" style="49" customWidth="1"/>
    <col min="15111" max="15111" width="11.5" style="49" customWidth="1"/>
    <col min="15112" max="15112" width="13" style="49" customWidth="1"/>
    <col min="15113" max="15114" width="14" style="49" customWidth="1"/>
    <col min="15115" max="15115" width="13.296875" style="49" customWidth="1"/>
    <col min="15116" max="15116" width="14.69921875" style="49" customWidth="1"/>
    <col min="15117" max="15361" width="9.296875" style="49"/>
    <col min="15362" max="15362" width="6.69921875" style="49" customWidth="1"/>
    <col min="15363" max="15363" width="24.69921875" style="49" customWidth="1"/>
    <col min="15364" max="15364" width="13" style="49" customWidth="1"/>
    <col min="15365" max="15366" width="15.5" style="49" customWidth="1"/>
    <col min="15367" max="15367" width="11.5" style="49" customWidth="1"/>
    <col min="15368" max="15368" width="13" style="49" customWidth="1"/>
    <col min="15369" max="15370" width="14" style="49" customWidth="1"/>
    <col min="15371" max="15371" width="13.296875" style="49" customWidth="1"/>
    <col min="15372" max="15372" width="14.69921875" style="49" customWidth="1"/>
    <col min="15373" max="15617" width="9.296875" style="49"/>
    <col min="15618" max="15618" width="6.69921875" style="49" customWidth="1"/>
    <col min="15619" max="15619" width="24.69921875" style="49" customWidth="1"/>
    <col min="15620" max="15620" width="13" style="49" customWidth="1"/>
    <col min="15621" max="15622" width="15.5" style="49" customWidth="1"/>
    <col min="15623" max="15623" width="11.5" style="49" customWidth="1"/>
    <col min="15624" max="15624" width="13" style="49" customWidth="1"/>
    <col min="15625" max="15626" width="14" style="49" customWidth="1"/>
    <col min="15627" max="15627" width="13.296875" style="49" customWidth="1"/>
    <col min="15628" max="15628" width="14.69921875" style="49" customWidth="1"/>
    <col min="15629" max="15873" width="9.296875" style="49"/>
    <col min="15874" max="15874" width="6.69921875" style="49" customWidth="1"/>
    <col min="15875" max="15875" width="24.69921875" style="49" customWidth="1"/>
    <col min="15876" max="15876" width="13" style="49" customWidth="1"/>
    <col min="15877" max="15878" width="15.5" style="49" customWidth="1"/>
    <col min="15879" max="15879" width="11.5" style="49" customWidth="1"/>
    <col min="15880" max="15880" width="13" style="49" customWidth="1"/>
    <col min="15881" max="15882" width="14" style="49" customWidth="1"/>
    <col min="15883" max="15883" width="13.296875" style="49" customWidth="1"/>
    <col min="15884" max="15884" width="14.69921875" style="49" customWidth="1"/>
    <col min="15885" max="16129" width="9.296875" style="49"/>
    <col min="16130" max="16130" width="6.69921875" style="49" customWidth="1"/>
    <col min="16131" max="16131" width="24.69921875" style="49" customWidth="1"/>
    <col min="16132" max="16132" width="13" style="49" customWidth="1"/>
    <col min="16133" max="16134" width="15.5" style="49" customWidth="1"/>
    <col min="16135" max="16135" width="11.5" style="49" customWidth="1"/>
    <col min="16136" max="16136" width="13" style="49" customWidth="1"/>
    <col min="16137" max="16138" width="14" style="49" customWidth="1"/>
    <col min="16139" max="16139" width="13.296875" style="49" customWidth="1"/>
    <col min="16140" max="16140" width="14.69921875" style="49" customWidth="1"/>
    <col min="16141" max="16384" width="9.296875" style="49"/>
  </cols>
  <sheetData>
    <row r="1" spans="1:12" ht="33" customHeight="1" x14ac:dyDescent="0.3">
      <c r="A1" s="885" t="s">
        <v>522</v>
      </c>
      <c r="B1" s="886"/>
      <c r="C1" s="886"/>
      <c r="D1" s="886"/>
      <c r="E1" s="886"/>
      <c r="F1" s="886"/>
      <c r="G1" s="886"/>
      <c r="H1" s="886"/>
      <c r="I1" s="886"/>
      <c r="J1" s="886"/>
      <c r="K1" s="886"/>
      <c r="L1" s="886"/>
    </row>
    <row r="2" spans="1:12" ht="14" x14ac:dyDescent="0.35">
      <c r="A2" s="50"/>
      <c r="B2" s="51"/>
      <c r="C2" s="51"/>
      <c r="D2" s="52"/>
      <c r="E2" s="53"/>
      <c r="F2" s="53"/>
      <c r="G2" s="54"/>
      <c r="H2" s="54"/>
      <c r="I2" s="53"/>
    </row>
    <row r="3" spans="1:12" ht="14" x14ac:dyDescent="0.35">
      <c r="A3" s="50"/>
      <c r="B3" s="55"/>
      <c r="C3" s="55"/>
      <c r="D3" s="207"/>
      <c r="E3" s="206"/>
      <c r="F3" s="206"/>
      <c r="G3" s="52"/>
      <c r="H3" s="52"/>
      <c r="I3" s="52"/>
      <c r="L3" s="684" t="s">
        <v>1</v>
      </c>
    </row>
    <row r="4" spans="1:12" s="57" customFormat="1" ht="69.75" customHeight="1" x14ac:dyDescent="0.3">
      <c r="A4" s="396" t="s">
        <v>404</v>
      </c>
      <c r="B4" s="396" t="s">
        <v>449</v>
      </c>
      <c r="C4" s="396" t="s">
        <v>450</v>
      </c>
      <c r="D4" s="396" t="s">
        <v>727</v>
      </c>
      <c r="E4" s="396" t="s">
        <v>451</v>
      </c>
      <c r="F4" s="396" t="s">
        <v>452</v>
      </c>
      <c r="G4" s="397" t="s">
        <v>453</v>
      </c>
      <c r="H4" s="397" t="s">
        <v>424</v>
      </c>
      <c r="I4" s="208" t="s">
        <v>454</v>
      </c>
      <c r="J4" s="398" t="s">
        <v>189</v>
      </c>
      <c r="K4" s="398" t="s">
        <v>728</v>
      </c>
      <c r="L4" s="208" t="s">
        <v>455</v>
      </c>
    </row>
    <row r="5" spans="1:12" ht="31.5" customHeight="1" x14ac:dyDescent="0.3">
      <c r="A5" s="399" t="s">
        <v>10</v>
      </c>
      <c r="B5" s="400" t="s">
        <v>458</v>
      </c>
      <c r="C5" s="448" t="s">
        <v>459</v>
      </c>
      <c r="D5" s="402"/>
      <c r="E5" s="403"/>
      <c r="F5" s="403"/>
      <c r="G5" s="404"/>
      <c r="H5" s="404"/>
      <c r="I5" s="403"/>
      <c r="J5" s="405">
        <v>0</v>
      </c>
      <c r="K5" s="405">
        <f>'11.sz.mell'!F37</f>
        <v>27195291</v>
      </c>
      <c r="L5" s="405">
        <f>SUM(D5:K5)</f>
        <v>27195291</v>
      </c>
    </row>
    <row r="6" spans="1:12" s="58" customFormat="1" ht="31.5" customHeight="1" x14ac:dyDescent="0.35">
      <c r="A6" s="396" t="s">
        <v>13</v>
      </c>
      <c r="B6" s="406" t="s">
        <v>798</v>
      </c>
      <c r="C6" s="449"/>
      <c r="D6" s="408"/>
      <c r="E6" s="409"/>
      <c r="F6" s="409"/>
      <c r="G6" s="410"/>
      <c r="H6" s="410"/>
      <c r="I6" s="409"/>
      <c r="J6" s="411">
        <v>788326</v>
      </c>
      <c r="K6" s="411">
        <v>30359247</v>
      </c>
      <c r="L6" s="411">
        <f t="shared" ref="L6:L15" si="0">SUM(D6:K6)</f>
        <v>31147573</v>
      </c>
    </row>
    <row r="7" spans="1:12" s="58" customFormat="1" ht="31.5" customHeight="1" x14ac:dyDescent="0.35">
      <c r="A7" s="396" t="s">
        <v>16</v>
      </c>
      <c r="B7" s="406" t="s">
        <v>826</v>
      </c>
      <c r="C7" s="449"/>
      <c r="D7" s="408"/>
      <c r="E7" s="409"/>
      <c r="F7" s="409"/>
      <c r="G7" s="410"/>
      <c r="H7" s="410"/>
      <c r="I7" s="409"/>
      <c r="J7" s="411">
        <v>788326</v>
      </c>
      <c r="K7" s="411">
        <v>27808686</v>
      </c>
      <c r="L7" s="411">
        <f t="shared" si="0"/>
        <v>28597012</v>
      </c>
    </row>
    <row r="8" spans="1:12" ht="39" customHeight="1" x14ac:dyDescent="0.3">
      <c r="A8" s="399" t="s">
        <v>19</v>
      </c>
      <c r="B8" s="400" t="s">
        <v>730</v>
      </c>
      <c r="C8" s="448" t="s">
        <v>729</v>
      </c>
      <c r="D8" s="402">
        <f>'11.sz.mell'!F8</f>
        <v>640402</v>
      </c>
      <c r="E8" s="403"/>
      <c r="F8" s="403"/>
      <c r="G8" s="404"/>
      <c r="H8" s="404"/>
      <c r="I8" s="403"/>
      <c r="J8" s="405"/>
      <c r="K8" s="405"/>
      <c r="L8" s="405">
        <f t="shared" si="0"/>
        <v>640402</v>
      </c>
    </row>
    <row r="9" spans="1:12" s="58" customFormat="1" ht="31.5" customHeight="1" x14ac:dyDescent="0.35">
      <c r="A9" s="396" t="s">
        <v>22</v>
      </c>
      <c r="B9" s="406" t="s">
        <v>798</v>
      </c>
      <c r="C9" s="449"/>
      <c r="D9" s="408">
        <v>7381113</v>
      </c>
      <c r="E9" s="409"/>
      <c r="F9" s="409">
        <v>0</v>
      </c>
      <c r="G9" s="410"/>
      <c r="H9" s="410"/>
      <c r="I9" s="409"/>
      <c r="J9" s="411"/>
      <c r="K9" s="411"/>
      <c r="L9" s="411">
        <f t="shared" si="0"/>
        <v>7381113</v>
      </c>
    </row>
    <row r="10" spans="1:12" s="58" customFormat="1" ht="31.5" customHeight="1" x14ac:dyDescent="0.35">
      <c r="A10" s="396" t="s">
        <v>25</v>
      </c>
      <c r="B10" s="406" t="s">
        <v>826</v>
      </c>
      <c r="C10" s="449"/>
      <c r="D10" s="408">
        <v>3855861</v>
      </c>
      <c r="E10" s="409"/>
      <c r="F10" s="409">
        <v>0</v>
      </c>
      <c r="G10" s="410"/>
      <c r="H10" s="410"/>
      <c r="I10" s="409"/>
      <c r="J10" s="411"/>
      <c r="K10" s="411"/>
      <c r="L10" s="411">
        <f t="shared" si="0"/>
        <v>3855861</v>
      </c>
    </row>
    <row r="11" spans="1:12" ht="31.5" customHeight="1" x14ac:dyDescent="0.3">
      <c r="A11" s="399" t="s">
        <v>28</v>
      </c>
      <c r="B11" s="400" t="s">
        <v>732</v>
      </c>
      <c r="C11" s="448" t="s">
        <v>731</v>
      </c>
      <c r="D11" s="402"/>
      <c r="E11" s="403"/>
      <c r="F11" s="403">
        <f>'11.sz.mell'!F17</f>
        <v>700000</v>
      </c>
      <c r="G11" s="404"/>
      <c r="H11" s="404"/>
      <c r="I11" s="403"/>
      <c r="J11" s="405"/>
      <c r="K11" s="405"/>
      <c r="L11" s="405">
        <f t="shared" si="0"/>
        <v>700000</v>
      </c>
    </row>
    <row r="12" spans="1:12" s="58" customFormat="1" ht="31.5" customHeight="1" x14ac:dyDescent="0.35">
      <c r="A12" s="396" t="s">
        <v>31</v>
      </c>
      <c r="B12" s="406" t="s">
        <v>798</v>
      </c>
      <c r="C12" s="449"/>
      <c r="D12" s="408"/>
      <c r="E12" s="409"/>
      <c r="F12" s="409">
        <v>1065071</v>
      </c>
      <c r="G12" s="410"/>
      <c r="H12" s="410">
        <v>45000</v>
      </c>
      <c r="I12" s="409"/>
      <c r="J12" s="411"/>
      <c r="K12" s="411"/>
      <c r="L12" s="411">
        <f t="shared" si="0"/>
        <v>1110071</v>
      </c>
    </row>
    <row r="13" spans="1:12" s="58" customFormat="1" ht="31.5" customHeight="1" x14ac:dyDescent="0.35">
      <c r="A13" s="396" t="s">
        <v>34</v>
      </c>
      <c r="B13" s="406" t="s">
        <v>826</v>
      </c>
      <c r="C13" s="449"/>
      <c r="D13" s="408"/>
      <c r="E13" s="409"/>
      <c r="F13" s="409">
        <v>1065071</v>
      </c>
      <c r="G13" s="410"/>
      <c r="H13" s="410">
        <v>45000</v>
      </c>
      <c r="I13" s="409"/>
      <c r="J13" s="411"/>
      <c r="K13" s="411"/>
      <c r="L13" s="411">
        <f t="shared" si="0"/>
        <v>1110071</v>
      </c>
    </row>
    <row r="14" spans="1:12" s="58" customFormat="1" ht="33" customHeight="1" x14ac:dyDescent="0.35">
      <c r="A14" s="399" t="s">
        <v>37</v>
      </c>
      <c r="B14" s="412" t="s">
        <v>835</v>
      </c>
      <c r="C14" s="413"/>
      <c r="D14" s="412">
        <f>D13+D10+D7</f>
        <v>3855861</v>
      </c>
      <c r="E14" s="412">
        <f t="shared" ref="E14:K14" si="1">E13+E10+E7</f>
        <v>0</v>
      </c>
      <c r="F14" s="412">
        <f t="shared" si="1"/>
        <v>1065071</v>
      </c>
      <c r="G14" s="412">
        <f t="shared" si="1"/>
        <v>0</v>
      </c>
      <c r="H14" s="412">
        <f t="shared" si="1"/>
        <v>45000</v>
      </c>
      <c r="I14" s="412">
        <f t="shared" si="1"/>
        <v>0</v>
      </c>
      <c r="J14" s="412">
        <f t="shared" si="1"/>
        <v>788326</v>
      </c>
      <c r="K14" s="412">
        <f t="shared" si="1"/>
        <v>27808686</v>
      </c>
      <c r="L14" s="411">
        <f t="shared" si="0"/>
        <v>33562944</v>
      </c>
    </row>
    <row r="15" spans="1:12" s="573" customFormat="1" ht="21" customHeight="1" x14ac:dyDescent="0.3">
      <c r="A15" s="396" t="s">
        <v>39</v>
      </c>
      <c r="B15" s="574" t="s">
        <v>836</v>
      </c>
      <c r="C15" s="574"/>
      <c r="D15" s="574">
        <f>D6+D9+D12</f>
        <v>7381113</v>
      </c>
      <c r="E15" s="574">
        <f t="shared" ref="E15:K15" si="2">E6+E9+E12</f>
        <v>0</v>
      </c>
      <c r="F15" s="574">
        <f t="shared" si="2"/>
        <v>1065071</v>
      </c>
      <c r="G15" s="574">
        <f t="shared" si="2"/>
        <v>0</v>
      </c>
      <c r="H15" s="574">
        <f t="shared" si="2"/>
        <v>45000</v>
      </c>
      <c r="I15" s="574">
        <f t="shared" si="2"/>
        <v>0</v>
      </c>
      <c r="J15" s="574">
        <f t="shared" si="2"/>
        <v>788326</v>
      </c>
      <c r="K15" s="574">
        <f t="shared" si="2"/>
        <v>30359247</v>
      </c>
      <c r="L15" s="411">
        <f t="shared" si="0"/>
        <v>39638757</v>
      </c>
    </row>
    <row r="16" spans="1:12" ht="42" customHeight="1" x14ac:dyDescent="0.35">
      <c r="A16" s="59"/>
      <c r="B16" s="62"/>
      <c r="C16" s="63"/>
      <c r="D16" s="64"/>
      <c r="E16" s="61"/>
      <c r="F16" s="61"/>
      <c r="G16" s="60"/>
      <c r="H16" s="60"/>
      <c r="I16" s="60"/>
    </row>
    <row r="17" spans="1:12" ht="42" customHeight="1" x14ac:dyDescent="0.35">
      <c r="A17" s="65"/>
      <c r="B17" s="66"/>
      <c r="C17" s="67"/>
      <c r="D17" s="68"/>
      <c r="E17" s="53"/>
      <c r="F17" s="53"/>
      <c r="G17" s="54"/>
      <c r="H17" s="54"/>
      <c r="I17" s="54"/>
    </row>
    <row r="18" spans="1:12" ht="14" x14ac:dyDescent="0.35">
      <c r="A18" s="50"/>
      <c r="B18" s="51"/>
      <c r="C18" s="51"/>
      <c r="D18" s="52"/>
      <c r="E18" s="52"/>
      <c r="F18" s="52"/>
      <c r="G18" s="52"/>
      <c r="H18" s="52"/>
      <c r="I18" s="52"/>
    </row>
    <row r="19" spans="1:12" s="70" customFormat="1" ht="14" x14ac:dyDescent="0.35">
      <c r="A19" s="50"/>
      <c r="B19" s="51"/>
      <c r="C19" s="51"/>
      <c r="D19" s="52"/>
      <c r="E19" s="53"/>
      <c r="F19" s="69"/>
      <c r="G19" s="69"/>
      <c r="H19" s="69"/>
      <c r="I19" s="69"/>
      <c r="L19" s="685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4/2018. (III.19.)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Layout" topLeftCell="C1" zoomScaleNormal="100" workbookViewId="0">
      <selection activeCell="D4" sqref="D4"/>
    </sheetView>
  </sheetViews>
  <sheetFormatPr defaultRowHeight="13" x14ac:dyDescent="0.3"/>
  <cols>
    <col min="1" max="1" width="5.796875" style="71" customWidth="1"/>
    <col min="2" max="2" width="22.296875" style="49" customWidth="1"/>
    <col min="3" max="3" width="13" style="49" customWidth="1"/>
    <col min="4" max="4" width="12.796875" style="72" customWidth="1"/>
    <col min="5" max="5" width="15.5" style="72" customWidth="1"/>
    <col min="6" max="6" width="11.19921875" style="72" customWidth="1"/>
    <col min="7" max="7" width="13.296875" style="72" customWidth="1"/>
    <col min="8" max="9" width="14" style="72" customWidth="1"/>
    <col min="10" max="10" width="13.296875" style="49" customWidth="1"/>
    <col min="11" max="11" width="12.296875" style="49" customWidth="1"/>
    <col min="12" max="12" width="14.296875" style="49" customWidth="1"/>
    <col min="13" max="13" width="15.19921875" style="49" customWidth="1"/>
    <col min="14" max="256" width="9.296875" style="49"/>
    <col min="257" max="257" width="5.796875" style="49" customWidth="1"/>
    <col min="258" max="258" width="22.296875" style="49" customWidth="1"/>
    <col min="259" max="259" width="13" style="49" customWidth="1"/>
    <col min="260" max="260" width="11" style="49" customWidth="1"/>
    <col min="261" max="261" width="15.5" style="49" customWidth="1"/>
    <col min="262" max="262" width="11.19921875" style="49" customWidth="1"/>
    <col min="263" max="263" width="13.296875" style="49" customWidth="1"/>
    <col min="264" max="265" width="14" style="49" customWidth="1"/>
    <col min="266" max="266" width="13.296875" style="49" customWidth="1"/>
    <col min="267" max="267" width="12.296875" style="49" customWidth="1"/>
    <col min="268" max="268" width="14.296875" style="49" customWidth="1"/>
    <col min="269" max="269" width="15.19921875" style="49" customWidth="1"/>
    <col min="270" max="512" width="9.296875" style="49"/>
    <col min="513" max="513" width="5.796875" style="49" customWidth="1"/>
    <col min="514" max="514" width="22.296875" style="49" customWidth="1"/>
    <col min="515" max="515" width="13" style="49" customWidth="1"/>
    <col min="516" max="516" width="11" style="49" customWidth="1"/>
    <col min="517" max="517" width="15.5" style="49" customWidth="1"/>
    <col min="518" max="518" width="11.19921875" style="49" customWidth="1"/>
    <col min="519" max="519" width="13.296875" style="49" customWidth="1"/>
    <col min="520" max="521" width="14" style="49" customWidth="1"/>
    <col min="522" max="522" width="13.296875" style="49" customWidth="1"/>
    <col min="523" max="523" width="12.296875" style="49" customWidth="1"/>
    <col min="524" max="524" width="14.296875" style="49" customWidth="1"/>
    <col min="525" max="525" width="15.19921875" style="49" customWidth="1"/>
    <col min="526" max="768" width="9.296875" style="49"/>
    <col min="769" max="769" width="5.796875" style="49" customWidth="1"/>
    <col min="770" max="770" width="22.296875" style="49" customWidth="1"/>
    <col min="771" max="771" width="13" style="49" customWidth="1"/>
    <col min="772" max="772" width="11" style="49" customWidth="1"/>
    <col min="773" max="773" width="15.5" style="49" customWidth="1"/>
    <col min="774" max="774" width="11.19921875" style="49" customWidth="1"/>
    <col min="775" max="775" width="13.296875" style="49" customWidth="1"/>
    <col min="776" max="777" width="14" style="49" customWidth="1"/>
    <col min="778" max="778" width="13.296875" style="49" customWidth="1"/>
    <col min="779" max="779" width="12.296875" style="49" customWidth="1"/>
    <col min="780" max="780" width="14.296875" style="49" customWidth="1"/>
    <col min="781" max="781" width="15.19921875" style="49" customWidth="1"/>
    <col min="782" max="1024" width="9.296875" style="49"/>
    <col min="1025" max="1025" width="5.796875" style="49" customWidth="1"/>
    <col min="1026" max="1026" width="22.296875" style="49" customWidth="1"/>
    <col min="1027" max="1027" width="13" style="49" customWidth="1"/>
    <col min="1028" max="1028" width="11" style="49" customWidth="1"/>
    <col min="1029" max="1029" width="15.5" style="49" customWidth="1"/>
    <col min="1030" max="1030" width="11.19921875" style="49" customWidth="1"/>
    <col min="1031" max="1031" width="13.296875" style="49" customWidth="1"/>
    <col min="1032" max="1033" width="14" style="49" customWidth="1"/>
    <col min="1034" max="1034" width="13.296875" style="49" customWidth="1"/>
    <col min="1035" max="1035" width="12.296875" style="49" customWidth="1"/>
    <col min="1036" max="1036" width="14.296875" style="49" customWidth="1"/>
    <col min="1037" max="1037" width="15.19921875" style="49" customWidth="1"/>
    <col min="1038" max="1280" width="9.296875" style="49"/>
    <col min="1281" max="1281" width="5.796875" style="49" customWidth="1"/>
    <col min="1282" max="1282" width="22.296875" style="49" customWidth="1"/>
    <col min="1283" max="1283" width="13" style="49" customWidth="1"/>
    <col min="1284" max="1284" width="11" style="49" customWidth="1"/>
    <col min="1285" max="1285" width="15.5" style="49" customWidth="1"/>
    <col min="1286" max="1286" width="11.19921875" style="49" customWidth="1"/>
    <col min="1287" max="1287" width="13.296875" style="49" customWidth="1"/>
    <col min="1288" max="1289" width="14" style="49" customWidth="1"/>
    <col min="1290" max="1290" width="13.296875" style="49" customWidth="1"/>
    <col min="1291" max="1291" width="12.296875" style="49" customWidth="1"/>
    <col min="1292" max="1292" width="14.296875" style="49" customWidth="1"/>
    <col min="1293" max="1293" width="15.19921875" style="49" customWidth="1"/>
    <col min="1294" max="1536" width="9.296875" style="49"/>
    <col min="1537" max="1537" width="5.796875" style="49" customWidth="1"/>
    <col min="1538" max="1538" width="22.296875" style="49" customWidth="1"/>
    <col min="1539" max="1539" width="13" style="49" customWidth="1"/>
    <col min="1540" max="1540" width="11" style="49" customWidth="1"/>
    <col min="1541" max="1541" width="15.5" style="49" customWidth="1"/>
    <col min="1542" max="1542" width="11.19921875" style="49" customWidth="1"/>
    <col min="1543" max="1543" width="13.296875" style="49" customWidth="1"/>
    <col min="1544" max="1545" width="14" style="49" customWidth="1"/>
    <col min="1546" max="1546" width="13.296875" style="49" customWidth="1"/>
    <col min="1547" max="1547" width="12.296875" style="49" customWidth="1"/>
    <col min="1548" max="1548" width="14.296875" style="49" customWidth="1"/>
    <col min="1549" max="1549" width="15.19921875" style="49" customWidth="1"/>
    <col min="1550" max="1792" width="9.296875" style="49"/>
    <col min="1793" max="1793" width="5.796875" style="49" customWidth="1"/>
    <col min="1794" max="1794" width="22.296875" style="49" customWidth="1"/>
    <col min="1795" max="1795" width="13" style="49" customWidth="1"/>
    <col min="1796" max="1796" width="11" style="49" customWidth="1"/>
    <col min="1797" max="1797" width="15.5" style="49" customWidth="1"/>
    <col min="1798" max="1798" width="11.19921875" style="49" customWidth="1"/>
    <col min="1799" max="1799" width="13.296875" style="49" customWidth="1"/>
    <col min="1800" max="1801" width="14" style="49" customWidth="1"/>
    <col min="1802" max="1802" width="13.296875" style="49" customWidth="1"/>
    <col min="1803" max="1803" width="12.296875" style="49" customWidth="1"/>
    <col min="1804" max="1804" width="14.296875" style="49" customWidth="1"/>
    <col min="1805" max="1805" width="15.19921875" style="49" customWidth="1"/>
    <col min="1806" max="2048" width="9.296875" style="49"/>
    <col min="2049" max="2049" width="5.796875" style="49" customWidth="1"/>
    <col min="2050" max="2050" width="22.296875" style="49" customWidth="1"/>
    <col min="2051" max="2051" width="13" style="49" customWidth="1"/>
    <col min="2052" max="2052" width="11" style="49" customWidth="1"/>
    <col min="2053" max="2053" width="15.5" style="49" customWidth="1"/>
    <col min="2054" max="2054" width="11.19921875" style="49" customWidth="1"/>
    <col min="2055" max="2055" width="13.296875" style="49" customWidth="1"/>
    <col min="2056" max="2057" width="14" style="49" customWidth="1"/>
    <col min="2058" max="2058" width="13.296875" style="49" customWidth="1"/>
    <col min="2059" max="2059" width="12.296875" style="49" customWidth="1"/>
    <col min="2060" max="2060" width="14.296875" style="49" customWidth="1"/>
    <col min="2061" max="2061" width="15.19921875" style="49" customWidth="1"/>
    <col min="2062" max="2304" width="9.296875" style="49"/>
    <col min="2305" max="2305" width="5.796875" style="49" customWidth="1"/>
    <col min="2306" max="2306" width="22.296875" style="49" customWidth="1"/>
    <col min="2307" max="2307" width="13" style="49" customWidth="1"/>
    <col min="2308" max="2308" width="11" style="49" customWidth="1"/>
    <col min="2309" max="2309" width="15.5" style="49" customWidth="1"/>
    <col min="2310" max="2310" width="11.19921875" style="49" customWidth="1"/>
    <col min="2311" max="2311" width="13.296875" style="49" customWidth="1"/>
    <col min="2312" max="2313" width="14" style="49" customWidth="1"/>
    <col min="2314" max="2314" width="13.296875" style="49" customWidth="1"/>
    <col min="2315" max="2315" width="12.296875" style="49" customWidth="1"/>
    <col min="2316" max="2316" width="14.296875" style="49" customWidth="1"/>
    <col min="2317" max="2317" width="15.19921875" style="49" customWidth="1"/>
    <col min="2318" max="2560" width="9.296875" style="49"/>
    <col min="2561" max="2561" width="5.796875" style="49" customWidth="1"/>
    <col min="2562" max="2562" width="22.296875" style="49" customWidth="1"/>
    <col min="2563" max="2563" width="13" style="49" customWidth="1"/>
    <col min="2564" max="2564" width="11" style="49" customWidth="1"/>
    <col min="2565" max="2565" width="15.5" style="49" customWidth="1"/>
    <col min="2566" max="2566" width="11.19921875" style="49" customWidth="1"/>
    <col min="2567" max="2567" width="13.296875" style="49" customWidth="1"/>
    <col min="2568" max="2569" width="14" style="49" customWidth="1"/>
    <col min="2570" max="2570" width="13.296875" style="49" customWidth="1"/>
    <col min="2571" max="2571" width="12.296875" style="49" customWidth="1"/>
    <col min="2572" max="2572" width="14.296875" style="49" customWidth="1"/>
    <col min="2573" max="2573" width="15.19921875" style="49" customWidth="1"/>
    <col min="2574" max="2816" width="9.296875" style="49"/>
    <col min="2817" max="2817" width="5.796875" style="49" customWidth="1"/>
    <col min="2818" max="2818" width="22.296875" style="49" customWidth="1"/>
    <col min="2819" max="2819" width="13" style="49" customWidth="1"/>
    <col min="2820" max="2820" width="11" style="49" customWidth="1"/>
    <col min="2821" max="2821" width="15.5" style="49" customWidth="1"/>
    <col min="2822" max="2822" width="11.19921875" style="49" customWidth="1"/>
    <col min="2823" max="2823" width="13.296875" style="49" customWidth="1"/>
    <col min="2824" max="2825" width="14" style="49" customWidth="1"/>
    <col min="2826" max="2826" width="13.296875" style="49" customWidth="1"/>
    <col min="2827" max="2827" width="12.296875" style="49" customWidth="1"/>
    <col min="2828" max="2828" width="14.296875" style="49" customWidth="1"/>
    <col min="2829" max="2829" width="15.19921875" style="49" customWidth="1"/>
    <col min="2830" max="3072" width="9.296875" style="49"/>
    <col min="3073" max="3073" width="5.796875" style="49" customWidth="1"/>
    <col min="3074" max="3074" width="22.296875" style="49" customWidth="1"/>
    <col min="3075" max="3075" width="13" style="49" customWidth="1"/>
    <col min="3076" max="3076" width="11" style="49" customWidth="1"/>
    <col min="3077" max="3077" width="15.5" style="49" customWidth="1"/>
    <col min="3078" max="3078" width="11.19921875" style="49" customWidth="1"/>
    <col min="3079" max="3079" width="13.296875" style="49" customWidth="1"/>
    <col min="3080" max="3081" width="14" style="49" customWidth="1"/>
    <col min="3082" max="3082" width="13.296875" style="49" customWidth="1"/>
    <col min="3083" max="3083" width="12.296875" style="49" customWidth="1"/>
    <col min="3084" max="3084" width="14.296875" style="49" customWidth="1"/>
    <col min="3085" max="3085" width="15.19921875" style="49" customWidth="1"/>
    <col min="3086" max="3328" width="9.296875" style="49"/>
    <col min="3329" max="3329" width="5.796875" style="49" customWidth="1"/>
    <col min="3330" max="3330" width="22.296875" style="49" customWidth="1"/>
    <col min="3331" max="3331" width="13" style="49" customWidth="1"/>
    <col min="3332" max="3332" width="11" style="49" customWidth="1"/>
    <col min="3333" max="3333" width="15.5" style="49" customWidth="1"/>
    <col min="3334" max="3334" width="11.19921875" style="49" customWidth="1"/>
    <col min="3335" max="3335" width="13.296875" style="49" customWidth="1"/>
    <col min="3336" max="3337" width="14" style="49" customWidth="1"/>
    <col min="3338" max="3338" width="13.296875" style="49" customWidth="1"/>
    <col min="3339" max="3339" width="12.296875" style="49" customWidth="1"/>
    <col min="3340" max="3340" width="14.296875" style="49" customWidth="1"/>
    <col min="3341" max="3341" width="15.19921875" style="49" customWidth="1"/>
    <col min="3342" max="3584" width="9.296875" style="49"/>
    <col min="3585" max="3585" width="5.796875" style="49" customWidth="1"/>
    <col min="3586" max="3586" width="22.296875" style="49" customWidth="1"/>
    <col min="3587" max="3587" width="13" style="49" customWidth="1"/>
    <col min="3588" max="3588" width="11" style="49" customWidth="1"/>
    <col min="3589" max="3589" width="15.5" style="49" customWidth="1"/>
    <col min="3590" max="3590" width="11.19921875" style="49" customWidth="1"/>
    <col min="3591" max="3591" width="13.296875" style="49" customWidth="1"/>
    <col min="3592" max="3593" width="14" style="49" customWidth="1"/>
    <col min="3594" max="3594" width="13.296875" style="49" customWidth="1"/>
    <col min="3595" max="3595" width="12.296875" style="49" customWidth="1"/>
    <col min="3596" max="3596" width="14.296875" style="49" customWidth="1"/>
    <col min="3597" max="3597" width="15.19921875" style="49" customWidth="1"/>
    <col min="3598" max="3840" width="9.296875" style="49"/>
    <col min="3841" max="3841" width="5.796875" style="49" customWidth="1"/>
    <col min="3842" max="3842" width="22.296875" style="49" customWidth="1"/>
    <col min="3843" max="3843" width="13" style="49" customWidth="1"/>
    <col min="3844" max="3844" width="11" style="49" customWidth="1"/>
    <col min="3845" max="3845" width="15.5" style="49" customWidth="1"/>
    <col min="3846" max="3846" width="11.19921875" style="49" customWidth="1"/>
    <col min="3847" max="3847" width="13.296875" style="49" customWidth="1"/>
    <col min="3848" max="3849" width="14" style="49" customWidth="1"/>
    <col min="3850" max="3850" width="13.296875" style="49" customWidth="1"/>
    <col min="3851" max="3851" width="12.296875" style="49" customWidth="1"/>
    <col min="3852" max="3852" width="14.296875" style="49" customWidth="1"/>
    <col min="3853" max="3853" width="15.19921875" style="49" customWidth="1"/>
    <col min="3854" max="4096" width="9.296875" style="49"/>
    <col min="4097" max="4097" width="5.796875" style="49" customWidth="1"/>
    <col min="4098" max="4098" width="22.296875" style="49" customWidth="1"/>
    <col min="4099" max="4099" width="13" style="49" customWidth="1"/>
    <col min="4100" max="4100" width="11" style="49" customWidth="1"/>
    <col min="4101" max="4101" width="15.5" style="49" customWidth="1"/>
    <col min="4102" max="4102" width="11.19921875" style="49" customWidth="1"/>
    <col min="4103" max="4103" width="13.296875" style="49" customWidth="1"/>
    <col min="4104" max="4105" width="14" style="49" customWidth="1"/>
    <col min="4106" max="4106" width="13.296875" style="49" customWidth="1"/>
    <col min="4107" max="4107" width="12.296875" style="49" customWidth="1"/>
    <col min="4108" max="4108" width="14.296875" style="49" customWidth="1"/>
    <col min="4109" max="4109" width="15.19921875" style="49" customWidth="1"/>
    <col min="4110" max="4352" width="9.296875" style="49"/>
    <col min="4353" max="4353" width="5.796875" style="49" customWidth="1"/>
    <col min="4354" max="4354" width="22.296875" style="49" customWidth="1"/>
    <col min="4355" max="4355" width="13" style="49" customWidth="1"/>
    <col min="4356" max="4356" width="11" style="49" customWidth="1"/>
    <col min="4357" max="4357" width="15.5" style="49" customWidth="1"/>
    <col min="4358" max="4358" width="11.19921875" style="49" customWidth="1"/>
    <col min="4359" max="4359" width="13.296875" style="49" customWidth="1"/>
    <col min="4360" max="4361" width="14" style="49" customWidth="1"/>
    <col min="4362" max="4362" width="13.296875" style="49" customWidth="1"/>
    <col min="4363" max="4363" width="12.296875" style="49" customWidth="1"/>
    <col min="4364" max="4364" width="14.296875" style="49" customWidth="1"/>
    <col min="4365" max="4365" width="15.19921875" style="49" customWidth="1"/>
    <col min="4366" max="4608" width="9.296875" style="49"/>
    <col min="4609" max="4609" width="5.796875" style="49" customWidth="1"/>
    <col min="4610" max="4610" width="22.296875" style="49" customWidth="1"/>
    <col min="4611" max="4611" width="13" style="49" customWidth="1"/>
    <col min="4612" max="4612" width="11" style="49" customWidth="1"/>
    <col min="4613" max="4613" width="15.5" style="49" customWidth="1"/>
    <col min="4614" max="4614" width="11.19921875" style="49" customWidth="1"/>
    <col min="4615" max="4615" width="13.296875" style="49" customWidth="1"/>
    <col min="4616" max="4617" width="14" style="49" customWidth="1"/>
    <col min="4618" max="4618" width="13.296875" style="49" customWidth="1"/>
    <col min="4619" max="4619" width="12.296875" style="49" customWidth="1"/>
    <col min="4620" max="4620" width="14.296875" style="49" customWidth="1"/>
    <col min="4621" max="4621" width="15.19921875" style="49" customWidth="1"/>
    <col min="4622" max="4864" width="9.296875" style="49"/>
    <col min="4865" max="4865" width="5.796875" style="49" customWidth="1"/>
    <col min="4866" max="4866" width="22.296875" style="49" customWidth="1"/>
    <col min="4867" max="4867" width="13" style="49" customWidth="1"/>
    <col min="4868" max="4868" width="11" style="49" customWidth="1"/>
    <col min="4869" max="4869" width="15.5" style="49" customWidth="1"/>
    <col min="4870" max="4870" width="11.19921875" style="49" customWidth="1"/>
    <col min="4871" max="4871" width="13.296875" style="49" customWidth="1"/>
    <col min="4872" max="4873" width="14" style="49" customWidth="1"/>
    <col min="4874" max="4874" width="13.296875" style="49" customWidth="1"/>
    <col min="4875" max="4875" width="12.296875" style="49" customWidth="1"/>
    <col min="4876" max="4876" width="14.296875" style="49" customWidth="1"/>
    <col min="4877" max="4877" width="15.19921875" style="49" customWidth="1"/>
    <col min="4878" max="5120" width="9.296875" style="49"/>
    <col min="5121" max="5121" width="5.796875" style="49" customWidth="1"/>
    <col min="5122" max="5122" width="22.296875" style="49" customWidth="1"/>
    <col min="5123" max="5123" width="13" style="49" customWidth="1"/>
    <col min="5124" max="5124" width="11" style="49" customWidth="1"/>
    <col min="5125" max="5125" width="15.5" style="49" customWidth="1"/>
    <col min="5126" max="5126" width="11.19921875" style="49" customWidth="1"/>
    <col min="5127" max="5127" width="13.296875" style="49" customWidth="1"/>
    <col min="5128" max="5129" width="14" style="49" customWidth="1"/>
    <col min="5130" max="5130" width="13.296875" style="49" customWidth="1"/>
    <col min="5131" max="5131" width="12.296875" style="49" customWidth="1"/>
    <col min="5132" max="5132" width="14.296875" style="49" customWidth="1"/>
    <col min="5133" max="5133" width="15.19921875" style="49" customWidth="1"/>
    <col min="5134" max="5376" width="9.296875" style="49"/>
    <col min="5377" max="5377" width="5.796875" style="49" customWidth="1"/>
    <col min="5378" max="5378" width="22.296875" style="49" customWidth="1"/>
    <col min="5379" max="5379" width="13" style="49" customWidth="1"/>
    <col min="5380" max="5380" width="11" style="49" customWidth="1"/>
    <col min="5381" max="5381" width="15.5" style="49" customWidth="1"/>
    <col min="5382" max="5382" width="11.19921875" style="49" customWidth="1"/>
    <col min="5383" max="5383" width="13.296875" style="49" customWidth="1"/>
    <col min="5384" max="5385" width="14" style="49" customWidth="1"/>
    <col min="5386" max="5386" width="13.296875" style="49" customWidth="1"/>
    <col min="5387" max="5387" width="12.296875" style="49" customWidth="1"/>
    <col min="5388" max="5388" width="14.296875" style="49" customWidth="1"/>
    <col min="5389" max="5389" width="15.19921875" style="49" customWidth="1"/>
    <col min="5390" max="5632" width="9.296875" style="49"/>
    <col min="5633" max="5633" width="5.796875" style="49" customWidth="1"/>
    <col min="5634" max="5634" width="22.296875" style="49" customWidth="1"/>
    <col min="5635" max="5635" width="13" style="49" customWidth="1"/>
    <col min="5636" max="5636" width="11" style="49" customWidth="1"/>
    <col min="5637" max="5637" width="15.5" style="49" customWidth="1"/>
    <col min="5638" max="5638" width="11.19921875" style="49" customWidth="1"/>
    <col min="5639" max="5639" width="13.296875" style="49" customWidth="1"/>
    <col min="5640" max="5641" width="14" style="49" customWidth="1"/>
    <col min="5642" max="5642" width="13.296875" style="49" customWidth="1"/>
    <col min="5643" max="5643" width="12.296875" style="49" customWidth="1"/>
    <col min="5644" max="5644" width="14.296875" style="49" customWidth="1"/>
    <col min="5645" max="5645" width="15.19921875" style="49" customWidth="1"/>
    <col min="5646" max="5888" width="9.296875" style="49"/>
    <col min="5889" max="5889" width="5.796875" style="49" customWidth="1"/>
    <col min="5890" max="5890" width="22.296875" style="49" customWidth="1"/>
    <col min="5891" max="5891" width="13" style="49" customWidth="1"/>
    <col min="5892" max="5892" width="11" style="49" customWidth="1"/>
    <col min="5893" max="5893" width="15.5" style="49" customWidth="1"/>
    <col min="5894" max="5894" width="11.19921875" style="49" customWidth="1"/>
    <col min="5895" max="5895" width="13.296875" style="49" customWidth="1"/>
    <col min="5896" max="5897" width="14" style="49" customWidth="1"/>
    <col min="5898" max="5898" width="13.296875" style="49" customWidth="1"/>
    <col min="5899" max="5899" width="12.296875" style="49" customWidth="1"/>
    <col min="5900" max="5900" width="14.296875" style="49" customWidth="1"/>
    <col min="5901" max="5901" width="15.19921875" style="49" customWidth="1"/>
    <col min="5902" max="6144" width="9.296875" style="49"/>
    <col min="6145" max="6145" width="5.796875" style="49" customWidth="1"/>
    <col min="6146" max="6146" width="22.296875" style="49" customWidth="1"/>
    <col min="6147" max="6147" width="13" style="49" customWidth="1"/>
    <col min="6148" max="6148" width="11" style="49" customWidth="1"/>
    <col min="6149" max="6149" width="15.5" style="49" customWidth="1"/>
    <col min="6150" max="6150" width="11.19921875" style="49" customWidth="1"/>
    <col min="6151" max="6151" width="13.296875" style="49" customWidth="1"/>
    <col min="6152" max="6153" width="14" style="49" customWidth="1"/>
    <col min="6154" max="6154" width="13.296875" style="49" customWidth="1"/>
    <col min="6155" max="6155" width="12.296875" style="49" customWidth="1"/>
    <col min="6156" max="6156" width="14.296875" style="49" customWidth="1"/>
    <col min="6157" max="6157" width="15.19921875" style="49" customWidth="1"/>
    <col min="6158" max="6400" width="9.296875" style="49"/>
    <col min="6401" max="6401" width="5.796875" style="49" customWidth="1"/>
    <col min="6402" max="6402" width="22.296875" style="49" customWidth="1"/>
    <col min="6403" max="6403" width="13" style="49" customWidth="1"/>
    <col min="6404" max="6404" width="11" style="49" customWidth="1"/>
    <col min="6405" max="6405" width="15.5" style="49" customWidth="1"/>
    <col min="6406" max="6406" width="11.19921875" style="49" customWidth="1"/>
    <col min="6407" max="6407" width="13.296875" style="49" customWidth="1"/>
    <col min="6408" max="6409" width="14" style="49" customWidth="1"/>
    <col min="6410" max="6410" width="13.296875" style="49" customWidth="1"/>
    <col min="6411" max="6411" width="12.296875" style="49" customWidth="1"/>
    <col min="6412" max="6412" width="14.296875" style="49" customWidth="1"/>
    <col min="6413" max="6413" width="15.19921875" style="49" customWidth="1"/>
    <col min="6414" max="6656" width="9.296875" style="49"/>
    <col min="6657" max="6657" width="5.796875" style="49" customWidth="1"/>
    <col min="6658" max="6658" width="22.296875" style="49" customWidth="1"/>
    <col min="6659" max="6659" width="13" style="49" customWidth="1"/>
    <col min="6660" max="6660" width="11" style="49" customWidth="1"/>
    <col min="6661" max="6661" width="15.5" style="49" customWidth="1"/>
    <col min="6662" max="6662" width="11.19921875" style="49" customWidth="1"/>
    <col min="6663" max="6663" width="13.296875" style="49" customWidth="1"/>
    <col min="6664" max="6665" width="14" style="49" customWidth="1"/>
    <col min="6666" max="6666" width="13.296875" style="49" customWidth="1"/>
    <col min="6667" max="6667" width="12.296875" style="49" customWidth="1"/>
    <col min="6668" max="6668" width="14.296875" style="49" customWidth="1"/>
    <col min="6669" max="6669" width="15.19921875" style="49" customWidth="1"/>
    <col min="6670" max="6912" width="9.296875" style="49"/>
    <col min="6913" max="6913" width="5.796875" style="49" customWidth="1"/>
    <col min="6914" max="6914" width="22.296875" style="49" customWidth="1"/>
    <col min="6915" max="6915" width="13" style="49" customWidth="1"/>
    <col min="6916" max="6916" width="11" style="49" customWidth="1"/>
    <col min="6917" max="6917" width="15.5" style="49" customWidth="1"/>
    <col min="6918" max="6918" width="11.19921875" style="49" customWidth="1"/>
    <col min="6919" max="6919" width="13.296875" style="49" customWidth="1"/>
    <col min="6920" max="6921" width="14" style="49" customWidth="1"/>
    <col min="6922" max="6922" width="13.296875" style="49" customWidth="1"/>
    <col min="6923" max="6923" width="12.296875" style="49" customWidth="1"/>
    <col min="6924" max="6924" width="14.296875" style="49" customWidth="1"/>
    <col min="6925" max="6925" width="15.19921875" style="49" customWidth="1"/>
    <col min="6926" max="7168" width="9.296875" style="49"/>
    <col min="7169" max="7169" width="5.796875" style="49" customWidth="1"/>
    <col min="7170" max="7170" width="22.296875" style="49" customWidth="1"/>
    <col min="7171" max="7171" width="13" style="49" customWidth="1"/>
    <col min="7172" max="7172" width="11" style="49" customWidth="1"/>
    <col min="7173" max="7173" width="15.5" style="49" customWidth="1"/>
    <col min="7174" max="7174" width="11.19921875" style="49" customWidth="1"/>
    <col min="7175" max="7175" width="13.296875" style="49" customWidth="1"/>
    <col min="7176" max="7177" width="14" style="49" customWidth="1"/>
    <col min="7178" max="7178" width="13.296875" style="49" customWidth="1"/>
    <col min="7179" max="7179" width="12.296875" style="49" customWidth="1"/>
    <col min="7180" max="7180" width="14.296875" style="49" customWidth="1"/>
    <col min="7181" max="7181" width="15.19921875" style="49" customWidth="1"/>
    <col min="7182" max="7424" width="9.296875" style="49"/>
    <col min="7425" max="7425" width="5.796875" style="49" customWidth="1"/>
    <col min="7426" max="7426" width="22.296875" style="49" customWidth="1"/>
    <col min="7427" max="7427" width="13" style="49" customWidth="1"/>
    <col min="7428" max="7428" width="11" style="49" customWidth="1"/>
    <col min="7429" max="7429" width="15.5" style="49" customWidth="1"/>
    <col min="7430" max="7430" width="11.19921875" style="49" customWidth="1"/>
    <col min="7431" max="7431" width="13.296875" style="49" customWidth="1"/>
    <col min="7432" max="7433" width="14" style="49" customWidth="1"/>
    <col min="7434" max="7434" width="13.296875" style="49" customWidth="1"/>
    <col min="7435" max="7435" width="12.296875" style="49" customWidth="1"/>
    <col min="7436" max="7436" width="14.296875" style="49" customWidth="1"/>
    <col min="7437" max="7437" width="15.19921875" style="49" customWidth="1"/>
    <col min="7438" max="7680" width="9.296875" style="49"/>
    <col min="7681" max="7681" width="5.796875" style="49" customWidth="1"/>
    <col min="7682" max="7682" width="22.296875" style="49" customWidth="1"/>
    <col min="7683" max="7683" width="13" style="49" customWidth="1"/>
    <col min="7684" max="7684" width="11" style="49" customWidth="1"/>
    <col min="7685" max="7685" width="15.5" style="49" customWidth="1"/>
    <col min="7686" max="7686" width="11.19921875" style="49" customWidth="1"/>
    <col min="7687" max="7687" width="13.296875" style="49" customWidth="1"/>
    <col min="7688" max="7689" width="14" style="49" customWidth="1"/>
    <col min="7690" max="7690" width="13.296875" style="49" customWidth="1"/>
    <col min="7691" max="7691" width="12.296875" style="49" customWidth="1"/>
    <col min="7692" max="7692" width="14.296875" style="49" customWidth="1"/>
    <col min="7693" max="7693" width="15.19921875" style="49" customWidth="1"/>
    <col min="7694" max="7936" width="9.296875" style="49"/>
    <col min="7937" max="7937" width="5.796875" style="49" customWidth="1"/>
    <col min="7938" max="7938" width="22.296875" style="49" customWidth="1"/>
    <col min="7939" max="7939" width="13" style="49" customWidth="1"/>
    <col min="7940" max="7940" width="11" style="49" customWidth="1"/>
    <col min="7941" max="7941" width="15.5" style="49" customWidth="1"/>
    <col min="7942" max="7942" width="11.19921875" style="49" customWidth="1"/>
    <col min="7943" max="7943" width="13.296875" style="49" customWidth="1"/>
    <col min="7944" max="7945" width="14" style="49" customWidth="1"/>
    <col min="7946" max="7946" width="13.296875" style="49" customWidth="1"/>
    <col min="7947" max="7947" width="12.296875" style="49" customWidth="1"/>
    <col min="7948" max="7948" width="14.296875" style="49" customWidth="1"/>
    <col min="7949" max="7949" width="15.19921875" style="49" customWidth="1"/>
    <col min="7950" max="8192" width="9.296875" style="49"/>
    <col min="8193" max="8193" width="5.796875" style="49" customWidth="1"/>
    <col min="8194" max="8194" width="22.296875" style="49" customWidth="1"/>
    <col min="8195" max="8195" width="13" style="49" customWidth="1"/>
    <col min="8196" max="8196" width="11" style="49" customWidth="1"/>
    <col min="8197" max="8197" width="15.5" style="49" customWidth="1"/>
    <col min="8198" max="8198" width="11.19921875" style="49" customWidth="1"/>
    <col min="8199" max="8199" width="13.296875" style="49" customWidth="1"/>
    <col min="8200" max="8201" width="14" style="49" customWidth="1"/>
    <col min="8202" max="8202" width="13.296875" style="49" customWidth="1"/>
    <col min="8203" max="8203" width="12.296875" style="49" customWidth="1"/>
    <col min="8204" max="8204" width="14.296875" style="49" customWidth="1"/>
    <col min="8205" max="8205" width="15.19921875" style="49" customWidth="1"/>
    <col min="8206" max="8448" width="9.296875" style="49"/>
    <col min="8449" max="8449" width="5.796875" style="49" customWidth="1"/>
    <col min="8450" max="8450" width="22.296875" style="49" customWidth="1"/>
    <col min="8451" max="8451" width="13" style="49" customWidth="1"/>
    <col min="8452" max="8452" width="11" style="49" customWidth="1"/>
    <col min="8453" max="8453" width="15.5" style="49" customWidth="1"/>
    <col min="8454" max="8454" width="11.19921875" style="49" customWidth="1"/>
    <col min="8455" max="8455" width="13.296875" style="49" customWidth="1"/>
    <col min="8456" max="8457" width="14" style="49" customWidth="1"/>
    <col min="8458" max="8458" width="13.296875" style="49" customWidth="1"/>
    <col min="8459" max="8459" width="12.296875" style="49" customWidth="1"/>
    <col min="8460" max="8460" width="14.296875" style="49" customWidth="1"/>
    <col min="8461" max="8461" width="15.19921875" style="49" customWidth="1"/>
    <col min="8462" max="8704" width="9.296875" style="49"/>
    <col min="8705" max="8705" width="5.796875" style="49" customWidth="1"/>
    <col min="8706" max="8706" width="22.296875" style="49" customWidth="1"/>
    <col min="8707" max="8707" width="13" style="49" customWidth="1"/>
    <col min="8708" max="8708" width="11" style="49" customWidth="1"/>
    <col min="8709" max="8709" width="15.5" style="49" customWidth="1"/>
    <col min="8710" max="8710" width="11.19921875" style="49" customWidth="1"/>
    <col min="8711" max="8711" width="13.296875" style="49" customWidth="1"/>
    <col min="8712" max="8713" width="14" style="49" customWidth="1"/>
    <col min="8714" max="8714" width="13.296875" style="49" customWidth="1"/>
    <col min="8715" max="8715" width="12.296875" style="49" customWidth="1"/>
    <col min="8716" max="8716" width="14.296875" style="49" customWidth="1"/>
    <col min="8717" max="8717" width="15.19921875" style="49" customWidth="1"/>
    <col min="8718" max="8960" width="9.296875" style="49"/>
    <col min="8961" max="8961" width="5.796875" style="49" customWidth="1"/>
    <col min="8962" max="8962" width="22.296875" style="49" customWidth="1"/>
    <col min="8963" max="8963" width="13" style="49" customWidth="1"/>
    <col min="8964" max="8964" width="11" style="49" customWidth="1"/>
    <col min="8965" max="8965" width="15.5" style="49" customWidth="1"/>
    <col min="8966" max="8966" width="11.19921875" style="49" customWidth="1"/>
    <col min="8967" max="8967" width="13.296875" style="49" customWidth="1"/>
    <col min="8968" max="8969" width="14" style="49" customWidth="1"/>
    <col min="8970" max="8970" width="13.296875" style="49" customWidth="1"/>
    <col min="8971" max="8971" width="12.296875" style="49" customWidth="1"/>
    <col min="8972" max="8972" width="14.296875" style="49" customWidth="1"/>
    <col min="8973" max="8973" width="15.19921875" style="49" customWidth="1"/>
    <col min="8974" max="9216" width="9.296875" style="49"/>
    <col min="9217" max="9217" width="5.796875" style="49" customWidth="1"/>
    <col min="9218" max="9218" width="22.296875" style="49" customWidth="1"/>
    <col min="9219" max="9219" width="13" style="49" customWidth="1"/>
    <col min="9220" max="9220" width="11" style="49" customWidth="1"/>
    <col min="9221" max="9221" width="15.5" style="49" customWidth="1"/>
    <col min="9222" max="9222" width="11.19921875" style="49" customWidth="1"/>
    <col min="9223" max="9223" width="13.296875" style="49" customWidth="1"/>
    <col min="9224" max="9225" width="14" style="49" customWidth="1"/>
    <col min="9226" max="9226" width="13.296875" style="49" customWidth="1"/>
    <col min="9227" max="9227" width="12.296875" style="49" customWidth="1"/>
    <col min="9228" max="9228" width="14.296875" style="49" customWidth="1"/>
    <col min="9229" max="9229" width="15.19921875" style="49" customWidth="1"/>
    <col min="9230" max="9472" width="9.296875" style="49"/>
    <col min="9473" max="9473" width="5.796875" style="49" customWidth="1"/>
    <col min="9474" max="9474" width="22.296875" style="49" customWidth="1"/>
    <col min="9475" max="9475" width="13" style="49" customWidth="1"/>
    <col min="9476" max="9476" width="11" style="49" customWidth="1"/>
    <col min="9477" max="9477" width="15.5" style="49" customWidth="1"/>
    <col min="9478" max="9478" width="11.19921875" style="49" customWidth="1"/>
    <col min="9479" max="9479" width="13.296875" style="49" customWidth="1"/>
    <col min="9480" max="9481" width="14" style="49" customWidth="1"/>
    <col min="9482" max="9482" width="13.296875" style="49" customWidth="1"/>
    <col min="9483" max="9483" width="12.296875" style="49" customWidth="1"/>
    <col min="9484" max="9484" width="14.296875" style="49" customWidth="1"/>
    <col min="9485" max="9485" width="15.19921875" style="49" customWidth="1"/>
    <col min="9486" max="9728" width="9.296875" style="49"/>
    <col min="9729" max="9729" width="5.796875" style="49" customWidth="1"/>
    <col min="9730" max="9730" width="22.296875" style="49" customWidth="1"/>
    <col min="9731" max="9731" width="13" style="49" customWidth="1"/>
    <col min="9732" max="9732" width="11" style="49" customWidth="1"/>
    <col min="9733" max="9733" width="15.5" style="49" customWidth="1"/>
    <col min="9734" max="9734" width="11.19921875" style="49" customWidth="1"/>
    <col min="9735" max="9735" width="13.296875" style="49" customWidth="1"/>
    <col min="9736" max="9737" width="14" style="49" customWidth="1"/>
    <col min="9738" max="9738" width="13.296875" style="49" customWidth="1"/>
    <col min="9739" max="9739" width="12.296875" style="49" customWidth="1"/>
    <col min="9740" max="9740" width="14.296875" style="49" customWidth="1"/>
    <col min="9741" max="9741" width="15.19921875" style="49" customWidth="1"/>
    <col min="9742" max="9984" width="9.296875" style="49"/>
    <col min="9985" max="9985" width="5.796875" style="49" customWidth="1"/>
    <col min="9986" max="9986" width="22.296875" style="49" customWidth="1"/>
    <col min="9987" max="9987" width="13" style="49" customWidth="1"/>
    <col min="9988" max="9988" width="11" style="49" customWidth="1"/>
    <col min="9989" max="9989" width="15.5" style="49" customWidth="1"/>
    <col min="9990" max="9990" width="11.19921875" style="49" customWidth="1"/>
    <col min="9991" max="9991" width="13.296875" style="49" customWidth="1"/>
    <col min="9992" max="9993" width="14" style="49" customWidth="1"/>
    <col min="9994" max="9994" width="13.296875" style="49" customWidth="1"/>
    <col min="9995" max="9995" width="12.296875" style="49" customWidth="1"/>
    <col min="9996" max="9996" width="14.296875" style="49" customWidth="1"/>
    <col min="9997" max="9997" width="15.19921875" style="49" customWidth="1"/>
    <col min="9998" max="10240" width="9.296875" style="49"/>
    <col min="10241" max="10241" width="5.796875" style="49" customWidth="1"/>
    <col min="10242" max="10242" width="22.296875" style="49" customWidth="1"/>
    <col min="10243" max="10243" width="13" style="49" customWidth="1"/>
    <col min="10244" max="10244" width="11" style="49" customWidth="1"/>
    <col min="10245" max="10245" width="15.5" style="49" customWidth="1"/>
    <col min="10246" max="10246" width="11.19921875" style="49" customWidth="1"/>
    <col min="10247" max="10247" width="13.296875" style="49" customWidth="1"/>
    <col min="10248" max="10249" width="14" style="49" customWidth="1"/>
    <col min="10250" max="10250" width="13.296875" style="49" customWidth="1"/>
    <col min="10251" max="10251" width="12.296875" style="49" customWidth="1"/>
    <col min="10252" max="10252" width="14.296875" style="49" customWidth="1"/>
    <col min="10253" max="10253" width="15.19921875" style="49" customWidth="1"/>
    <col min="10254" max="10496" width="9.296875" style="49"/>
    <col min="10497" max="10497" width="5.796875" style="49" customWidth="1"/>
    <col min="10498" max="10498" width="22.296875" style="49" customWidth="1"/>
    <col min="10499" max="10499" width="13" style="49" customWidth="1"/>
    <col min="10500" max="10500" width="11" style="49" customWidth="1"/>
    <col min="10501" max="10501" width="15.5" style="49" customWidth="1"/>
    <col min="10502" max="10502" width="11.19921875" style="49" customWidth="1"/>
    <col min="10503" max="10503" width="13.296875" style="49" customWidth="1"/>
    <col min="10504" max="10505" width="14" style="49" customWidth="1"/>
    <col min="10506" max="10506" width="13.296875" style="49" customWidth="1"/>
    <col min="10507" max="10507" width="12.296875" style="49" customWidth="1"/>
    <col min="10508" max="10508" width="14.296875" style="49" customWidth="1"/>
    <col min="10509" max="10509" width="15.19921875" style="49" customWidth="1"/>
    <col min="10510" max="10752" width="9.296875" style="49"/>
    <col min="10753" max="10753" width="5.796875" style="49" customWidth="1"/>
    <col min="10754" max="10754" width="22.296875" style="49" customWidth="1"/>
    <col min="10755" max="10755" width="13" style="49" customWidth="1"/>
    <col min="10756" max="10756" width="11" style="49" customWidth="1"/>
    <col min="10757" max="10757" width="15.5" style="49" customWidth="1"/>
    <col min="10758" max="10758" width="11.19921875" style="49" customWidth="1"/>
    <col min="10759" max="10759" width="13.296875" style="49" customWidth="1"/>
    <col min="10760" max="10761" width="14" style="49" customWidth="1"/>
    <col min="10762" max="10762" width="13.296875" style="49" customWidth="1"/>
    <col min="10763" max="10763" width="12.296875" style="49" customWidth="1"/>
    <col min="10764" max="10764" width="14.296875" style="49" customWidth="1"/>
    <col min="10765" max="10765" width="15.19921875" style="49" customWidth="1"/>
    <col min="10766" max="11008" width="9.296875" style="49"/>
    <col min="11009" max="11009" width="5.796875" style="49" customWidth="1"/>
    <col min="11010" max="11010" width="22.296875" style="49" customWidth="1"/>
    <col min="11011" max="11011" width="13" style="49" customWidth="1"/>
    <col min="11012" max="11012" width="11" style="49" customWidth="1"/>
    <col min="11013" max="11013" width="15.5" style="49" customWidth="1"/>
    <col min="11014" max="11014" width="11.19921875" style="49" customWidth="1"/>
    <col min="11015" max="11015" width="13.296875" style="49" customWidth="1"/>
    <col min="11016" max="11017" width="14" style="49" customWidth="1"/>
    <col min="11018" max="11018" width="13.296875" style="49" customWidth="1"/>
    <col min="11019" max="11019" width="12.296875" style="49" customWidth="1"/>
    <col min="11020" max="11020" width="14.296875" style="49" customWidth="1"/>
    <col min="11021" max="11021" width="15.19921875" style="49" customWidth="1"/>
    <col min="11022" max="11264" width="9.296875" style="49"/>
    <col min="11265" max="11265" width="5.796875" style="49" customWidth="1"/>
    <col min="11266" max="11266" width="22.296875" style="49" customWidth="1"/>
    <col min="11267" max="11267" width="13" style="49" customWidth="1"/>
    <col min="11268" max="11268" width="11" style="49" customWidth="1"/>
    <col min="11269" max="11269" width="15.5" style="49" customWidth="1"/>
    <col min="11270" max="11270" width="11.19921875" style="49" customWidth="1"/>
    <col min="11271" max="11271" width="13.296875" style="49" customWidth="1"/>
    <col min="11272" max="11273" width="14" style="49" customWidth="1"/>
    <col min="11274" max="11274" width="13.296875" style="49" customWidth="1"/>
    <col min="11275" max="11275" width="12.296875" style="49" customWidth="1"/>
    <col min="11276" max="11276" width="14.296875" style="49" customWidth="1"/>
    <col min="11277" max="11277" width="15.19921875" style="49" customWidth="1"/>
    <col min="11278" max="11520" width="9.296875" style="49"/>
    <col min="11521" max="11521" width="5.796875" style="49" customWidth="1"/>
    <col min="11522" max="11522" width="22.296875" style="49" customWidth="1"/>
    <col min="11523" max="11523" width="13" style="49" customWidth="1"/>
    <col min="11524" max="11524" width="11" style="49" customWidth="1"/>
    <col min="11525" max="11525" width="15.5" style="49" customWidth="1"/>
    <col min="11526" max="11526" width="11.19921875" style="49" customWidth="1"/>
    <col min="11527" max="11527" width="13.296875" style="49" customWidth="1"/>
    <col min="11528" max="11529" width="14" style="49" customWidth="1"/>
    <col min="11530" max="11530" width="13.296875" style="49" customWidth="1"/>
    <col min="11531" max="11531" width="12.296875" style="49" customWidth="1"/>
    <col min="11532" max="11532" width="14.296875" style="49" customWidth="1"/>
    <col min="11533" max="11533" width="15.19921875" style="49" customWidth="1"/>
    <col min="11534" max="11776" width="9.296875" style="49"/>
    <col min="11777" max="11777" width="5.796875" style="49" customWidth="1"/>
    <col min="11778" max="11778" width="22.296875" style="49" customWidth="1"/>
    <col min="11779" max="11779" width="13" style="49" customWidth="1"/>
    <col min="11780" max="11780" width="11" style="49" customWidth="1"/>
    <col min="11781" max="11781" width="15.5" style="49" customWidth="1"/>
    <col min="11782" max="11782" width="11.19921875" style="49" customWidth="1"/>
    <col min="11783" max="11783" width="13.296875" style="49" customWidth="1"/>
    <col min="11784" max="11785" width="14" style="49" customWidth="1"/>
    <col min="11786" max="11786" width="13.296875" style="49" customWidth="1"/>
    <col min="11787" max="11787" width="12.296875" style="49" customWidth="1"/>
    <col min="11788" max="11788" width="14.296875" style="49" customWidth="1"/>
    <col min="11789" max="11789" width="15.19921875" style="49" customWidth="1"/>
    <col min="11790" max="12032" width="9.296875" style="49"/>
    <col min="12033" max="12033" width="5.796875" style="49" customWidth="1"/>
    <col min="12034" max="12034" width="22.296875" style="49" customWidth="1"/>
    <col min="12035" max="12035" width="13" style="49" customWidth="1"/>
    <col min="12036" max="12036" width="11" style="49" customWidth="1"/>
    <col min="12037" max="12037" width="15.5" style="49" customWidth="1"/>
    <col min="12038" max="12038" width="11.19921875" style="49" customWidth="1"/>
    <col min="12039" max="12039" width="13.296875" style="49" customWidth="1"/>
    <col min="12040" max="12041" width="14" style="49" customWidth="1"/>
    <col min="12042" max="12042" width="13.296875" style="49" customWidth="1"/>
    <col min="12043" max="12043" width="12.296875" style="49" customWidth="1"/>
    <col min="12044" max="12044" width="14.296875" style="49" customWidth="1"/>
    <col min="12045" max="12045" width="15.19921875" style="49" customWidth="1"/>
    <col min="12046" max="12288" width="9.296875" style="49"/>
    <col min="12289" max="12289" width="5.796875" style="49" customWidth="1"/>
    <col min="12290" max="12290" width="22.296875" style="49" customWidth="1"/>
    <col min="12291" max="12291" width="13" style="49" customWidth="1"/>
    <col min="12292" max="12292" width="11" style="49" customWidth="1"/>
    <col min="12293" max="12293" width="15.5" style="49" customWidth="1"/>
    <col min="12294" max="12294" width="11.19921875" style="49" customWidth="1"/>
    <col min="12295" max="12295" width="13.296875" style="49" customWidth="1"/>
    <col min="12296" max="12297" width="14" style="49" customWidth="1"/>
    <col min="12298" max="12298" width="13.296875" style="49" customWidth="1"/>
    <col min="12299" max="12299" width="12.296875" style="49" customWidth="1"/>
    <col min="12300" max="12300" width="14.296875" style="49" customWidth="1"/>
    <col min="12301" max="12301" width="15.19921875" style="49" customWidth="1"/>
    <col min="12302" max="12544" width="9.296875" style="49"/>
    <col min="12545" max="12545" width="5.796875" style="49" customWidth="1"/>
    <col min="12546" max="12546" width="22.296875" style="49" customWidth="1"/>
    <col min="12547" max="12547" width="13" style="49" customWidth="1"/>
    <col min="12548" max="12548" width="11" style="49" customWidth="1"/>
    <col min="12549" max="12549" width="15.5" style="49" customWidth="1"/>
    <col min="12550" max="12550" width="11.19921875" style="49" customWidth="1"/>
    <col min="12551" max="12551" width="13.296875" style="49" customWidth="1"/>
    <col min="12552" max="12553" width="14" style="49" customWidth="1"/>
    <col min="12554" max="12554" width="13.296875" style="49" customWidth="1"/>
    <col min="12555" max="12555" width="12.296875" style="49" customWidth="1"/>
    <col min="12556" max="12556" width="14.296875" style="49" customWidth="1"/>
    <col min="12557" max="12557" width="15.19921875" style="49" customWidth="1"/>
    <col min="12558" max="12800" width="9.296875" style="49"/>
    <col min="12801" max="12801" width="5.796875" style="49" customWidth="1"/>
    <col min="12802" max="12802" width="22.296875" style="49" customWidth="1"/>
    <col min="12803" max="12803" width="13" style="49" customWidth="1"/>
    <col min="12804" max="12804" width="11" style="49" customWidth="1"/>
    <col min="12805" max="12805" width="15.5" style="49" customWidth="1"/>
    <col min="12806" max="12806" width="11.19921875" style="49" customWidth="1"/>
    <col min="12807" max="12807" width="13.296875" style="49" customWidth="1"/>
    <col min="12808" max="12809" width="14" style="49" customWidth="1"/>
    <col min="12810" max="12810" width="13.296875" style="49" customWidth="1"/>
    <col min="12811" max="12811" width="12.296875" style="49" customWidth="1"/>
    <col min="12812" max="12812" width="14.296875" style="49" customWidth="1"/>
    <col min="12813" max="12813" width="15.19921875" style="49" customWidth="1"/>
    <col min="12814" max="13056" width="9.296875" style="49"/>
    <col min="13057" max="13057" width="5.796875" style="49" customWidth="1"/>
    <col min="13058" max="13058" width="22.296875" style="49" customWidth="1"/>
    <col min="13059" max="13059" width="13" style="49" customWidth="1"/>
    <col min="13060" max="13060" width="11" style="49" customWidth="1"/>
    <col min="13061" max="13061" width="15.5" style="49" customWidth="1"/>
    <col min="13062" max="13062" width="11.19921875" style="49" customWidth="1"/>
    <col min="13063" max="13063" width="13.296875" style="49" customWidth="1"/>
    <col min="13064" max="13065" width="14" style="49" customWidth="1"/>
    <col min="13066" max="13066" width="13.296875" style="49" customWidth="1"/>
    <col min="13067" max="13067" width="12.296875" style="49" customWidth="1"/>
    <col min="13068" max="13068" width="14.296875" style="49" customWidth="1"/>
    <col min="13069" max="13069" width="15.19921875" style="49" customWidth="1"/>
    <col min="13070" max="13312" width="9.296875" style="49"/>
    <col min="13313" max="13313" width="5.796875" style="49" customWidth="1"/>
    <col min="13314" max="13314" width="22.296875" style="49" customWidth="1"/>
    <col min="13315" max="13315" width="13" style="49" customWidth="1"/>
    <col min="13316" max="13316" width="11" style="49" customWidth="1"/>
    <col min="13317" max="13317" width="15.5" style="49" customWidth="1"/>
    <col min="13318" max="13318" width="11.19921875" style="49" customWidth="1"/>
    <col min="13319" max="13319" width="13.296875" style="49" customWidth="1"/>
    <col min="13320" max="13321" width="14" style="49" customWidth="1"/>
    <col min="13322" max="13322" width="13.296875" style="49" customWidth="1"/>
    <col min="13323" max="13323" width="12.296875" style="49" customWidth="1"/>
    <col min="13324" max="13324" width="14.296875" style="49" customWidth="1"/>
    <col min="13325" max="13325" width="15.19921875" style="49" customWidth="1"/>
    <col min="13326" max="13568" width="9.296875" style="49"/>
    <col min="13569" max="13569" width="5.796875" style="49" customWidth="1"/>
    <col min="13570" max="13570" width="22.296875" style="49" customWidth="1"/>
    <col min="13571" max="13571" width="13" style="49" customWidth="1"/>
    <col min="13572" max="13572" width="11" style="49" customWidth="1"/>
    <col min="13573" max="13573" width="15.5" style="49" customWidth="1"/>
    <col min="13574" max="13574" width="11.19921875" style="49" customWidth="1"/>
    <col min="13575" max="13575" width="13.296875" style="49" customWidth="1"/>
    <col min="13576" max="13577" width="14" style="49" customWidth="1"/>
    <col min="13578" max="13578" width="13.296875" style="49" customWidth="1"/>
    <col min="13579" max="13579" width="12.296875" style="49" customWidth="1"/>
    <col min="13580" max="13580" width="14.296875" style="49" customWidth="1"/>
    <col min="13581" max="13581" width="15.19921875" style="49" customWidth="1"/>
    <col min="13582" max="13824" width="9.296875" style="49"/>
    <col min="13825" max="13825" width="5.796875" style="49" customWidth="1"/>
    <col min="13826" max="13826" width="22.296875" style="49" customWidth="1"/>
    <col min="13827" max="13827" width="13" style="49" customWidth="1"/>
    <col min="13828" max="13828" width="11" style="49" customWidth="1"/>
    <col min="13829" max="13829" width="15.5" style="49" customWidth="1"/>
    <col min="13830" max="13830" width="11.19921875" style="49" customWidth="1"/>
    <col min="13831" max="13831" width="13.296875" style="49" customWidth="1"/>
    <col min="13832" max="13833" width="14" style="49" customWidth="1"/>
    <col min="13834" max="13834" width="13.296875" style="49" customWidth="1"/>
    <col min="13835" max="13835" width="12.296875" style="49" customWidth="1"/>
    <col min="13836" max="13836" width="14.296875" style="49" customWidth="1"/>
    <col min="13837" max="13837" width="15.19921875" style="49" customWidth="1"/>
    <col min="13838" max="14080" width="9.296875" style="49"/>
    <col min="14081" max="14081" width="5.796875" style="49" customWidth="1"/>
    <col min="14082" max="14082" width="22.296875" style="49" customWidth="1"/>
    <col min="14083" max="14083" width="13" style="49" customWidth="1"/>
    <col min="14084" max="14084" width="11" style="49" customWidth="1"/>
    <col min="14085" max="14085" width="15.5" style="49" customWidth="1"/>
    <col min="14086" max="14086" width="11.19921875" style="49" customWidth="1"/>
    <col min="14087" max="14087" width="13.296875" style="49" customWidth="1"/>
    <col min="14088" max="14089" width="14" style="49" customWidth="1"/>
    <col min="14090" max="14090" width="13.296875" style="49" customWidth="1"/>
    <col min="14091" max="14091" width="12.296875" style="49" customWidth="1"/>
    <col min="14092" max="14092" width="14.296875" style="49" customWidth="1"/>
    <col min="14093" max="14093" width="15.19921875" style="49" customWidth="1"/>
    <col min="14094" max="14336" width="9.296875" style="49"/>
    <col min="14337" max="14337" width="5.796875" style="49" customWidth="1"/>
    <col min="14338" max="14338" width="22.296875" style="49" customWidth="1"/>
    <col min="14339" max="14339" width="13" style="49" customWidth="1"/>
    <col min="14340" max="14340" width="11" style="49" customWidth="1"/>
    <col min="14341" max="14341" width="15.5" style="49" customWidth="1"/>
    <col min="14342" max="14342" width="11.19921875" style="49" customWidth="1"/>
    <col min="14343" max="14343" width="13.296875" style="49" customWidth="1"/>
    <col min="14344" max="14345" width="14" style="49" customWidth="1"/>
    <col min="14346" max="14346" width="13.296875" style="49" customWidth="1"/>
    <col min="14347" max="14347" width="12.296875" style="49" customWidth="1"/>
    <col min="14348" max="14348" width="14.296875" style="49" customWidth="1"/>
    <col min="14349" max="14349" width="15.19921875" style="49" customWidth="1"/>
    <col min="14350" max="14592" width="9.296875" style="49"/>
    <col min="14593" max="14593" width="5.796875" style="49" customWidth="1"/>
    <col min="14594" max="14594" width="22.296875" style="49" customWidth="1"/>
    <col min="14595" max="14595" width="13" style="49" customWidth="1"/>
    <col min="14596" max="14596" width="11" style="49" customWidth="1"/>
    <col min="14597" max="14597" width="15.5" style="49" customWidth="1"/>
    <col min="14598" max="14598" width="11.19921875" style="49" customWidth="1"/>
    <col min="14599" max="14599" width="13.296875" style="49" customWidth="1"/>
    <col min="14600" max="14601" width="14" style="49" customWidth="1"/>
    <col min="14602" max="14602" width="13.296875" style="49" customWidth="1"/>
    <col min="14603" max="14603" width="12.296875" style="49" customWidth="1"/>
    <col min="14604" max="14604" width="14.296875" style="49" customWidth="1"/>
    <col min="14605" max="14605" width="15.19921875" style="49" customWidth="1"/>
    <col min="14606" max="14848" width="9.296875" style="49"/>
    <col min="14849" max="14849" width="5.796875" style="49" customWidth="1"/>
    <col min="14850" max="14850" width="22.296875" style="49" customWidth="1"/>
    <col min="14851" max="14851" width="13" style="49" customWidth="1"/>
    <col min="14852" max="14852" width="11" style="49" customWidth="1"/>
    <col min="14853" max="14853" width="15.5" style="49" customWidth="1"/>
    <col min="14854" max="14854" width="11.19921875" style="49" customWidth="1"/>
    <col min="14855" max="14855" width="13.296875" style="49" customWidth="1"/>
    <col min="14856" max="14857" width="14" style="49" customWidth="1"/>
    <col min="14858" max="14858" width="13.296875" style="49" customWidth="1"/>
    <col min="14859" max="14859" width="12.296875" style="49" customWidth="1"/>
    <col min="14860" max="14860" width="14.296875" style="49" customWidth="1"/>
    <col min="14861" max="14861" width="15.19921875" style="49" customWidth="1"/>
    <col min="14862" max="15104" width="9.296875" style="49"/>
    <col min="15105" max="15105" width="5.796875" style="49" customWidth="1"/>
    <col min="15106" max="15106" width="22.296875" style="49" customWidth="1"/>
    <col min="15107" max="15107" width="13" style="49" customWidth="1"/>
    <col min="15108" max="15108" width="11" style="49" customWidth="1"/>
    <col min="15109" max="15109" width="15.5" style="49" customWidth="1"/>
    <col min="15110" max="15110" width="11.19921875" style="49" customWidth="1"/>
    <col min="15111" max="15111" width="13.296875" style="49" customWidth="1"/>
    <col min="15112" max="15113" width="14" style="49" customWidth="1"/>
    <col min="15114" max="15114" width="13.296875" style="49" customWidth="1"/>
    <col min="15115" max="15115" width="12.296875" style="49" customWidth="1"/>
    <col min="15116" max="15116" width="14.296875" style="49" customWidth="1"/>
    <col min="15117" max="15117" width="15.19921875" style="49" customWidth="1"/>
    <col min="15118" max="15360" width="9.296875" style="49"/>
    <col min="15361" max="15361" width="5.796875" style="49" customWidth="1"/>
    <col min="15362" max="15362" width="22.296875" style="49" customWidth="1"/>
    <col min="15363" max="15363" width="13" style="49" customWidth="1"/>
    <col min="15364" max="15364" width="11" style="49" customWidth="1"/>
    <col min="15365" max="15365" width="15.5" style="49" customWidth="1"/>
    <col min="15366" max="15366" width="11.19921875" style="49" customWidth="1"/>
    <col min="15367" max="15367" width="13.296875" style="49" customWidth="1"/>
    <col min="15368" max="15369" width="14" style="49" customWidth="1"/>
    <col min="15370" max="15370" width="13.296875" style="49" customWidth="1"/>
    <col min="15371" max="15371" width="12.296875" style="49" customWidth="1"/>
    <col min="15372" max="15372" width="14.296875" style="49" customWidth="1"/>
    <col min="15373" max="15373" width="15.19921875" style="49" customWidth="1"/>
    <col min="15374" max="15616" width="9.296875" style="49"/>
    <col min="15617" max="15617" width="5.796875" style="49" customWidth="1"/>
    <col min="15618" max="15618" width="22.296875" style="49" customWidth="1"/>
    <col min="15619" max="15619" width="13" style="49" customWidth="1"/>
    <col min="15620" max="15620" width="11" style="49" customWidth="1"/>
    <col min="15621" max="15621" width="15.5" style="49" customWidth="1"/>
    <col min="15622" max="15622" width="11.19921875" style="49" customWidth="1"/>
    <col min="15623" max="15623" width="13.296875" style="49" customWidth="1"/>
    <col min="15624" max="15625" width="14" style="49" customWidth="1"/>
    <col min="15626" max="15626" width="13.296875" style="49" customWidth="1"/>
    <col min="15627" max="15627" width="12.296875" style="49" customWidth="1"/>
    <col min="15628" max="15628" width="14.296875" style="49" customWidth="1"/>
    <col min="15629" max="15629" width="15.19921875" style="49" customWidth="1"/>
    <col min="15630" max="15872" width="9.296875" style="49"/>
    <col min="15873" max="15873" width="5.796875" style="49" customWidth="1"/>
    <col min="15874" max="15874" width="22.296875" style="49" customWidth="1"/>
    <col min="15875" max="15875" width="13" style="49" customWidth="1"/>
    <col min="15876" max="15876" width="11" style="49" customWidth="1"/>
    <col min="15877" max="15877" width="15.5" style="49" customWidth="1"/>
    <col min="15878" max="15878" width="11.19921875" style="49" customWidth="1"/>
    <col min="15879" max="15879" width="13.296875" style="49" customWidth="1"/>
    <col min="15880" max="15881" width="14" style="49" customWidth="1"/>
    <col min="15882" max="15882" width="13.296875" style="49" customWidth="1"/>
    <col min="15883" max="15883" width="12.296875" style="49" customWidth="1"/>
    <col min="15884" max="15884" width="14.296875" style="49" customWidth="1"/>
    <col min="15885" max="15885" width="15.19921875" style="49" customWidth="1"/>
    <col min="15886" max="16128" width="9.296875" style="49"/>
    <col min="16129" max="16129" width="5.796875" style="49" customWidth="1"/>
    <col min="16130" max="16130" width="22.296875" style="49" customWidth="1"/>
    <col min="16131" max="16131" width="13" style="49" customWidth="1"/>
    <col min="16132" max="16132" width="11" style="49" customWidth="1"/>
    <col min="16133" max="16133" width="15.5" style="49" customWidth="1"/>
    <col min="16134" max="16134" width="11.19921875" style="49" customWidth="1"/>
    <col min="16135" max="16135" width="13.296875" style="49" customWidth="1"/>
    <col min="16136" max="16137" width="14" style="49" customWidth="1"/>
    <col min="16138" max="16138" width="13.296875" style="49" customWidth="1"/>
    <col min="16139" max="16139" width="12.296875" style="49" customWidth="1"/>
    <col min="16140" max="16140" width="14.296875" style="49" customWidth="1"/>
    <col min="16141" max="16141" width="15.19921875" style="49" customWidth="1"/>
    <col min="16142" max="16384" width="9.296875" style="49"/>
  </cols>
  <sheetData>
    <row r="1" spans="1:13" ht="33" customHeight="1" x14ac:dyDescent="0.3">
      <c r="A1" s="885" t="s">
        <v>520</v>
      </c>
      <c r="B1" s="886"/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</row>
    <row r="2" spans="1:13" ht="14" x14ac:dyDescent="0.3">
      <c r="A2" s="50"/>
      <c r="B2" s="51"/>
      <c r="C2" s="51"/>
      <c r="D2" s="52"/>
      <c r="E2" s="53"/>
      <c r="F2" s="53"/>
      <c r="G2" s="54"/>
      <c r="H2" s="54"/>
      <c r="I2" s="53"/>
    </row>
    <row r="3" spans="1:13" ht="14" x14ac:dyDescent="0.3">
      <c r="A3" s="50"/>
      <c r="B3" s="55"/>
      <c r="C3" s="55"/>
      <c r="D3" s="56"/>
      <c r="E3" s="52"/>
      <c r="F3" s="52"/>
      <c r="G3" s="52"/>
      <c r="H3" s="52"/>
      <c r="I3" s="52"/>
      <c r="K3" s="887" t="s">
        <v>1</v>
      </c>
      <c r="L3" s="887"/>
      <c r="M3" s="887"/>
    </row>
    <row r="4" spans="1:13" s="57" customFormat="1" ht="75.75" customHeight="1" x14ac:dyDescent="0.3">
      <c r="A4" s="396" t="s">
        <v>404</v>
      </c>
      <c r="B4" s="396" t="s">
        <v>449</v>
      </c>
      <c r="C4" s="396" t="s">
        <v>450</v>
      </c>
      <c r="D4" s="396" t="s">
        <v>460</v>
      </c>
      <c r="E4" s="396" t="s">
        <v>206</v>
      </c>
      <c r="F4" s="396" t="s">
        <v>461</v>
      </c>
      <c r="G4" s="397" t="s">
        <v>210</v>
      </c>
      <c r="H4" s="397" t="s">
        <v>462</v>
      </c>
      <c r="I4" s="397" t="s">
        <v>231</v>
      </c>
      <c r="J4" s="398" t="s">
        <v>233</v>
      </c>
      <c r="K4" s="208" t="s">
        <v>235</v>
      </c>
      <c r="L4" s="398" t="s">
        <v>463</v>
      </c>
      <c r="M4" s="208" t="s">
        <v>464</v>
      </c>
    </row>
    <row r="5" spans="1:13" ht="46.5" customHeight="1" x14ac:dyDescent="0.3">
      <c r="A5" s="399" t="s">
        <v>10</v>
      </c>
      <c r="B5" s="400" t="s">
        <v>730</v>
      </c>
      <c r="C5" s="448" t="s">
        <v>729</v>
      </c>
      <c r="D5" s="417">
        <v>716638</v>
      </c>
      <c r="E5" s="418">
        <v>83346</v>
      </c>
      <c r="F5" s="418"/>
      <c r="G5" s="419"/>
      <c r="H5" s="419"/>
      <c r="I5" s="418"/>
      <c r="J5" s="443"/>
      <c r="K5" s="443"/>
      <c r="L5" s="443"/>
      <c r="M5" s="444">
        <f t="shared" ref="M5:M13" si="0">SUM(D5:L5)</f>
        <v>799984</v>
      </c>
    </row>
    <row r="6" spans="1:13" ht="46.5" customHeight="1" x14ac:dyDescent="0.3">
      <c r="A6" s="399" t="s">
        <v>13</v>
      </c>
      <c r="B6" s="406" t="s">
        <v>798</v>
      </c>
      <c r="C6" s="448"/>
      <c r="D6" s="417">
        <v>6780934</v>
      </c>
      <c r="E6" s="417">
        <v>759761</v>
      </c>
      <c r="F6" s="417">
        <v>0</v>
      </c>
      <c r="G6" s="417">
        <f t="shared" ref="G6:L6" si="1">G7-G5</f>
        <v>0</v>
      </c>
      <c r="H6" s="417">
        <f t="shared" si="1"/>
        <v>0</v>
      </c>
      <c r="I6" s="417">
        <f t="shared" si="1"/>
        <v>0</v>
      </c>
      <c r="J6" s="417">
        <f t="shared" si="1"/>
        <v>0</v>
      </c>
      <c r="K6" s="417">
        <f t="shared" si="1"/>
        <v>0</v>
      </c>
      <c r="L6" s="417">
        <f t="shared" si="1"/>
        <v>0</v>
      </c>
      <c r="M6" s="444">
        <f t="shared" si="0"/>
        <v>7540695</v>
      </c>
    </row>
    <row r="7" spans="1:13" s="58" customFormat="1" ht="46.5" customHeight="1" x14ac:dyDescent="0.35">
      <c r="A7" s="399" t="s">
        <v>16</v>
      </c>
      <c r="B7" s="406" t="s">
        <v>826</v>
      </c>
      <c r="C7" s="449"/>
      <c r="D7" s="420">
        <v>3175520</v>
      </c>
      <c r="E7" s="421">
        <v>365666</v>
      </c>
      <c r="F7" s="421">
        <v>0</v>
      </c>
      <c r="G7" s="422"/>
      <c r="H7" s="422"/>
      <c r="I7" s="421"/>
      <c r="J7" s="445"/>
      <c r="K7" s="445"/>
      <c r="L7" s="445"/>
      <c r="M7" s="446">
        <f t="shared" si="0"/>
        <v>3541186</v>
      </c>
    </row>
    <row r="8" spans="1:13" ht="46.5" customHeight="1" x14ac:dyDescent="0.3">
      <c r="A8" s="399" t="s">
        <v>19</v>
      </c>
      <c r="B8" s="400" t="s">
        <v>734</v>
      </c>
      <c r="C8" s="448" t="s">
        <v>733</v>
      </c>
      <c r="D8" s="417"/>
      <c r="E8" s="418"/>
      <c r="F8" s="418">
        <v>4665650</v>
      </c>
      <c r="G8" s="419"/>
      <c r="H8" s="419"/>
      <c r="I8" s="418"/>
      <c r="J8" s="443"/>
      <c r="K8" s="443"/>
      <c r="L8" s="443"/>
      <c r="M8" s="444">
        <f t="shared" si="0"/>
        <v>4665650</v>
      </c>
    </row>
    <row r="9" spans="1:13" ht="46.5" customHeight="1" x14ac:dyDescent="0.3">
      <c r="A9" s="399" t="s">
        <v>22</v>
      </c>
      <c r="B9" s="406" t="s">
        <v>798</v>
      </c>
      <c r="C9" s="448"/>
      <c r="D9" s="417"/>
      <c r="E9" s="418"/>
      <c r="F9" s="418">
        <v>6729629</v>
      </c>
      <c r="G9" s="419"/>
      <c r="H9" s="419"/>
      <c r="I9" s="418">
        <v>90923</v>
      </c>
      <c r="J9" s="443"/>
      <c r="K9" s="443"/>
      <c r="L9" s="443"/>
      <c r="M9" s="444">
        <f t="shared" si="0"/>
        <v>6820552</v>
      </c>
    </row>
    <row r="10" spans="1:13" s="58" customFormat="1" ht="46.5" customHeight="1" x14ac:dyDescent="0.35">
      <c r="A10" s="399" t="s">
        <v>25</v>
      </c>
      <c r="B10" s="406" t="s">
        <v>826</v>
      </c>
      <c r="C10" s="449"/>
      <c r="D10" s="420"/>
      <c r="E10" s="421"/>
      <c r="F10" s="421">
        <v>5385193</v>
      </c>
      <c r="G10" s="422"/>
      <c r="H10" s="422"/>
      <c r="I10" s="421">
        <v>90923</v>
      </c>
      <c r="J10" s="445"/>
      <c r="K10" s="445"/>
      <c r="L10" s="445"/>
      <c r="M10" s="446">
        <f t="shared" si="0"/>
        <v>5476116</v>
      </c>
    </row>
    <row r="11" spans="1:13" ht="46.5" customHeight="1" x14ac:dyDescent="0.3">
      <c r="A11" s="399" t="s">
        <v>28</v>
      </c>
      <c r="B11" s="400" t="s">
        <v>732</v>
      </c>
      <c r="C11" s="448" t="s">
        <v>731</v>
      </c>
      <c r="D11" s="417">
        <v>17247982</v>
      </c>
      <c r="E11" s="418">
        <v>3822077</v>
      </c>
      <c r="F11" s="418">
        <v>2000000</v>
      </c>
      <c r="G11" s="419"/>
      <c r="H11" s="419"/>
      <c r="I11" s="418"/>
      <c r="J11" s="443"/>
      <c r="K11" s="443"/>
      <c r="L11" s="405"/>
      <c r="M11" s="444">
        <f t="shared" si="0"/>
        <v>23070059</v>
      </c>
    </row>
    <row r="12" spans="1:13" s="58" customFormat="1" ht="46.5" customHeight="1" x14ac:dyDescent="0.35">
      <c r="A12" s="396" t="s">
        <v>31</v>
      </c>
      <c r="B12" s="406" t="s">
        <v>798</v>
      </c>
      <c r="C12" s="449"/>
      <c r="D12" s="420">
        <v>18857278</v>
      </c>
      <c r="E12" s="420">
        <v>4177183</v>
      </c>
      <c r="F12" s="420">
        <v>1685871</v>
      </c>
      <c r="G12" s="420">
        <f t="shared" ref="G12:L12" si="2">G13-G11</f>
        <v>0</v>
      </c>
      <c r="H12" s="420">
        <f t="shared" si="2"/>
        <v>0</v>
      </c>
      <c r="I12" s="420">
        <v>557178</v>
      </c>
      <c r="J12" s="420">
        <f t="shared" si="2"/>
        <v>0</v>
      </c>
      <c r="K12" s="420">
        <f t="shared" si="2"/>
        <v>0</v>
      </c>
      <c r="L12" s="420">
        <f t="shared" si="2"/>
        <v>0</v>
      </c>
      <c r="M12" s="446">
        <f t="shared" si="0"/>
        <v>25277510</v>
      </c>
    </row>
    <row r="13" spans="1:13" s="58" customFormat="1" ht="46.5" customHeight="1" x14ac:dyDescent="0.35">
      <c r="A13" s="399" t="s">
        <v>34</v>
      </c>
      <c r="B13" s="406" t="s">
        <v>826</v>
      </c>
      <c r="C13" s="449"/>
      <c r="D13" s="420">
        <v>17951859</v>
      </c>
      <c r="E13" s="421">
        <v>4089541</v>
      </c>
      <c r="F13" s="421">
        <v>1586136</v>
      </c>
      <c r="G13" s="422"/>
      <c r="H13" s="422"/>
      <c r="I13" s="421">
        <v>557178</v>
      </c>
      <c r="J13" s="445"/>
      <c r="K13" s="445"/>
      <c r="L13" s="411"/>
      <c r="M13" s="446">
        <f t="shared" si="0"/>
        <v>24184714</v>
      </c>
    </row>
    <row r="14" spans="1:13" s="58" customFormat="1" ht="33" customHeight="1" x14ac:dyDescent="0.35">
      <c r="A14" s="399" t="s">
        <v>37</v>
      </c>
      <c r="B14" s="412" t="s">
        <v>835</v>
      </c>
      <c r="C14" s="413"/>
      <c r="D14" s="420">
        <f>D13+D10+D7</f>
        <v>21127379</v>
      </c>
      <c r="E14" s="420">
        <f t="shared" ref="E14:M14" si="3">E13+E10+E7</f>
        <v>4455207</v>
      </c>
      <c r="F14" s="420">
        <f t="shared" si="3"/>
        <v>6971329</v>
      </c>
      <c r="G14" s="420">
        <f t="shared" si="3"/>
        <v>0</v>
      </c>
      <c r="H14" s="420">
        <f t="shared" si="3"/>
        <v>0</v>
      </c>
      <c r="I14" s="420">
        <f t="shared" si="3"/>
        <v>648101</v>
      </c>
      <c r="J14" s="420">
        <f t="shared" si="3"/>
        <v>0</v>
      </c>
      <c r="K14" s="420">
        <f t="shared" si="3"/>
        <v>0</v>
      </c>
      <c r="L14" s="420">
        <f t="shared" si="3"/>
        <v>0</v>
      </c>
      <c r="M14" s="420">
        <f t="shared" si="3"/>
        <v>33202016</v>
      </c>
    </row>
    <row r="15" spans="1:13" s="573" customFormat="1" ht="21" customHeight="1" x14ac:dyDescent="0.3">
      <c r="A15" s="396" t="s">
        <v>39</v>
      </c>
      <c r="B15" s="574" t="s">
        <v>836</v>
      </c>
      <c r="C15" s="574"/>
      <c r="D15" s="422">
        <f>D6+D9+D12</f>
        <v>25638212</v>
      </c>
      <c r="E15" s="422">
        <f t="shared" ref="E15:M15" si="4">E6+E9+E12</f>
        <v>4936944</v>
      </c>
      <c r="F15" s="575">
        <f t="shared" si="4"/>
        <v>8415500</v>
      </c>
      <c r="G15" s="575">
        <f t="shared" si="4"/>
        <v>0</v>
      </c>
      <c r="H15" s="575">
        <f t="shared" si="4"/>
        <v>0</v>
      </c>
      <c r="I15" s="422">
        <f t="shared" si="4"/>
        <v>648101</v>
      </c>
      <c r="J15" s="575">
        <f t="shared" si="4"/>
        <v>0</v>
      </c>
      <c r="K15" s="575">
        <f t="shared" si="4"/>
        <v>0</v>
      </c>
      <c r="L15" s="575">
        <f t="shared" si="4"/>
        <v>0</v>
      </c>
      <c r="M15" s="422">
        <f t="shared" si="4"/>
        <v>39638757</v>
      </c>
    </row>
    <row r="16" spans="1:13" ht="42" customHeight="1" x14ac:dyDescent="0.3">
      <c r="A16" s="59"/>
      <c r="B16" s="62"/>
      <c r="C16" s="63"/>
      <c r="D16" s="64"/>
      <c r="E16" s="61"/>
      <c r="F16" s="61"/>
      <c r="G16" s="60"/>
      <c r="H16" s="60"/>
      <c r="I16" s="60"/>
    </row>
    <row r="17" spans="1:9" ht="42" customHeight="1" x14ac:dyDescent="0.3">
      <c r="A17" s="65"/>
      <c r="B17" s="66"/>
      <c r="C17" s="67"/>
      <c r="D17" s="68"/>
      <c r="E17" s="53"/>
      <c r="F17" s="53"/>
      <c r="G17" s="54"/>
      <c r="H17" s="54"/>
      <c r="I17" s="54"/>
    </row>
    <row r="18" spans="1:9" ht="14" x14ac:dyDescent="0.3">
      <c r="A18" s="50"/>
      <c r="B18" s="51"/>
      <c r="C18" s="51"/>
      <c r="D18" s="52"/>
      <c r="E18" s="52"/>
      <c r="F18" s="52"/>
      <c r="G18" s="52"/>
      <c r="H18" s="52"/>
      <c r="I18" s="52"/>
    </row>
    <row r="19" spans="1:9" s="70" customFormat="1" ht="14" x14ac:dyDescent="0.3">
      <c r="A19" s="50"/>
      <c r="B19" s="51"/>
      <c r="C19" s="51"/>
      <c r="D19" s="52"/>
      <c r="E19" s="53"/>
      <c r="F19" s="69"/>
      <c r="G19" s="69"/>
      <c r="H19" s="69"/>
      <c r="I19" s="69"/>
    </row>
  </sheetData>
  <mergeCells count="2">
    <mergeCell ref="A1:M1"/>
    <mergeCell ref="K3:M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>&amp;R &amp;"Times New Roman CE,Félkövér dőlt"&amp;11 11.2.  melléklet a 4/2018. (III.19.)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view="pageLayout" zoomScaleNormal="100" workbookViewId="0">
      <selection activeCell="F8" sqref="F8"/>
    </sheetView>
  </sheetViews>
  <sheetFormatPr defaultRowHeight="15.5" x14ac:dyDescent="0.35"/>
  <cols>
    <col min="1" max="1" width="5.5" style="106" customWidth="1"/>
    <col min="2" max="2" width="28.796875" style="105" customWidth="1"/>
    <col min="3" max="14" width="11.296875" style="105" customWidth="1"/>
    <col min="15" max="15" width="14" style="106" customWidth="1"/>
    <col min="16" max="256" width="9.296875" style="105"/>
    <col min="257" max="257" width="5.5" style="105" customWidth="1"/>
    <col min="258" max="258" width="28.796875" style="105" customWidth="1"/>
    <col min="259" max="271" width="11.296875" style="105" customWidth="1"/>
    <col min="272" max="512" width="9.296875" style="105"/>
    <col min="513" max="513" width="5.5" style="105" customWidth="1"/>
    <col min="514" max="514" width="28.796875" style="105" customWidth="1"/>
    <col min="515" max="527" width="11.296875" style="105" customWidth="1"/>
    <col min="528" max="768" width="9.296875" style="105"/>
    <col min="769" max="769" width="5.5" style="105" customWidth="1"/>
    <col min="770" max="770" width="28.796875" style="105" customWidth="1"/>
    <col min="771" max="783" width="11.296875" style="105" customWidth="1"/>
    <col min="784" max="1024" width="9.296875" style="105"/>
    <col min="1025" max="1025" width="5.5" style="105" customWidth="1"/>
    <col min="1026" max="1026" width="28.796875" style="105" customWidth="1"/>
    <col min="1027" max="1039" width="11.296875" style="105" customWidth="1"/>
    <col min="1040" max="1280" width="9.296875" style="105"/>
    <col min="1281" max="1281" width="5.5" style="105" customWidth="1"/>
    <col min="1282" max="1282" width="28.796875" style="105" customWidth="1"/>
    <col min="1283" max="1295" width="11.296875" style="105" customWidth="1"/>
    <col min="1296" max="1536" width="9.296875" style="105"/>
    <col min="1537" max="1537" width="5.5" style="105" customWidth="1"/>
    <col min="1538" max="1538" width="28.796875" style="105" customWidth="1"/>
    <col min="1539" max="1551" width="11.296875" style="105" customWidth="1"/>
    <col min="1552" max="1792" width="9.296875" style="105"/>
    <col min="1793" max="1793" width="5.5" style="105" customWidth="1"/>
    <col min="1794" max="1794" width="28.796875" style="105" customWidth="1"/>
    <col min="1795" max="1807" width="11.296875" style="105" customWidth="1"/>
    <col min="1808" max="2048" width="9.296875" style="105"/>
    <col min="2049" max="2049" width="5.5" style="105" customWidth="1"/>
    <col min="2050" max="2050" width="28.796875" style="105" customWidth="1"/>
    <col min="2051" max="2063" width="11.296875" style="105" customWidth="1"/>
    <col min="2064" max="2304" width="9.296875" style="105"/>
    <col min="2305" max="2305" width="5.5" style="105" customWidth="1"/>
    <col min="2306" max="2306" width="28.796875" style="105" customWidth="1"/>
    <col min="2307" max="2319" width="11.296875" style="105" customWidth="1"/>
    <col min="2320" max="2560" width="9.296875" style="105"/>
    <col min="2561" max="2561" width="5.5" style="105" customWidth="1"/>
    <col min="2562" max="2562" width="28.796875" style="105" customWidth="1"/>
    <col min="2563" max="2575" width="11.296875" style="105" customWidth="1"/>
    <col min="2576" max="2816" width="9.296875" style="105"/>
    <col min="2817" max="2817" width="5.5" style="105" customWidth="1"/>
    <col min="2818" max="2818" width="28.796875" style="105" customWidth="1"/>
    <col min="2819" max="2831" width="11.296875" style="105" customWidth="1"/>
    <col min="2832" max="3072" width="9.296875" style="105"/>
    <col min="3073" max="3073" width="5.5" style="105" customWidth="1"/>
    <col min="3074" max="3074" width="28.796875" style="105" customWidth="1"/>
    <col min="3075" max="3087" width="11.296875" style="105" customWidth="1"/>
    <col min="3088" max="3328" width="9.296875" style="105"/>
    <col min="3329" max="3329" width="5.5" style="105" customWidth="1"/>
    <col min="3330" max="3330" width="28.796875" style="105" customWidth="1"/>
    <col min="3331" max="3343" width="11.296875" style="105" customWidth="1"/>
    <col min="3344" max="3584" width="9.296875" style="105"/>
    <col min="3585" max="3585" width="5.5" style="105" customWidth="1"/>
    <col min="3586" max="3586" width="28.796875" style="105" customWidth="1"/>
    <col min="3587" max="3599" width="11.296875" style="105" customWidth="1"/>
    <col min="3600" max="3840" width="9.296875" style="105"/>
    <col min="3841" max="3841" width="5.5" style="105" customWidth="1"/>
    <col min="3842" max="3842" width="28.796875" style="105" customWidth="1"/>
    <col min="3843" max="3855" width="11.296875" style="105" customWidth="1"/>
    <col min="3856" max="4096" width="9.296875" style="105"/>
    <col min="4097" max="4097" width="5.5" style="105" customWidth="1"/>
    <col min="4098" max="4098" width="28.796875" style="105" customWidth="1"/>
    <col min="4099" max="4111" width="11.296875" style="105" customWidth="1"/>
    <col min="4112" max="4352" width="9.296875" style="105"/>
    <col min="4353" max="4353" width="5.5" style="105" customWidth="1"/>
    <col min="4354" max="4354" width="28.796875" style="105" customWidth="1"/>
    <col min="4355" max="4367" width="11.296875" style="105" customWidth="1"/>
    <col min="4368" max="4608" width="9.296875" style="105"/>
    <col min="4609" max="4609" width="5.5" style="105" customWidth="1"/>
    <col min="4610" max="4610" width="28.796875" style="105" customWidth="1"/>
    <col min="4611" max="4623" width="11.296875" style="105" customWidth="1"/>
    <col min="4624" max="4864" width="9.296875" style="105"/>
    <col min="4865" max="4865" width="5.5" style="105" customWidth="1"/>
    <col min="4866" max="4866" width="28.796875" style="105" customWidth="1"/>
    <col min="4867" max="4879" width="11.296875" style="105" customWidth="1"/>
    <col min="4880" max="5120" width="9.296875" style="105"/>
    <col min="5121" max="5121" width="5.5" style="105" customWidth="1"/>
    <col min="5122" max="5122" width="28.796875" style="105" customWidth="1"/>
    <col min="5123" max="5135" width="11.296875" style="105" customWidth="1"/>
    <col min="5136" max="5376" width="9.296875" style="105"/>
    <col min="5377" max="5377" width="5.5" style="105" customWidth="1"/>
    <col min="5378" max="5378" width="28.796875" style="105" customWidth="1"/>
    <col min="5379" max="5391" width="11.296875" style="105" customWidth="1"/>
    <col min="5392" max="5632" width="9.296875" style="105"/>
    <col min="5633" max="5633" width="5.5" style="105" customWidth="1"/>
    <col min="5634" max="5634" width="28.796875" style="105" customWidth="1"/>
    <col min="5635" max="5647" width="11.296875" style="105" customWidth="1"/>
    <col min="5648" max="5888" width="9.296875" style="105"/>
    <col min="5889" max="5889" width="5.5" style="105" customWidth="1"/>
    <col min="5890" max="5890" width="28.796875" style="105" customWidth="1"/>
    <col min="5891" max="5903" width="11.296875" style="105" customWidth="1"/>
    <col min="5904" max="6144" width="9.296875" style="105"/>
    <col min="6145" max="6145" width="5.5" style="105" customWidth="1"/>
    <col min="6146" max="6146" width="28.796875" style="105" customWidth="1"/>
    <col min="6147" max="6159" width="11.296875" style="105" customWidth="1"/>
    <col min="6160" max="6400" width="9.296875" style="105"/>
    <col min="6401" max="6401" width="5.5" style="105" customWidth="1"/>
    <col min="6402" max="6402" width="28.796875" style="105" customWidth="1"/>
    <col min="6403" max="6415" width="11.296875" style="105" customWidth="1"/>
    <col min="6416" max="6656" width="9.296875" style="105"/>
    <col min="6657" max="6657" width="5.5" style="105" customWidth="1"/>
    <col min="6658" max="6658" width="28.796875" style="105" customWidth="1"/>
    <col min="6659" max="6671" width="11.296875" style="105" customWidth="1"/>
    <col min="6672" max="6912" width="9.296875" style="105"/>
    <col min="6913" max="6913" width="5.5" style="105" customWidth="1"/>
    <col min="6914" max="6914" width="28.796875" style="105" customWidth="1"/>
    <col min="6915" max="6927" width="11.296875" style="105" customWidth="1"/>
    <col min="6928" max="7168" width="9.296875" style="105"/>
    <col min="7169" max="7169" width="5.5" style="105" customWidth="1"/>
    <col min="7170" max="7170" width="28.796875" style="105" customWidth="1"/>
    <col min="7171" max="7183" width="11.296875" style="105" customWidth="1"/>
    <col min="7184" max="7424" width="9.296875" style="105"/>
    <col min="7425" max="7425" width="5.5" style="105" customWidth="1"/>
    <col min="7426" max="7426" width="28.796875" style="105" customWidth="1"/>
    <col min="7427" max="7439" width="11.296875" style="105" customWidth="1"/>
    <col min="7440" max="7680" width="9.296875" style="105"/>
    <col min="7681" max="7681" width="5.5" style="105" customWidth="1"/>
    <col min="7682" max="7682" width="28.796875" style="105" customWidth="1"/>
    <col min="7683" max="7695" width="11.296875" style="105" customWidth="1"/>
    <col min="7696" max="7936" width="9.296875" style="105"/>
    <col min="7937" max="7937" width="5.5" style="105" customWidth="1"/>
    <col min="7938" max="7938" width="28.796875" style="105" customWidth="1"/>
    <col min="7939" max="7951" width="11.296875" style="105" customWidth="1"/>
    <col min="7952" max="8192" width="9.296875" style="105"/>
    <col min="8193" max="8193" width="5.5" style="105" customWidth="1"/>
    <col min="8194" max="8194" width="28.796875" style="105" customWidth="1"/>
    <col min="8195" max="8207" width="11.296875" style="105" customWidth="1"/>
    <col min="8208" max="8448" width="9.296875" style="105"/>
    <col min="8449" max="8449" width="5.5" style="105" customWidth="1"/>
    <col min="8450" max="8450" width="28.796875" style="105" customWidth="1"/>
    <col min="8451" max="8463" width="11.296875" style="105" customWidth="1"/>
    <col min="8464" max="8704" width="9.296875" style="105"/>
    <col min="8705" max="8705" width="5.5" style="105" customWidth="1"/>
    <col min="8706" max="8706" width="28.796875" style="105" customWidth="1"/>
    <col min="8707" max="8719" width="11.296875" style="105" customWidth="1"/>
    <col min="8720" max="8960" width="9.296875" style="105"/>
    <col min="8961" max="8961" width="5.5" style="105" customWidth="1"/>
    <col min="8962" max="8962" width="28.796875" style="105" customWidth="1"/>
    <col min="8963" max="8975" width="11.296875" style="105" customWidth="1"/>
    <col min="8976" max="9216" width="9.296875" style="105"/>
    <col min="9217" max="9217" width="5.5" style="105" customWidth="1"/>
    <col min="9218" max="9218" width="28.796875" style="105" customWidth="1"/>
    <col min="9219" max="9231" width="11.296875" style="105" customWidth="1"/>
    <col min="9232" max="9472" width="9.296875" style="105"/>
    <col min="9473" max="9473" width="5.5" style="105" customWidth="1"/>
    <col min="9474" max="9474" width="28.796875" style="105" customWidth="1"/>
    <col min="9475" max="9487" width="11.296875" style="105" customWidth="1"/>
    <col min="9488" max="9728" width="9.296875" style="105"/>
    <col min="9729" max="9729" width="5.5" style="105" customWidth="1"/>
    <col min="9730" max="9730" width="28.796875" style="105" customWidth="1"/>
    <col min="9731" max="9743" width="11.296875" style="105" customWidth="1"/>
    <col min="9744" max="9984" width="9.296875" style="105"/>
    <col min="9985" max="9985" width="5.5" style="105" customWidth="1"/>
    <col min="9986" max="9986" width="28.796875" style="105" customWidth="1"/>
    <col min="9987" max="9999" width="11.296875" style="105" customWidth="1"/>
    <col min="10000" max="10240" width="9.296875" style="105"/>
    <col min="10241" max="10241" width="5.5" style="105" customWidth="1"/>
    <col min="10242" max="10242" width="28.796875" style="105" customWidth="1"/>
    <col min="10243" max="10255" width="11.296875" style="105" customWidth="1"/>
    <col min="10256" max="10496" width="9.296875" style="105"/>
    <col min="10497" max="10497" width="5.5" style="105" customWidth="1"/>
    <col min="10498" max="10498" width="28.796875" style="105" customWidth="1"/>
    <col min="10499" max="10511" width="11.296875" style="105" customWidth="1"/>
    <col min="10512" max="10752" width="9.296875" style="105"/>
    <col min="10753" max="10753" width="5.5" style="105" customWidth="1"/>
    <col min="10754" max="10754" width="28.796875" style="105" customWidth="1"/>
    <col min="10755" max="10767" width="11.296875" style="105" customWidth="1"/>
    <col min="10768" max="11008" width="9.296875" style="105"/>
    <col min="11009" max="11009" width="5.5" style="105" customWidth="1"/>
    <col min="11010" max="11010" width="28.796875" style="105" customWidth="1"/>
    <col min="11011" max="11023" width="11.296875" style="105" customWidth="1"/>
    <col min="11024" max="11264" width="9.296875" style="105"/>
    <col min="11265" max="11265" width="5.5" style="105" customWidth="1"/>
    <col min="11266" max="11266" width="28.796875" style="105" customWidth="1"/>
    <col min="11267" max="11279" width="11.296875" style="105" customWidth="1"/>
    <col min="11280" max="11520" width="9.296875" style="105"/>
    <col min="11521" max="11521" width="5.5" style="105" customWidth="1"/>
    <col min="11522" max="11522" width="28.796875" style="105" customWidth="1"/>
    <col min="11523" max="11535" width="11.296875" style="105" customWidth="1"/>
    <col min="11536" max="11776" width="9.296875" style="105"/>
    <col min="11777" max="11777" width="5.5" style="105" customWidth="1"/>
    <col min="11778" max="11778" width="28.796875" style="105" customWidth="1"/>
    <col min="11779" max="11791" width="11.296875" style="105" customWidth="1"/>
    <col min="11792" max="12032" width="9.296875" style="105"/>
    <col min="12033" max="12033" width="5.5" style="105" customWidth="1"/>
    <col min="12034" max="12034" width="28.796875" style="105" customWidth="1"/>
    <col min="12035" max="12047" width="11.296875" style="105" customWidth="1"/>
    <col min="12048" max="12288" width="9.296875" style="105"/>
    <col min="12289" max="12289" width="5.5" style="105" customWidth="1"/>
    <col min="12290" max="12290" width="28.796875" style="105" customWidth="1"/>
    <col min="12291" max="12303" width="11.296875" style="105" customWidth="1"/>
    <col min="12304" max="12544" width="9.296875" style="105"/>
    <col min="12545" max="12545" width="5.5" style="105" customWidth="1"/>
    <col min="12546" max="12546" width="28.796875" style="105" customWidth="1"/>
    <col min="12547" max="12559" width="11.296875" style="105" customWidth="1"/>
    <col min="12560" max="12800" width="9.296875" style="105"/>
    <col min="12801" max="12801" width="5.5" style="105" customWidth="1"/>
    <col min="12802" max="12802" width="28.796875" style="105" customWidth="1"/>
    <col min="12803" max="12815" width="11.296875" style="105" customWidth="1"/>
    <col min="12816" max="13056" width="9.296875" style="105"/>
    <col min="13057" max="13057" width="5.5" style="105" customWidth="1"/>
    <col min="13058" max="13058" width="28.796875" style="105" customWidth="1"/>
    <col min="13059" max="13071" width="11.296875" style="105" customWidth="1"/>
    <col min="13072" max="13312" width="9.296875" style="105"/>
    <col min="13313" max="13313" width="5.5" style="105" customWidth="1"/>
    <col min="13314" max="13314" width="28.796875" style="105" customWidth="1"/>
    <col min="13315" max="13327" width="11.296875" style="105" customWidth="1"/>
    <col min="13328" max="13568" width="9.296875" style="105"/>
    <col min="13569" max="13569" width="5.5" style="105" customWidth="1"/>
    <col min="13570" max="13570" width="28.796875" style="105" customWidth="1"/>
    <col min="13571" max="13583" width="11.296875" style="105" customWidth="1"/>
    <col min="13584" max="13824" width="9.296875" style="105"/>
    <col min="13825" max="13825" width="5.5" style="105" customWidth="1"/>
    <col min="13826" max="13826" width="28.796875" style="105" customWidth="1"/>
    <col min="13827" max="13839" width="11.296875" style="105" customWidth="1"/>
    <col min="13840" max="14080" width="9.296875" style="105"/>
    <col min="14081" max="14081" width="5.5" style="105" customWidth="1"/>
    <col min="14082" max="14082" width="28.796875" style="105" customWidth="1"/>
    <col min="14083" max="14095" width="11.296875" style="105" customWidth="1"/>
    <col min="14096" max="14336" width="9.296875" style="105"/>
    <col min="14337" max="14337" width="5.5" style="105" customWidth="1"/>
    <col min="14338" max="14338" width="28.796875" style="105" customWidth="1"/>
    <col min="14339" max="14351" width="11.296875" style="105" customWidth="1"/>
    <col min="14352" max="14592" width="9.296875" style="105"/>
    <col min="14593" max="14593" width="5.5" style="105" customWidth="1"/>
    <col min="14594" max="14594" width="28.796875" style="105" customWidth="1"/>
    <col min="14595" max="14607" width="11.296875" style="105" customWidth="1"/>
    <col min="14608" max="14848" width="9.296875" style="105"/>
    <col min="14849" max="14849" width="5.5" style="105" customWidth="1"/>
    <col min="14850" max="14850" width="28.796875" style="105" customWidth="1"/>
    <col min="14851" max="14863" width="11.296875" style="105" customWidth="1"/>
    <col min="14864" max="15104" width="9.296875" style="105"/>
    <col min="15105" max="15105" width="5.5" style="105" customWidth="1"/>
    <col min="15106" max="15106" width="28.796875" style="105" customWidth="1"/>
    <col min="15107" max="15119" width="11.296875" style="105" customWidth="1"/>
    <col min="15120" max="15360" width="9.296875" style="105"/>
    <col min="15361" max="15361" width="5.5" style="105" customWidth="1"/>
    <col min="15362" max="15362" width="28.796875" style="105" customWidth="1"/>
    <col min="15363" max="15375" width="11.296875" style="105" customWidth="1"/>
    <col min="15376" max="15616" width="9.296875" style="105"/>
    <col min="15617" max="15617" width="5.5" style="105" customWidth="1"/>
    <col min="15618" max="15618" width="28.796875" style="105" customWidth="1"/>
    <col min="15619" max="15631" width="11.296875" style="105" customWidth="1"/>
    <col min="15632" max="15872" width="9.296875" style="105"/>
    <col min="15873" max="15873" width="5.5" style="105" customWidth="1"/>
    <col min="15874" max="15874" width="28.796875" style="105" customWidth="1"/>
    <col min="15875" max="15887" width="11.296875" style="105" customWidth="1"/>
    <col min="15888" max="16128" width="9.296875" style="105"/>
    <col min="16129" max="16129" width="5.5" style="105" customWidth="1"/>
    <col min="16130" max="16130" width="28.796875" style="105" customWidth="1"/>
    <col min="16131" max="16143" width="11.296875" style="105" customWidth="1"/>
    <col min="16144" max="16384" width="9.296875" style="105"/>
  </cols>
  <sheetData>
    <row r="1" spans="1:15" ht="45.75" customHeight="1" x14ac:dyDescent="0.35">
      <c r="A1" s="889" t="s">
        <v>969</v>
      </c>
      <c r="B1" s="890"/>
      <c r="C1" s="890"/>
      <c r="D1" s="890"/>
      <c r="E1" s="890"/>
      <c r="F1" s="890"/>
      <c r="G1" s="890"/>
      <c r="H1" s="890"/>
      <c r="I1" s="890"/>
      <c r="J1" s="890"/>
      <c r="K1" s="890"/>
      <c r="L1" s="890"/>
      <c r="M1" s="890"/>
      <c r="N1" s="890"/>
      <c r="O1" s="890"/>
    </row>
    <row r="2" spans="1:15" ht="12" customHeight="1" x14ac:dyDescent="0.35">
      <c r="N2" s="107"/>
      <c r="O2" s="108" t="s">
        <v>420</v>
      </c>
    </row>
    <row r="3" spans="1:15" s="106" customFormat="1" ht="31.5" customHeight="1" x14ac:dyDescent="0.35">
      <c r="A3" s="450" t="s">
        <v>404</v>
      </c>
      <c r="B3" s="451" t="s">
        <v>267</v>
      </c>
      <c r="C3" s="451" t="s">
        <v>523</v>
      </c>
      <c r="D3" s="451" t="s">
        <v>524</v>
      </c>
      <c r="E3" s="451" t="s">
        <v>525</v>
      </c>
      <c r="F3" s="451" t="s">
        <v>526</v>
      </c>
      <c r="G3" s="451" t="s">
        <v>527</v>
      </c>
      <c r="H3" s="451" t="s">
        <v>528</v>
      </c>
      <c r="I3" s="451" t="s">
        <v>529</v>
      </c>
      <c r="J3" s="451" t="s">
        <v>530</v>
      </c>
      <c r="K3" s="451" t="s">
        <v>531</v>
      </c>
      <c r="L3" s="451" t="s">
        <v>532</v>
      </c>
      <c r="M3" s="451" t="s">
        <v>533</v>
      </c>
      <c r="N3" s="451" t="s">
        <v>534</v>
      </c>
      <c r="O3" s="451" t="s">
        <v>535</v>
      </c>
    </row>
    <row r="4" spans="1:15" s="109" customFormat="1" ht="21" customHeight="1" x14ac:dyDescent="0.3">
      <c r="A4" s="452" t="s">
        <v>10</v>
      </c>
      <c r="B4" s="891" t="s">
        <v>265</v>
      </c>
      <c r="C4" s="891"/>
      <c r="D4" s="891"/>
      <c r="E4" s="891"/>
      <c r="F4" s="891"/>
      <c r="G4" s="891"/>
      <c r="H4" s="891"/>
      <c r="I4" s="891"/>
      <c r="J4" s="891"/>
      <c r="K4" s="891"/>
      <c r="L4" s="891"/>
      <c r="M4" s="891"/>
      <c r="N4" s="891"/>
      <c r="O4" s="891"/>
    </row>
    <row r="5" spans="1:15" s="110" customFormat="1" ht="21" customHeight="1" x14ac:dyDescent="0.3">
      <c r="A5" s="452" t="s">
        <v>13</v>
      </c>
      <c r="B5" s="452" t="s">
        <v>536</v>
      </c>
      <c r="C5" s="453">
        <v>111260</v>
      </c>
      <c r="D5" s="453">
        <v>111260</v>
      </c>
      <c r="E5" s="453">
        <v>111260</v>
      </c>
      <c r="F5" s="453">
        <v>111260</v>
      </c>
      <c r="G5" s="453">
        <v>111260</v>
      </c>
      <c r="H5" s="453">
        <v>111260</v>
      </c>
      <c r="I5" s="453">
        <v>111260</v>
      </c>
      <c r="J5" s="453">
        <v>111260</v>
      </c>
      <c r="K5" s="453">
        <v>111260</v>
      </c>
      <c r="L5" s="453">
        <v>111260</v>
      </c>
      <c r="M5" s="453">
        <v>111260</v>
      </c>
      <c r="N5" s="453">
        <v>111266</v>
      </c>
      <c r="O5" s="454">
        <f t="shared" ref="O5:O11" si="0">SUM(C5:N5)</f>
        <v>1335126</v>
      </c>
    </row>
    <row r="6" spans="1:15" s="110" customFormat="1" ht="21" customHeight="1" x14ac:dyDescent="0.3">
      <c r="A6" s="452" t="s">
        <v>16</v>
      </c>
      <c r="B6" s="455" t="s">
        <v>537</v>
      </c>
      <c r="C6" s="453"/>
      <c r="D6" s="453"/>
      <c r="E6" s="453"/>
      <c r="F6" s="453">
        <v>50000</v>
      </c>
      <c r="G6" s="453"/>
      <c r="H6" s="453"/>
      <c r="I6" s="453">
        <v>584095</v>
      </c>
      <c r="J6" s="453">
        <v>584095</v>
      </c>
      <c r="K6" s="453">
        <v>584095</v>
      </c>
      <c r="L6" s="453"/>
      <c r="M6" s="453">
        <v>788135</v>
      </c>
      <c r="N6" s="453"/>
      <c r="O6" s="454">
        <f t="shared" si="0"/>
        <v>2590420</v>
      </c>
    </row>
    <row r="7" spans="1:15" s="110" customFormat="1" ht="21" customHeight="1" x14ac:dyDescent="0.3">
      <c r="A7" s="452" t="s">
        <v>19</v>
      </c>
      <c r="B7" s="452" t="s">
        <v>452</v>
      </c>
      <c r="C7" s="453">
        <v>82995</v>
      </c>
      <c r="D7" s="453">
        <v>82995</v>
      </c>
      <c r="E7" s="453">
        <v>82995</v>
      </c>
      <c r="F7" s="453">
        <v>82995</v>
      </c>
      <c r="G7" s="453">
        <v>82995</v>
      </c>
      <c r="H7" s="453">
        <v>82995</v>
      </c>
      <c r="I7" s="453">
        <v>82995</v>
      </c>
      <c r="J7" s="453">
        <v>82995</v>
      </c>
      <c r="K7" s="453">
        <v>82995</v>
      </c>
      <c r="L7" s="453">
        <v>82995</v>
      </c>
      <c r="M7" s="453">
        <v>82995</v>
      </c>
      <c r="N7" s="453">
        <v>82999</v>
      </c>
      <c r="O7" s="454">
        <f t="shared" si="0"/>
        <v>995944</v>
      </c>
    </row>
    <row r="8" spans="1:15" s="110" customFormat="1" ht="21" customHeight="1" x14ac:dyDescent="0.3">
      <c r="A8" s="452" t="s">
        <v>22</v>
      </c>
      <c r="B8" s="452" t="s">
        <v>453</v>
      </c>
      <c r="C8" s="453">
        <v>1629</v>
      </c>
      <c r="D8" s="453">
        <v>1629</v>
      </c>
      <c r="E8" s="453">
        <v>1629</v>
      </c>
      <c r="F8" s="453">
        <v>1629</v>
      </c>
      <c r="G8" s="453">
        <v>1629</v>
      </c>
      <c r="H8" s="453">
        <v>1629</v>
      </c>
      <c r="I8" s="453">
        <v>1629</v>
      </c>
      <c r="J8" s="453">
        <v>1629</v>
      </c>
      <c r="K8" s="453">
        <v>1629</v>
      </c>
      <c r="L8" s="453">
        <v>1629</v>
      </c>
      <c r="M8" s="453">
        <v>1629</v>
      </c>
      <c r="N8" s="453">
        <v>1625</v>
      </c>
      <c r="O8" s="454">
        <f t="shared" si="0"/>
        <v>19544</v>
      </c>
    </row>
    <row r="9" spans="1:15" s="110" customFormat="1" ht="21" customHeight="1" x14ac:dyDescent="0.3">
      <c r="A9" s="452" t="s">
        <v>25</v>
      </c>
      <c r="B9" s="452" t="s">
        <v>538</v>
      </c>
      <c r="C9" s="453"/>
      <c r="D9" s="453"/>
      <c r="E9" s="453"/>
      <c r="F9" s="453"/>
      <c r="G9" s="453"/>
      <c r="H9" s="453"/>
      <c r="I9" s="453"/>
      <c r="J9" s="453"/>
      <c r="K9" s="453">
        <v>2359</v>
      </c>
      <c r="L9" s="453"/>
      <c r="M9" s="453"/>
      <c r="N9" s="453"/>
      <c r="O9" s="454">
        <f t="shared" si="0"/>
        <v>2359</v>
      </c>
    </row>
    <row r="10" spans="1:15" s="110" customFormat="1" ht="21" customHeight="1" x14ac:dyDescent="0.3">
      <c r="A10" s="452" t="s">
        <v>28</v>
      </c>
      <c r="B10" s="452" t="s">
        <v>539</v>
      </c>
      <c r="C10" s="453"/>
      <c r="D10" s="453"/>
      <c r="E10" s="453"/>
      <c r="F10" s="453"/>
      <c r="G10" s="453"/>
      <c r="H10" s="453"/>
      <c r="I10" s="453"/>
      <c r="J10" s="453"/>
      <c r="K10" s="453">
        <v>1311</v>
      </c>
      <c r="L10" s="453"/>
      <c r="M10" s="453"/>
      <c r="N10" s="453"/>
      <c r="O10" s="454">
        <f t="shared" si="0"/>
        <v>1311</v>
      </c>
    </row>
    <row r="11" spans="1:15" s="110" customFormat="1" ht="21" customHeight="1" x14ac:dyDescent="0.3">
      <c r="A11" s="452" t="s">
        <v>31</v>
      </c>
      <c r="B11" s="455" t="s">
        <v>540</v>
      </c>
      <c r="C11" s="453">
        <v>88180</v>
      </c>
      <c r="D11" s="453">
        <v>25495</v>
      </c>
      <c r="E11" s="453">
        <v>19620</v>
      </c>
      <c r="F11" s="453">
        <v>7875</v>
      </c>
      <c r="G11" s="453">
        <v>57874</v>
      </c>
      <c r="H11" s="453">
        <v>15750</v>
      </c>
      <c r="I11" s="453">
        <v>7875</v>
      </c>
      <c r="J11" s="453">
        <v>131855</v>
      </c>
      <c r="K11" s="453">
        <v>33375</v>
      </c>
      <c r="L11" s="453">
        <v>7875</v>
      </c>
      <c r="M11" s="453">
        <v>7875</v>
      </c>
      <c r="N11" s="453">
        <f>7875+31793</f>
        <v>39668</v>
      </c>
      <c r="O11" s="454">
        <f t="shared" si="0"/>
        <v>443317</v>
      </c>
    </row>
    <row r="12" spans="1:15" s="109" customFormat="1" ht="21" customHeight="1" x14ac:dyDescent="0.3">
      <c r="A12" s="452" t="s">
        <v>34</v>
      </c>
      <c r="B12" s="456" t="s">
        <v>541</v>
      </c>
      <c r="C12" s="457">
        <f>SUM(C5:C11)</f>
        <v>284064</v>
      </c>
      <c r="D12" s="457">
        <f t="shared" ref="D12:N12" si="1">SUM(D5:D11)</f>
        <v>221379</v>
      </c>
      <c r="E12" s="457">
        <f t="shared" si="1"/>
        <v>215504</v>
      </c>
      <c r="F12" s="457">
        <f t="shared" si="1"/>
        <v>253759</v>
      </c>
      <c r="G12" s="457">
        <f t="shared" si="1"/>
        <v>253758</v>
      </c>
      <c r="H12" s="457">
        <f t="shared" si="1"/>
        <v>211634</v>
      </c>
      <c r="I12" s="457">
        <f t="shared" si="1"/>
        <v>787854</v>
      </c>
      <c r="J12" s="457">
        <f t="shared" si="1"/>
        <v>911834</v>
      </c>
      <c r="K12" s="457">
        <f t="shared" si="1"/>
        <v>817024</v>
      </c>
      <c r="L12" s="457">
        <f t="shared" si="1"/>
        <v>203759</v>
      </c>
      <c r="M12" s="457">
        <f t="shared" si="1"/>
        <v>991894</v>
      </c>
      <c r="N12" s="457">
        <f t="shared" si="1"/>
        <v>235558</v>
      </c>
      <c r="O12" s="457">
        <f>O5+O6+O7+O8+O9+O10+O11</f>
        <v>5388021</v>
      </c>
    </row>
    <row r="13" spans="1:15" s="109" customFormat="1" ht="21" customHeight="1" x14ac:dyDescent="0.3">
      <c r="A13" s="452" t="s">
        <v>37</v>
      </c>
      <c r="B13" s="891" t="s">
        <v>266</v>
      </c>
      <c r="C13" s="891"/>
      <c r="D13" s="891"/>
      <c r="E13" s="891"/>
      <c r="F13" s="891"/>
      <c r="G13" s="891"/>
      <c r="H13" s="891"/>
      <c r="I13" s="891"/>
      <c r="J13" s="891"/>
      <c r="K13" s="891"/>
      <c r="L13" s="891"/>
      <c r="M13" s="891"/>
      <c r="N13" s="891"/>
      <c r="O13" s="891"/>
    </row>
    <row r="14" spans="1:15" s="110" customFormat="1" ht="21" customHeight="1" x14ac:dyDescent="0.3">
      <c r="A14" s="452" t="s">
        <v>39</v>
      </c>
      <c r="B14" s="452" t="s">
        <v>460</v>
      </c>
      <c r="C14" s="453">
        <v>43456</v>
      </c>
      <c r="D14" s="453">
        <v>43456</v>
      </c>
      <c r="E14" s="453">
        <v>43456</v>
      </c>
      <c r="F14" s="453">
        <v>43456</v>
      </c>
      <c r="G14" s="453">
        <v>43456</v>
      </c>
      <c r="H14" s="453">
        <v>43456</v>
      </c>
      <c r="I14" s="453">
        <v>43456</v>
      </c>
      <c r="J14" s="453">
        <v>43456</v>
      </c>
      <c r="K14" s="453">
        <v>43456</v>
      </c>
      <c r="L14" s="453">
        <v>43456</v>
      </c>
      <c r="M14" s="453">
        <v>43456</v>
      </c>
      <c r="N14" s="453">
        <v>43458</v>
      </c>
      <c r="O14" s="454">
        <f t="shared" ref="O14:O22" si="2">SUM(C14:N14)</f>
        <v>521474</v>
      </c>
    </row>
    <row r="15" spans="1:15" s="110" customFormat="1" ht="24" customHeight="1" x14ac:dyDescent="0.3">
      <c r="A15" s="452" t="s">
        <v>41</v>
      </c>
      <c r="B15" s="455" t="s">
        <v>206</v>
      </c>
      <c r="C15" s="453">
        <v>7952</v>
      </c>
      <c r="D15" s="453">
        <v>7952</v>
      </c>
      <c r="E15" s="453">
        <v>7952</v>
      </c>
      <c r="F15" s="453">
        <v>7952</v>
      </c>
      <c r="G15" s="453">
        <v>7952</v>
      </c>
      <c r="H15" s="453">
        <v>7952</v>
      </c>
      <c r="I15" s="453">
        <v>7952</v>
      </c>
      <c r="J15" s="453">
        <v>7952</v>
      </c>
      <c r="K15" s="453">
        <v>7952</v>
      </c>
      <c r="L15" s="453">
        <v>7952</v>
      </c>
      <c r="M15" s="453">
        <v>7952</v>
      </c>
      <c r="N15" s="453">
        <v>7952</v>
      </c>
      <c r="O15" s="454">
        <f t="shared" si="2"/>
        <v>95424</v>
      </c>
    </row>
    <row r="16" spans="1:15" s="110" customFormat="1" ht="21" customHeight="1" x14ac:dyDescent="0.3">
      <c r="A16" s="452" t="s">
        <v>43</v>
      </c>
      <c r="B16" s="452" t="s">
        <v>208</v>
      </c>
      <c r="C16" s="453">
        <v>190813</v>
      </c>
      <c r="D16" s="453">
        <v>190813</v>
      </c>
      <c r="E16" s="453">
        <v>190813</v>
      </c>
      <c r="F16" s="453">
        <v>190813</v>
      </c>
      <c r="G16" s="453">
        <v>190813</v>
      </c>
      <c r="H16" s="453">
        <v>190813</v>
      </c>
      <c r="I16" s="453">
        <v>190813</v>
      </c>
      <c r="J16" s="453">
        <v>190813</v>
      </c>
      <c r="K16" s="453">
        <v>190813</v>
      </c>
      <c r="L16" s="453">
        <v>190813</v>
      </c>
      <c r="M16" s="453">
        <v>190813</v>
      </c>
      <c r="N16" s="453">
        <v>190812</v>
      </c>
      <c r="O16" s="454">
        <f t="shared" si="2"/>
        <v>2289755</v>
      </c>
    </row>
    <row r="17" spans="1:15" s="110" customFormat="1" ht="21" customHeight="1" x14ac:dyDescent="0.3">
      <c r="A17" s="452" t="s">
        <v>45</v>
      </c>
      <c r="B17" s="452" t="s">
        <v>210</v>
      </c>
      <c r="C17" s="453">
        <v>7253</v>
      </c>
      <c r="D17" s="453">
        <v>7253</v>
      </c>
      <c r="E17" s="453">
        <v>7253</v>
      </c>
      <c r="F17" s="453">
        <v>7253</v>
      </c>
      <c r="G17" s="453">
        <v>7253</v>
      </c>
      <c r="H17" s="453">
        <v>7253</v>
      </c>
      <c r="I17" s="453">
        <v>7253</v>
      </c>
      <c r="J17" s="453">
        <v>7253</v>
      </c>
      <c r="K17" s="453">
        <v>7253</v>
      </c>
      <c r="L17" s="453">
        <v>7253</v>
      </c>
      <c r="M17" s="453">
        <v>7253</v>
      </c>
      <c r="N17" s="453">
        <v>7255</v>
      </c>
      <c r="O17" s="454">
        <f t="shared" si="2"/>
        <v>87038</v>
      </c>
    </row>
    <row r="18" spans="1:15" s="110" customFormat="1" ht="21" customHeight="1" x14ac:dyDescent="0.3">
      <c r="A18" s="452" t="s">
        <v>47</v>
      </c>
      <c r="B18" s="452" t="s">
        <v>212</v>
      </c>
      <c r="C18" s="453">
        <v>91834</v>
      </c>
      <c r="D18" s="453">
        <v>91834</v>
      </c>
      <c r="E18" s="453">
        <v>91834</v>
      </c>
      <c r="F18" s="453">
        <v>91834</v>
      </c>
      <c r="G18" s="453">
        <v>91834</v>
      </c>
      <c r="H18" s="453">
        <v>91834</v>
      </c>
      <c r="I18" s="453">
        <v>91834</v>
      </c>
      <c r="J18" s="453">
        <v>91834</v>
      </c>
      <c r="K18" s="453">
        <v>91834</v>
      </c>
      <c r="L18" s="453">
        <v>91836</v>
      </c>
      <c r="M18" s="453">
        <v>91836</v>
      </c>
      <c r="N18" s="453">
        <v>91837</v>
      </c>
      <c r="O18" s="454">
        <f t="shared" si="2"/>
        <v>1102015</v>
      </c>
    </row>
    <row r="19" spans="1:15" s="110" customFormat="1" ht="21" customHeight="1" x14ac:dyDescent="0.3">
      <c r="A19" s="452" t="s">
        <v>49</v>
      </c>
      <c r="B19" s="452" t="s">
        <v>231</v>
      </c>
      <c r="C19" s="453">
        <v>85931</v>
      </c>
      <c r="D19" s="453">
        <v>85931</v>
      </c>
      <c r="E19" s="453">
        <v>85931</v>
      </c>
      <c r="F19" s="453">
        <v>85931</v>
      </c>
      <c r="G19" s="453">
        <v>85931</v>
      </c>
      <c r="H19" s="453">
        <v>85931</v>
      </c>
      <c r="I19" s="453">
        <v>85931</v>
      </c>
      <c r="J19" s="453">
        <v>85931</v>
      </c>
      <c r="K19" s="453">
        <v>85931</v>
      </c>
      <c r="L19" s="453">
        <v>85931</v>
      </c>
      <c r="M19" s="453">
        <v>85931</v>
      </c>
      <c r="N19" s="453">
        <v>85932</v>
      </c>
      <c r="O19" s="454">
        <f t="shared" si="2"/>
        <v>1031173</v>
      </c>
    </row>
    <row r="20" spans="1:15" s="110" customFormat="1" ht="21" customHeight="1" x14ac:dyDescent="0.3">
      <c r="A20" s="452" t="s">
        <v>51</v>
      </c>
      <c r="B20" s="455" t="s">
        <v>233</v>
      </c>
      <c r="C20" s="453">
        <v>15079</v>
      </c>
      <c r="D20" s="453">
        <v>15079</v>
      </c>
      <c r="E20" s="453">
        <v>15079</v>
      </c>
      <c r="F20" s="453">
        <v>15079</v>
      </c>
      <c r="G20" s="453">
        <v>15079</v>
      </c>
      <c r="H20" s="453">
        <v>15079</v>
      </c>
      <c r="I20" s="453">
        <v>15079</v>
      </c>
      <c r="J20" s="453">
        <v>15079</v>
      </c>
      <c r="K20" s="453">
        <v>15079</v>
      </c>
      <c r="L20" s="453">
        <v>15079</v>
      </c>
      <c r="M20" s="453">
        <v>15079</v>
      </c>
      <c r="N20" s="453">
        <v>15080</v>
      </c>
      <c r="O20" s="454">
        <f t="shared" si="2"/>
        <v>180949</v>
      </c>
    </row>
    <row r="21" spans="1:15" s="110" customFormat="1" ht="21" customHeight="1" x14ac:dyDescent="0.3">
      <c r="A21" s="452" t="s">
        <v>54</v>
      </c>
      <c r="B21" s="452" t="s">
        <v>235</v>
      </c>
      <c r="C21" s="453">
        <v>1894</v>
      </c>
      <c r="D21" s="453">
        <v>1894</v>
      </c>
      <c r="E21" s="453">
        <v>1894</v>
      </c>
      <c r="F21" s="453">
        <v>1894</v>
      </c>
      <c r="G21" s="453">
        <v>1894</v>
      </c>
      <c r="H21" s="453">
        <v>1894</v>
      </c>
      <c r="I21" s="453">
        <v>1894</v>
      </c>
      <c r="J21" s="453">
        <v>1894</v>
      </c>
      <c r="K21" s="453">
        <v>1894</v>
      </c>
      <c r="L21" s="453">
        <v>1894</v>
      </c>
      <c r="M21" s="453">
        <v>1894</v>
      </c>
      <c r="N21" s="453">
        <v>1896</v>
      </c>
      <c r="O21" s="454">
        <f t="shared" si="2"/>
        <v>22730</v>
      </c>
    </row>
    <row r="22" spans="1:15" s="110" customFormat="1" ht="21" customHeight="1" x14ac:dyDescent="0.3">
      <c r="A22" s="452" t="s">
        <v>64</v>
      </c>
      <c r="B22" s="452" t="s">
        <v>463</v>
      </c>
      <c r="C22" s="453">
        <v>30365</v>
      </c>
      <c r="D22" s="453"/>
      <c r="E22" s="453">
        <v>6775</v>
      </c>
      <c r="F22" s="453"/>
      <c r="G22" s="453"/>
      <c r="H22" s="453">
        <v>6775</v>
      </c>
      <c r="I22" s="453"/>
      <c r="J22" s="453"/>
      <c r="K22" s="453">
        <v>6775</v>
      </c>
      <c r="L22" s="453"/>
      <c r="M22" s="453"/>
      <c r="N22" s="453">
        <v>6773</v>
      </c>
      <c r="O22" s="454">
        <f t="shared" si="2"/>
        <v>57463</v>
      </c>
    </row>
    <row r="23" spans="1:15" s="109" customFormat="1" ht="21" customHeight="1" x14ac:dyDescent="0.3">
      <c r="A23" s="458" t="s">
        <v>66</v>
      </c>
      <c r="B23" s="456" t="s">
        <v>439</v>
      </c>
      <c r="C23" s="457">
        <f t="shared" ref="C23:N23" si="3">SUM(C14:C22)</f>
        <v>474577</v>
      </c>
      <c r="D23" s="457">
        <f t="shared" si="3"/>
        <v>444212</v>
      </c>
      <c r="E23" s="457">
        <f t="shared" si="3"/>
        <v>450987</v>
      </c>
      <c r="F23" s="457">
        <f t="shared" si="3"/>
        <v>444212</v>
      </c>
      <c r="G23" s="457">
        <f t="shared" si="3"/>
        <v>444212</v>
      </c>
      <c r="H23" s="457">
        <f t="shared" si="3"/>
        <v>450987</v>
      </c>
      <c r="I23" s="457">
        <f t="shared" si="3"/>
        <v>444212</v>
      </c>
      <c r="J23" s="457">
        <f t="shared" si="3"/>
        <v>444212</v>
      </c>
      <c r="K23" s="457">
        <f t="shared" si="3"/>
        <v>450987</v>
      </c>
      <c r="L23" s="457">
        <f t="shared" si="3"/>
        <v>444214</v>
      </c>
      <c r="M23" s="457">
        <f t="shared" si="3"/>
        <v>444214</v>
      </c>
      <c r="N23" s="457">
        <f t="shared" si="3"/>
        <v>450995</v>
      </c>
      <c r="O23" s="457">
        <f>SUM(O14:O22)</f>
        <v>5388021</v>
      </c>
    </row>
    <row r="24" spans="1:15" ht="21" customHeight="1" x14ac:dyDescent="0.35">
      <c r="A24" s="458" t="s">
        <v>68</v>
      </c>
      <c r="B24" s="456" t="s">
        <v>542</v>
      </c>
      <c r="C24" s="459">
        <f t="shared" ref="C24:O24" si="4">C12-C23</f>
        <v>-190513</v>
      </c>
      <c r="D24" s="459">
        <f t="shared" si="4"/>
        <v>-222833</v>
      </c>
      <c r="E24" s="459">
        <f t="shared" si="4"/>
        <v>-235483</v>
      </c>
      <c r="F24" s="459">
        <f t="shared" si="4"/>
        <v>-190453</v>
      </c>
      <c r="G24" s="459">
        <f t="shared" si="4"/>
        <v>-190454</v>
      </c>
      <c r="H24" s="459">
        <f t="shared" si="4"/>
        <v>-239353</v>
      </c>
      <c r="I24" s="459">
        <f t="shared" si="4"/>
        <v>343642</v>
      </c>
      <c r="J24" s="459">
        <f t="shared" si="4"/>
        <v>467622</v>
      </c>
      <c r="K24" s="459">
        <f t="shared" si="4"/>
        <v>366037</v>
      </c>
      <c r="L24" s="459">
        <f t="shared" si="4"/>
        <v>-240455</v>
      </c>
      <c r="M24" s="459">
        <f t="shared" si="4"/>
        <v>547680</v>
      </c>
      <c r="N24" s="459">
        <f t="shared" si="4"/>
        <v>-215437</v>
      </c>
      <c r="O24" s="459">
        <f t="shared" si="4"/>
        <v>0</v>
      </c>
    </row>
    <row r="25" spans="1:15" x14ac:dyDescent="0.35">
      <c r="A25" s="111"/>
    </row>
    <row r="26" spans="1:15" x14ac:dyDescent="0.35">
      <c r="B26" s="112"/>
      <c r="C26" s="113"/>
      <c r="D26" s="113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4/2018. (III.19.)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view="pageLayout" topLeftCell="C1" zoomScaleNormal="100" zoomScaleSheetLayoutView="100" workbookViewId="0">
      <selection activeCell="H4" sqref="H4:J4"/>
    </sheetView>
  </sheetViews>
  <sheetFormatPr defaultColWidth="9.296875" defaultRowHeight="15.5" x14ac:dyDescent="0.35"/>
  <cols>
    <col min="1" max="1" width="6.296875" style="8" customWidth="1"/>
    <col min="2" max="2" width="78.69921875" style="8" customWidth="1"/>
    <col min="3" max="3" width="11.19921875" style="8" customWidth="1"/>
    <col min="4" max="4" width="20.796875" style="9" customWidth="1"/>
    <col min="5" max="5" width="15" style="217" bestFit="1" customWidth="1"/>
    <col min="6" max="7" width="15" style="217" customWidth="1"/>
    <col min="8" max="8" width="14.69921875" style="217" bestFit="1" customWidth="1"/>
    <col min="9" max="9" width="16" style="611" bestFit="1" customWidth="1"/>
    <col min="10" max="10" width="13" style="603" bestFit="1" customWidth="1"/>
    <col min="11" max="11" width="9.296875" style="1"/>
    <col min="12" max="12" width="12.69921875" style="1" bestFit="1" customWidth="1"/>
    <col min="13" max="16384" width="9.296875" style="1"/>
  </cols>
  <sheetData>
    <row r="1" spans="1:10" ht="60" customHeight="1" x14ac:dyDescent="0.35">
      <c r="A1" s="825" t="s">
        <v>634</v>
      </c>
      <c r="B1" s="825"/>
      <c r="C1" s="825"/>
      <c r="D1" s="825"/>
      <c r="E1" s="825"/>
      <c r="F1" s="825"/>
      <c r="G1" s="825"/>
      <c r="H1" s="825"/>
      <c r="I1" s="825"/>
      <c r="J1" s="825"/>
    </row>
    <row r="2" spans="1:10" ht="16" customHeight="1" x14ac:dyDescent="0.35">
      <c r="A2" s="828" t="s">
        <v>0</v>
      </c>
      <c r="B2" s="828"/>
      <c r="C2" s="828"/>
      <c r="D2" s="828"/>
      <c r="E2" s="828"/>
      <c r="F2" s="828"/>
      <c r="G2" s="828"/>
      <c r="H2" s="828"/>
      <c r="I2" s="828"/>
      <c r="J2" s="828"/>
    </row>
    <row r="3" spans="1:10" ht="16" customHeight="1" x14ac:dyDescent="0.35">
      <c r="A3" s="827"/>
      <c r="B3" s="827"/>
      <c r="C3" s="2"/>
      <c r="J3" s="604" t="s">
        <v>1</v>
      </c>
    </row>
    <row r="4" spans="1:10" s="7" customFormat="1" ht="38.15" customHeight="1" x14ac:dyDescent="0.3">
      <c r="A4" s="550" t="s">
        <v>2</v>
      </c>
      <c r="B4" s="551" t="s">
        <v>3</v>
      </c>
      <c r="C4" s="551" t="s">
        <v>4</v>
      </c>
      <c r="D4" s="552" t="s">
        <v>5</v>
      </c>
      <c r="E4" s="218" t="s">
        <v>824</v>
      </c>
      <c r="F4" s="218" t="s">
        <v>825</v>
      </c>
      <c r="G4" s="218" t="s">
        <v>856</v>
      </c>
      <c r="H4" s="219" t="s">
        <v>798</v>
      </c>
      <c r="I4" s="218" t="s">
        <v>826</v>
      </c>
      <c r="J4" s="605" t="s">
        <v>827</v>
      </c>
    </row>
    <row r="5" spans="1:10" s="554" customFormat="1" ht="12" customHeight="1" x14ac:dyDescent="0.25">
      <c r="A5" s="547" t="s">
        <v>6</v>
      </c>
      <c r="B5" s="548" t="s">
        <v>7</v>
      </c>
      <c r="C5" s="548" t="s">
        <v>8</v>
      </c>
      <c r="D5" s="549" t="s">
        <v>9</v>
      </c>
      <c r="E5" s="553" t="s">
        <v>269</v>
      </c>
      <c r="F5" s="553" t="s">
        <v>472</v>
      </c>
      <c r="G5" s="553" t="s">
        <v>796</v>
      </c>
      <c r="H5" s="553" t="s">
        <v>799</v>
      </c>
      <c r="I5" s="582" t="s">
        <v>800</v>
      </c>
      <c r="J5" s="608" t="s">
        <v>828</v>
      </c>
    </row>
    <row r="6" spans="1:10" s="5" customFormat="1" ht="15.75" customHeight="1" x14ac:dyDescent="0.3">
      <c r="A6" s="272" t="s">
        <v>10</v>
      </c>
      <c r="B6" s="273" t="s">
        <v>11</v>
      </c>
      <c r="C6" s="274" t="s">
        <v>12</v>
      </c>
      <c r="D6" s="275">
        <f>'9.sz.mell.'!D6</f>
        <v>250951560</v>
      </c>
      <c r="E6" s="220">
        <v>0</v>
      </c>
      <c r="F6" s="220">
        <f>H6-E6-D6</f>
        <v>0</v>
      </c>
      <c r="G6" s="220">
        <f>H6-D6-E6-F6</f>
        <v>0</v>
      </c>
      <c r="H6" s="220">
        <v>250951560</v>
      </c>
      <c r="I6" s="223">
        <v>250951560</v>
      </c>
      <c r="J6" s="606">
        <f>I6/H6</f>
        <v>1</v>
      </c>
    </row>
    <row r="7" spans="1:10" s="5" customFormat="1" ht="15.75" customHeight="1" x14ac:dyDescent="0.3">
      <c r="A7" s="272" t="s">
        <v>13</v>
      </c>
      <c r="B7" s="273" t="s">
        <v>14</v>
      </c>
      <c r="C7" s="274" t="s">
        <v>15</v>
      </c>
      <c r="D7" s="275">
        <f>'9.sz.mell.'!D7</f>
        <v>242687617</v>
      </c>
      <c r="E7" s="220">
        <v>2932300</v>
      </c>
      <c r="F7" s="220">
        <v>7173182</v>
      </c>
      <c r="G7" s="220">
        <f t="shared" ref="G7:G70" si="0">H7-D7-E7-F7</f>
        <v>5697922</v>
      </c>
      <c r="H7" s="220">
        <v>258491021</v>
      </c>
      <c r="I7" s="223">
        <v>258491021</v>
      </c>
      <c r="J7" s="606">
        <f t="shared" ref="J7:J70" si="1">I7/H7</f>
        <v>1</v>
      </c>
    </row>
    <row r="8" spans="1:10" s="5" customFormat="1" ht="24" customHeight="1" x14ac:dyDescent="0.3">
      <c r="A8" s="272" t="s">
        <v>16</v>
      </c>
      <c r="B8" s="273" t="s">
        <v>17</v>
      </c>
      <c r="C8" s="274" t="s">
        <v>18</v>
      </c>
      <c r="D8" s="275">
        <f>'9.sz.mell.'!D8</f>
        <v>326754354</v>
      </c>
      <c r="E8" s="220">
        <v>11255769</v>
      </c>
      <c r="F8" s="220">
        <v>14703973</v>
      </c>
      <c r="G8" s="220">
        <f t="shared" si="0"/>
        <v>3377243</v>
      </c>
      <c r="H8" s="220">
        <v>356091339</v>
      </c>
      <c r="I8" s="223">
        <v>356091339</v>
      </c>
      <c r="J8" s="606">
        <f t="shared" si="1"/>
        <v>1</v>
      </c>
    </row>
    <row r="9" spans="1:10" s="5" customFormat="1" ht="15.75" customHeight="1" x14ac:dyDescent="0.3">
      <c r="A9" s="272" t="s">
        <v>19</v>
      </c>
      <c r="B9" s="273" t="s">
        <v>20</v>
      </c>
      <c r="C9" s="274" t="s">
        <v>21</v>
      </c>
      <c r="D9" s="275">
        <f>'9.sz.mell.'!D9</f>
        <v>26773920</v>
      </c>
      <c r="E9" s="220">
        <v>1656063</v>
      </c>
      <c r="F9" s="220">
        <v>794558</v>
      </c>
      <c r="G9" s="220">
        <f t="shared" si="0"/>
        <v>400649</v>
      </c>
      <c r="H9" s="220">
        <v>29625190</v>
      </c>
      <c r="I9" s="223">
        <v>29625190</v>
      </c>
      <c r="J9" s="606">
        <f t="shared" si="1"/>
        <v>1</v>
      </c>
    </row>
    <row r="10" spans="1:10" s="5" customFormat="1" ht="15.75" customHeight="1" x14ac:dyDescent="0.3">
      <c r="A10" s="272" t="s">
        <v>22</v>
      </c>
      <c r="B10" s="273" t="s">
        <v>23</v>
      </c>
      <c r="C10" s="274" t="s">
        <v>24</v>
      </c>
      <c r="D10" s="275">
        <f>'9.sz.mell.'!D10</f>
        <v>0</v>
      </c>
      <c r="E10" s="220">
        <v>15168511</v>
      </c>
      <c r="F10" s="220">
        <v>2372868</v>
      </c>
      <c r="G10" s="220">
        <f t="shared" si="0"/>
        <v>9996821</v>
      </c>
      <c r="H10" s="220">
        <v>27538200</v>
      </c>
      <c r="I10" s="223">
        <v>27538200</v>
      </c>
      <c r="J10" s="606">
        <f t="shared" si="1"/>
        <v>1</v>
      </c>
    </row>
    <row r="11" spans="1:10" s="5" customFormat="1" ht="15.75" customHeight="1" x14ac:dyDescent="0.3">
      <c r="A11" s="272" t="s">
        <v>25</v>
      </c>
      <c r="B11" s="273" t="s">
        <v>26</v>
      </c>
      <c r="C11" s="274" t="s">
        <v>27</v>
      </c>
      <c r="D11" s="275">
        <f>'9.sz.mell.'!D11</f>
        <v>0</v>
      </c>
      <c r="E11" s="220">
        <f t="shared" ref="E11" si="2">H11-D11</f>
        <v>0</v>
      </c>
      <c r="F11" s="220">
        <f t="shared" ref="F11" si="3">H11-E11-D11</f>
        <v>0</v>
      </c>
      <c r="G11" s="220">
        <f t="shared" si="0"/>
        <v>0</v>
      </c>
      <c r="H11" s="220"/>
      <c r="I11" s="223"/>
      <c r="J11" s="606" t="s">
        <v>801</v>
      </c>
    </row>
    <row r="12" spans="1:10" s="5" customFormat="1" ht="15.75" customHeight="1" x14ac:dyDescent="0.3">
      <c r="A12" s="94" t="s">
        <v>28</v>
      </c>
      <c r="B12" s="85" t="s">
        <v>29</v>
      </c>
      <c r="C12" s="88" t="s">
        <v>30</v>
      </c>
      <c r="D12" s="96">
        <f>+D6+D7+D8+D9+D10+D11</f>
        <v>847167451</v>
      </c>
      <c r="E12" s="96">
        <f t="shared" ref="E12:I12" si="4">+E6+E7+E8+E9+E10+E11</f>
        <v>31012643</v>
      </c>
      <c r="F12" s="96">
        <f t="shared" si="4"/>
        <v>25044581</v>
      </c>
      <c r="G12" s="96">
        <f t="shared" si="0"/>
        <v>19472635</v>
      </c>
      <c r="H12" s="96">
        <f t="shared" si="4"/>
        <v>922697310</v>
      </c>
      <c r="I12" s="612">
        <f t="shared" si="4"/>
        <v>922697310</v>
      </c>
      <c r="J12" s="606">
        <f t="shared" si="1"/>
        <v>1</v>
      </c>
    </row>
    <row r="13" spans="1:10" s="5" customFormat="1" ht="15.75" customHeight="1" x14ac:dyDescent="0.3">
      <c r="A13" s="272" t="s">
        <v>31</v>
      </c>
      <c r="B13" s="273" t="s">
        <v>32</v>
      </c>
      <c r="C13" s="274" t="s">
        <v>33</v>
      </c>
      <c r="D13" s="275">
        <f>'9.sz.mell.'!D13</f>
        <v>0</v>
      </c>
      <c r="E13" s="220"/>
      <c r="F13" s="220"/>
      <c r="G13" s="220">
        <f t="shared" si="0"/>
        <v>0</v>
      </c>
      <c r="H13" s="220"/>
      <c r="I13" s="223"/>
      <c r="J13" s="606" t="s">
        <v>801</v>
      </c>
    </row>
    <row r="14" spans="1:10" s="5" customFormat="1" ht="15.75" customHeight="1" x14ac:dyDescent="0.3">
      <c r="A14" s="272" t="s">
        <v>34</v>
      </c>
      <c r="B14" s="273" t="s">
        <v>35</v>
      </c>
      <c r="C14" s="274" t="s">
        <v>36</v>
      </c>
      <c r="D14" s="275">
        <f>SUM(D15:D21)</f>
        <v>110724067</v>
      </c>
      <c r="E14" s="220">
        <v>279338329</v>
      </c>
      <c r="F14" s="220">
        <v>14486590</v>
      </c>
      <c r="G14" s="220">
        <f t="shared" si="0"/>
        <v>7880021</v>
      </c>
      <c r="H14" s="220">
        <v>412429007</v>
      </c>
      <c r="I14" s="223">
        <v>408902573</v>
      </c>
      <c r="J14" s="606">
        <f t="shared" si="1"/>
        <v>0.99144959753036965</v>
      </c>
    </row>
    <row r="15" spans="1:10" s="5" customFormat="1" ht="24" customHeight="1" x14ac:dyDescent="0.3">
      <c r="A15" s="272" t="s">
        <v>37</v>
      </c>
      <c r="B15" s="276" t="s">
        <v>38</v>
      </c>
      <c r="C15" s="274" t="s">
        <v>36</v>
      </c>
      <c r="D15" s="277">
        <f>'9.sz.mell.'!D15+'10.sz.mell'!G6+'11.sz.mell'!F6</f>
        <v>0</v>
      </c>
      <c r="E15" s="220">
        <f t="shared" ref="E15:E19" si="5">H15-D15</f>
        <v>12290500</v>
      </c>
      <c r="F15" s="220">
        <f t="shared" ref="F15" si="6">H15-E15-D15</f>
        <v>0</v>
      </c>
      <c r="G15" s="220">
        <f t="shared" si="0"/>
        <v>0</v>
      </c>
      <c r="H15" s="220">
        <v>12290500</v>
      </c>
      <c r="I15" s="223">
        <v>12290500</v>
      </c>
      <c r="J15" s="606">
        <f t="shared" si="1"/>
        <v>1</v>
      </c>
    </row>
    <row r="16" spans="1:10" s="5" customFormat="1" ht="18.75" customHeight="1" x14ac:dyDescent="0.3">
      <c r="A16" s="272" t="s">
        <v>39</v>
      </c>
      <c r="B16" s="278" t="s">
        <v>40</v>
      </c>
      <c r="C16" s="274" t="s">
        <v>36</v>
      </c>
      <c r="D16" s="277">
        <v>55826180</v>
      </c>
      <c r="E16" s="220">
        <v>9000000</v>
      </c>
      <c r="F16" s="220">
        <v>0</v>
      </c>
      <c r="G16" s="220">
        <f t="shared" si="0"/>
        <v>4536000</v>
      </c>
      <c r="H16" s="220">
        <v>69362180</v>
      </c>
      <c r="I16" s="223">
        <v>69361897</v>
      </c>
      <c r="J16" s="606">
        <f t="shared" si="1"/>
        <v>0.99999591996675996</v>
      </c>
    </row>
    <row r="17" spans="1:10" s="5" customFormat="1" ht="15.75" customHeight="1" x14ac:dyDescent="0.3">
      <c r="A17" s="272" t="s">
        <v>41</v>
      </c>
      <c r="B17" s="278" t="s">
        <v>42</v>
      </c>
      <c r="C17" s="274" t="s">
        <v>36</v>
      </c>
      <c r="D17" s="277">
        <f>'9.sz.mell.'!D17</f>
        <v>0</v>
      </c>
      <c r="E17" s="220">
        <f t="shared" si="5"/>
        <v>0</v>
      </c>
      <c r="F17" s="220">
        <v>0</v>
      </c>
      <c r="G17" s="220">
        <f t="shared" si="0"/>
        <v>0</v>
      </c>
      <c r="H17" s="220"/>
      <c r="I17" s="223"/>
      <c r="J17" s="606" t="s">
        <v>801</v>
      </c>
    </row>
    <row r="18" spans="1:10" s="5" customFormat="1" ht="19.5" customHeight="1" x14ac:dyDescent="0.3">
      <c r="A18" s="272" t="s">
        <v>43</v>
      </c>
      <c r="B18" s="278" t="s">
        <v>44</v>
      </c>
      <c r="C18" s="274" t="s">
        <v>36</v>
      </c>
      <c r="D18" s="277">
        <v>15049000</v>
      </c>
      <c r="E18" s="220">
        <v>338580</v>
      </c>
      <c r="F18" s="220">
        <v>6646990</v>
      </c>
      <c r="G18" s="220">
        <f t="shared" si="0"/>
        <v>1255832</v>
      </c>
      <c r="H18" s="220">
        <v>23290402</v>
      </c>
      <c r="I18" s="223">
        <v>23290402</v>
      </c>
      <c r="J18" s="606">
        <f t="shared" si="1"/>
        <v>1</v>
      </c>
    </row>
    <row r="19" spans="1:10" s="5" customFormat="1" ht="19.5" customHeight="1" x14ac:dyDescent="0.3">
      <c r="A19" s="272" t="s">
        <v>45</v>
      </c>
      <c r="B19" s="278" t="s">
        <v>46</v>
      </c>
      <c r="C19" s="274" t="s">
        <v>36</v>
      </c>
      <c r="D19" s="277">
        <f>'9.sz.mell.'!D19</f>
        <v>8348400</v>
      </c>
      <c r="E19" s="220">
        <f t="shared" si="5"/>
        <v>7122100</v>
      </c>
      <c r="F19" s="220">
        <v>0</v>
      </c>
      <c r="G19" s="220">
        <f t="shared" si="0"/>
        <v>0</v>
      </c>
      <c r="H19" s="220">
        <v>15470500</v>
      </c>
      <c r="I19" s="223">
        <v>15470500</v>
      </c>
      <c r="J19" s="606">
        <f t="shared" si="1"/>
        <v>1</v>
      </c>
    </row>
    <row r="20" spans="1:10" s="5" customFormat="1" ht="24" customHeight="1" x14ac:dyDescent="0.3">
      <c r="A20" s="272" t="s">
        <v>47</v>
      </c>
      <c r="B20" s="278" t="s">
        <v>48</v>
      </c>
      <c r="C20" s="274" t="s">
        <v>36</v>
      </c>
      <c r="D20" s="277">
        <f>'9.sz.mell.'!D20+'11.sz.mell'!F8</f>
        <v>31500487</v>
      </c>
      <c r="E20" s="220">
        <v>265391188</v>
      </c>
      <c r="F20" s="220">
        <v>0</v>
      </c>
      <c r="G20" s="220">
        <f t="shared" si="0"/>
        <v>-19518674</v>
      </c>
      <c r="H20" s="220">
        <v>277373001</v>
      </c>
      <c r="I20" s="223">
        <v>273846850</v>
      </c>
      <c r="J20" s="606">
        <f t="shared" si="1"/>
        <v>0.98728733154529336</v>
      </c>
    </row>
    <row r="21" spans="1:10" s="5" customFormat="1" ht="24.75" customHeight="1" x14ac:dyDescent="0.3">
      <c r="A21" s="272" t="s">
        <v>49</v>
      </c>
      <c r="B21" s="278" t="s">
        <v>50</v>
      </c>
      <c r="C21" s="274" t="s">
        <v>36</v>
      </c>
      <c r="D21" s="277">
        <f>'9.sz.mell.'!D21</f>
        <v>0</v>
      </c>
      <c r="E21" s="220">
        <v>4608561</v>
      </c>
      <c r="F21" s="220">
        <v>0</v>
      </c>
      <c r="G21" s="220">
        <f t="shared" si="0"/>
        <v>10033863</v>
      </c>
      <c r="H21" s="220">
        <v>14642424</v>
      </c>
      <c r="I21" s="223">
        <v>14642424</v>
      </c>
      <c r="J21" s="606">
        <f t="shared" si="1"/>
        <v>1</v>
      </c>
    </row>
    <row r="22" spans="1:10" s="5" customFormat="1" ht="18" customHeight="1" x14ac:dyDescent="0.3">
      <c r="A22" s="279" t="s">
        <v>51</v>
      </c>
      <c r="B22" s="280" t="s">
        <v>52</v>
      </c>
      <c r="C22" s="281" t="s">
        <v>53</v>
      </c>
      <c r="D22" s="282">
        <f>SUM(D12+D13+D14)</f>
        <v>957891518</v>
      </c>
      <c r="E22" s="282">
        <f t="shared" ref="E22:I22" si="7">SUM(E12+E13+E14)</f>
        <v>310350972</v>
      </c>
      <c r="F22" s="282">
        <f t="shared" si="7"/>
        <v>39531171</v>
      </c>
      <c r="G22" s="282">
        <f t="shared" si="0"/>
        <v>27352656</v>
      </c>
      <c r="H22" s="282">
        <f>SUM(H12+H13+H14)</f>
        <v>1335126317</v>
      </c>
      <c r="I22" s="613">
        <f t="shared" si="7"/>
        <v>1331599883</v>
      </c>
      <c r="J22" s="606">
        <f t="shared" si="1"/>
        <v>0.99735872632042499</v>
      </c>
    </row>
    <row r="23" spans="1:10" s="5" customFormat="1" ht="15.75" customHeight="1" x14ac:dyDescent="0.3">
      <c r="A23" s="272" t="s">
        <v>54</v>
      </c>
      <c r="B23" s="283" t="s">
        <v>55</v>
      </c>
      <c r="C23" s="274" t="s">
        <v>56</v>
      </c>
      <c r="D23" s="275"/>
      <c r="E23" s="220"/>
      <c r="F23" s="220"/>
      <c r="G23" s="220">
        <f t="shared" si="0"/>
        <v>56278475</v>
      </c>
      <c r="H23" s="220">
        <v>56278475</v>
      </c>
      <c r="I23" s="223">
        <v>56278475</v>
      </c>
      <c r="J23" s="606">
        <f t="shared" si="1"/>
        <v>1</v>
      </c>
    </row>
    <row r="24" spans="1:10" s="5" customFormat="1" ht="15.75" customHeight="1" x14ac:dyDescent="0.3">
      <c r="A24" s="272" t="s">
        <v>57</v>
      </c>
      <c r="B24" s="283" t="s">
        <v>58</v>
      </c>
      <c r="C24" s="274" t="s">
        <v>59</v>
      </c>
      <c r="D24" s="275">
        <f>SUM(D25:D30)</f>
        <v>50000000</v>
      </c>
      <c r="E24" s="220">
        <v>1157803187</v>
      </c>
      <c r="F24" s="220">
        <v>594482000</v>
      </c>
      <c r="G24" s="220">
        <f t="shared" si="0"/>
        <v>731856308</v>
      </c>
      <c r="H24" s="220">
        <v>2534141495</v>
      </c>
      <c r="I24" s="223">
        <v>2534135495</v>
      </c>
      <c r="J24" s="606">
        <f t="shared" si="1"/>
        <v>0.9999976323342592</v>
      </c>
    </row>
    <row r="25" spans="1:10" s="5" customFormat="1" ht="15.75" customHeight="1" x14ac:dyDescent="0.3">
      <c r="A25" s="272" t="s">
        <v>60</v>
      </c>
      <c r="B25" s="276" t="s">
        <v>61</v>
      </c>
      <c r="C25" s="274" t="s">
        <v>59</v>
      </c>
      <c r="D25" s="275">
        <f>'9.sz.mell.'!D25</f>
        <v>50000000</v>
      </c>
      <c r="E25" s="220"/>
      <c r="F25" s="220">
        <v>0</v>
      </c>
      <c r="G25" s="220">
        <f t="shared" si="0"/>
        <v>0</v>
      </c>
      <c r="H25" s="220">
        <v>50000000</v>
      </c>
      <c r="I25" s="223">
        <v>50000000</v>
      </c>
      <c r="J25" s="606">
        <f t="shared" si="1"/>
        <v>1</v>
      </c>
    </row>
    <row r="26" spans="1:10" s="5" customFormat="1" ht="18.75" customHeight="1" x14ac:dyDescent="0.3">
      <c r="A26" s="272" t="s">
        <v>62</v>
      </c>
      <c r="B26" s="284" t="s">
        <v>63</v>
      </c>
      <c r="C26" s="274" t="s">
        <v>59</v>
      </c>
      <c r="D26" s="275"/>
      <c r="E26" s="220">
        <v>1157803187</v>
      </c>
      <c r="F26" s="220">
        <v>594482000</v>
      </c>
      <c r="G26" s="220">
        <f t="shared" si="0"/>
        <v>781856308</v>
      </c>
      <c r="H26" s="220">
        <v>2534141495</v>
      </c>
      <c r="I26" s="223">
        <v>2534135495</v>
      </c>
      <c r="J26" s="606">
        <f t="shared" si="1"/>
        <v>0.9999976323342592</v>
      </c>
    </row>
    <row r="27" spans="1:10" s="5" customFormat="1" ht="15.75" customHeight="1" x14ac:dyDescent="0.3">
      <c r="A27" s="272" t="s">
        <v>64</v>
      </c>
      <c r="B27" s="284" t="s">
        <v>65</v>
      </c>
      <c r="C27" s="274" t="s">
        <v>59</v>
      </c>
      <c r="D27" s="275"/>
      <c r="E27" s="220">
        <f t="shared" ref="E27:E30" si="8">H27-D27</f>
        <v>0</v>
      </c>
      <c r="F27" s="220">
        <f t="shared" ref="F27:F30" si="9">H27-E27-D27</f>
        <v>0</v>
      </c>
      <c r="G27" s="220">
        <f t="shared" si="0"/>
        <v>0</v>
      </c>
      <c r="H27" s="220"/>
      <c r="I27" s="223"/>
      <c r="J27" s="606"/>
    </row>
    <row r="28" spans="1:10" s="5" customFormat="1" ht="15.75" customHeight="1" x14ac:dyDescent="0.3">
      <c r="A28" s="272" t="s">
        <v>66</v>
      </c>
      <c r="B28" s="284" t="s">
        <v>67</v>
      </c>
      <c r="C28" s="274" t="s">
        <v>59</v>
      </c>
      <c r="D28" s="275"/>
      <c r="E28" s="220">
        <f t="shared" si="8"/>
        <v>0</v>
      </c>
      <c r="F28" s="220">
        <f t="shared" si="9"/>
        <v>0</v>
      </c>
      <c r="G28" s="220">
        <f t="shared" si="0"/>
        <v>0</v>
      </c>
      <c r="H28" s="220"/>
      <c r="I28" s="223"/>
      <c r="J28" s="606"/>
    </row>
    <row r="29" spans="1:10" s="5" customFormat="1" ht="24.75" customHeight="1" x14ac:dyDescent="0.3">
      <c r="A29" s="272" t="s">
        <v>68</v>
      </c>
      <c r="B29" s="284" t="s">
        <v>69</v>
      </c>
      <c r="C29" s="274" t="s">
        <v>59</v>
      </c>
      <c r="D29" s="275"/>
      <c r="E29" s="220">
        <f t="shared" si="8"/>
        <v>0</v>
      </c>
      <c r="F29" s="220">
        <f t="shared" si="9"/>
        <v>0</v>
      </c>
      <c r="G29" s="220">
        <f t="shared" si="0"/>
        <v>0</v>
      </c>
      <c r="H29" s="220"/>
      <c r="I29" s="223"/>
      <c r="J29" s="606"/>
    </row>
    <row r="30" spans="1:10" s="5" customFormat="1" ht="24" customHeight="1" x14ac:dyDescent="0.3">
      <c r="A30" s="272" t="s">
        <v>70</v>
      </c>
      <c r="B30" s="284" t="s">
        <v>71</v>
      </c>
      <c r="C30" s="274" t="s">
        <v>59</v>
      </c>
      <c r="D30" s="275"/>
      <c r="E30" s="220">
        <f t="shared" si="8"/>
        <v>0</v>
      </c>
      <c r="F30" s="220">
        <f t="shared" si="9"/>
        <v>0</v>
      </c>
      <c r="G30" s="220">
        <f t="shared" si="0"/>
        <v>0</v>
      </c>
      <c r="H30" s="220"/>
      <c r="I30" s="223"/>
      <c r="J30" s="606"/>
    </row>
    <row r="31" spans="1:10" s="5" customFormat="1" ht="22.5" customHeight="1" x14ac:dyDescent="0.3">
      <c r="A31" s="94" t="s">
        <v>72</v>
      </c>
      <c r="B31" s="85" t="s">
        <v>73</v>
      </c>
      <c r="C31" s="88" t="s">
        <v>74</v>
      </c>
      <c r="D31" s="96">
        <f>SUM(D23+D24)</f>
        <v>50000000</v>
      </c>
      <c r="E31" s="96">
        <f t="shared" ref="E31:I31" si="10">SUM(E23+E24)</f>
        <v>1157803187</v>
      </c>
      <c r="F31" s="96">
        <f t="shared" si="10"/>
        <v>594482000</v>
      </c>
      <c r="G31" s="96">
        <f t="shared" si="0"/>
        <v>788134783</v>
      </c>
      <c r="H31" s="96">
        <f t="shared" si="10"/>
        <v>2590419970</v>
      </c>
      <c r="I31" s="612">
        <f t="shared" si="10"/>
        <v>2590413970</v>
      </c>
      <c r="J31" s="606">
        <f t="shared" si="1"/>
        <v>0.99999768377326093</v>
      </c>
    </row>
    <row r="32" spans="1:10" s="5" customFormat="1" ht="14.25" customHeight="1" x14ac:dyDescent="0.3">
      <c r="A32" s="272" t="s">
        <v>75</v>
      </c>
      <c r="B32" s="285" t="s">
        <v>76</v>
      </c>
      <c r="C32" s="286" t="s">
        <v>77</v>
      </c>
      <c r="D32" s="287">
        <f>'9.sz.mell.'!D32</f>
        <v>0</v>
      </c>
      <c r="E32" s="220"/>
      <c r="F32" s="220"/>
      <c r="G32" s="220">
        <f t="shared" si="0"/>
        <v>6911</v>
      </c>
      <c r="H32" s="220">
        <v>6911</v>
      </c>
      <c r="I32" s="223">
        <v>6910</v>
      </c>
      <c r="J32" s="606" t="s">
        <v>801</v>
      </c>
    </row>
    <row r="33" spans="1:10" s="5" customFormat="1" ht="14.25" customHeight="1" x14ac:dyDescent="0.3">
      <c r="A33" s="272" t="s">
        <v>78</v>
      </c>
      <c r="B33" s="273" t="s">
        <v>79</v>
      </c>
      <c r="C33" s="274" t="s">
        <v>80</v>
      </c>
      <c r="D33" s="275">
        <f>SUM(D34:D36)</f>
        <v>131000000</v>
      </c>
      <c r="E33" s="275">
        <v>-1608935</v>
      </c>
      <c r="F33" s="275">
        <f t="shared" ref="F33" si="11">SUM(F34:F36)</f>
        <v>0</v>
      </c>
      <c r="G33" s="275">
        <f t="shared" si="0"/>
        <v>5236945</v>
      </c>
      <c r="H33" s="275">
        <f>SUM(H34:H36)</f>
        <v>134628010</v>
      </c>
      <c r="I33" s="275">
        <f>SUM(I34:I36)</f>
        <v>134458900</v>
      </c>
      <c r="J33" s="606">
        <f t="shared" si="1"/>
        <v>0.99874387209615589</v>
      </c>
    </row>
    <row r="34" spans="1:10" s="5" customFormat="1" ht="14.25" customHeight="1" x14ac:dyDescent="0.3">
      <c r="A34" s="272" t="s">
        <v>81</v>
      </c>
      <c r="B34" s="288" t="s">
        <v>82</v>
      </c>
      <c r="C34" s="289" t="s">
        <v>80</v>
      </c>
      <c r="D34" s="290">
        <f>'9.sz.mell.'!D34</f>
        <v>75000000</v>
      </c>
      <c r="E34" s="220">
        <v>-1954161</v>
      </c>
      <c r="F34" s="220">
        <v>0</v>
      </c>
      <c r="G34" s="220">
        <f t="shared" si="0"/>
        <v>3895245</v>
      </c>
      <c r="H34" s="220">
        <v>76941084</v>
      </c>
      <c r="I34" s="223">
        <v>76848736</v>
      </c>
      <c r="J34" s="606">
        <f t="shared" si="1"/>
        <v>0.99879975696729206</v>
      </c>
    </row>
    <row r="35" spans="1:10" s="5" customFormat="1" ht="14.25" customHeight="1" x14ac:dyDescent="0.3">
      <c r="A35" s="272" t="s">
        <v>83</v>
      </c>
      <c r="B35" s="291" t="s">
        <v>84</v>
      </c>
      <c r="C35" s="289" t="s">
        <v>80</v>
      </c>
      <c r="D35" s="290">
        <f>'9.sz.mell.'!D35</f>
        <v>8000000</v>
      </c>
      <c r="E35" s="220">
        <f t="shared" ref="E35:E43" si="12">H35-D35</f>
        <v>-1600000</v>
      </c>
      <c r="F35" s="220">
        <v>0</v>
      </c>
      <c r="G35" s="220">
        <f t="shared" si="0"/>
        <v>0</v>
      </c>
      <c r="H35" s="220">
        <v>6400000</v>
      </c>
      <c r="I35" s="223">
        <v>6326336</v>
      </c>
      <c r="J35" s="606">
        <f t="shared" si="1"/>
        <v>0.98848999999999998</v>
      </c>
    </row>
    <row r="36" spans="1:10" s="5" customFormat="1" ht="14.25" customHeight="1" x14ac:dyDescent="0.3">
      <c r="A36" s="272" t="s">
        <v>85</v>
      </c>
      <c r="B36" s="291" t="s">
        <v>86</v>
      </c>
      <c r="C36" s="289" t="s">
        <v>80</v>
      </c>
      <c r="D36" s="290">
        <f>'9.sz.mell.'!D36</f>
        <v>48000000</v>
      </c>
      <c r="E36" s="220">
        <v>345226</v>
      </c>
      <c r="F36" s="220">
        <v>0</v>
      </c>
      <c r="G36" s="220">
        <f t="shared" si="0"/>
        <v>2941700</v>
      </c>
      <c r="H36" s="220">
        <v>51286926</v>
      </c>
      <c r="I36" s="223">
        <v>51283828</v>
      </c>
      <c r="J36" s="606">
        <f t="shared" si="1"/>
        <v>0.99993959474194261</v>
      </c>
    </row>
    <row r="37" spans="1:10" s="5" customFormat="1" ht="14.25" customHeight="1" x14ac:dyDescent="0.3">
      <c r="A37" s="272" t="s">
        <v>87</v>
      </c>
      <c r="B37" s="292" t="s">
        <v>88</v>
      </c>
      <c r="C37" s="274" t="s">
        <v>89</v>
      </c>
      <c r="D37" s="275">
        <f>SUM(D38:D39)</f>
        <v>580000000</v>
      </c>
      <c r="E37" s="220">
        <v>0</v>
      </c>
      <c r="F37" s="220">
        <v>0</v>
      </c>
      <c r="G37" s="220">
        <f t="shared" si="0"/>
        <v>42757855</v>
      </c>
      <c r="H37" s="220">
        <v>622757855</v>
      </c>
      <c r="I37" s="223">
        <v>622692815</v>
      </c>
      <c r="J37" s="606">
        <f t="shared" si="1"/>
        <v>0.99989556133338531</v>
      </c>
    </row>
    <row r="38" spans="1:10" s="5" customFormat="1" ht="14.25" customHeight="1" x14ac:dyDescent="0.3">
      <c r="A38" s="272" t="s">
        <v>90</v>
      </c>
      <c r="B38" s="293" t="s">
        <v>91</v>
      </c>
      <c r="C38" s="289" t="s">
        <v>89</v>
      </c>
      <c r="D38" s="290">
        <f>'9.sz.mell.'!D38</f>
        <v>580000000</v>
      </c>
      <c r="E38" s="220">
        <v>0</v>
      </c>
      <c r="F38" s="220">
        <v>0</v>
      </c>
      <c r="G38" s="220">
        <f t="shared" si="0"/>
        <v>42757855</v>
      </c>
      <c r="H38" s="220">
        <v>622757855</v>
      </c>
      <c r="I38" s="223">
        <v>622692815</v>
      </c>
      <c r="J38" s="606">
        <f t="shared" si="1"/>
        <v>0.99989556133338531</v>
      </c>
    </row>
    <row r="39" spans="1:10" s="5" customFormat="1" ht="14.25" customHeight="1" x14ac:dyDescent="0.3">
      <c r="A39" s="272" t="s">
        <v>92</v>
      </c>
      <c r="B39" s="293" t="s">
        <v>93</v>
      </c>
      <c r="C39" s="289" t="s">
        <v>89</v>
      </c>
      <c r="D39" s="290">
        <f>'9.sz.mell.'!D39</f>
        <v>0</v>
      </c>
      <c r="E39" s="220">
        <v>0</v>
      </c>
      <c r="F39" s="220">
        <v>0</v>
      </c>
      <c r="G39" s="220">
        <f t="shared" si="0"/>
        <v>0</v>
      </c>
      <c r="H39" s="220"/>
      <c r="I39" s="223"/>
      <c r="J39" s="606" t="s">
        <v>801</v>
      </c>
    </row>
    <row r="40" spans="1:10" s="5" customFormat="1" ht="17.25" customHeight="1" x14ac:dyDescent="0.3">
      <c r="A40" s="272" t="s">
        <v>94</v>
      </c>
      <c r="B40" s="294" t="s">
        <v>95</v>
      </c>
      <c r="C40" s="274" t="s">
        <v>96</v>
      </c>
      <c r="D40" s="275">
        <f>'9.sz.mell.'!D40</f>
        <v>38000000</v>
      </c>
      <c r="E40" s="220">
        <v>0</v>
      </c>
      <c r="F40" s="220">
        <v>0</v>
      </c>
      <c r="G40" s="220">
        <f t="shared" si="0"/>
        <v>3156521</v>
      </c>
      <c r="H40" s="220">
        <v>41156521</v>
      </c>
      <c r="I40" s="223">
        <v>41156521</v>
      </c>
      <c r="J40" s="606">
        <f t="shared" si="1"/>
        <v>1</v>
      </c>
    </row>
    <row r="41" spans="1:10" s="5" customFormat="1" ht="17.25" customHeight="1" x14ac:dyDescent="0.3">
      <c r="A41" s="272" t="s">
        <v>97</v>
      </c>
      <c r="B41" s="292" t="s">
        <v>98</v>
      </c>
      <c r="C41" s="274" t="s">
        <v>99</v>
      </c>
      <c r="D41" s="275">
        <f>SUM(D42:D43)</f>
        <v>0</v>
      </c>
      <c r="E41" s="220">
        <v>669400</v>
      </c>
      <c r="F41" s="220">
        <v>891000</v>
      </c>
      <c r="G41" s="220">
        <f t="shared" si="0"/>
        <v>444600</v>
      </c>
      <c r="H41" s="220">
        <v>2005000</v>
      </c>
      <c r="I41" s="223">
        <v>2004600</v>
      </c>
      <c r="J41" s="606">
        <f t="shared" si="1"/>
        <v>0.99980049875311716</v>
      </c>
    </row>
    <row r="42" spans="1:10" s="5" customFormat="1" ht="14.25" customHeight="1" x14ac:dyDescent="0.3">
      <c r="A42" s="272" t="s">
        <v>100</v>
      </c>
      <c r="B42" s="293" t="s">
        <v>101</v>
      </c>
      <c r="C42" s="289" t="s">
        <v>99</v>
      </c>
      <c r="D42" s="275">
        <f>'9.sz.mell.'!D42</f>
        <v>0</v>
      </c>
      <c r="E42" s="220">
        <v>669400</v>
      </c>
      <c r="F42" s="220">
        <v>891000</v>
      </c>
      <c r="G42" s="220">
        <f t="shared" si="0"/>
        <v>444600</v>
      </c>
      <c r="H42" s="220">
        <v>2005000</v>
      </c>
      <c r="I42" s="223">
        <v>2004600</v>
      </c>
      <c r="J42" s="606">
        <f t="shared" si="1"/>
        <v>0.99980049875311716</v>
      </c>
    </row>
    <row r="43" spans="1:10" s="5" customFormat="1" ht="14.25" customHeight="1" x14ac:dyDescent="0.3">
      <c r="A43" s="272" t="s">
        <v>102</v>
      </c>
      <c r="B43" s="293" t="s">
        <v>103</v>
      </c>
      <c r="C43" s="289" t="s">
        <v>99</v>
      </c>
      <c r="D43" s="275">
        <f>'9.sz.mell.'!D43</f>
        <v>0</v>
      </c>
      <c r="E43" s="220">
        <f t="shared" si="12"/>
        <v>0</v>
      </c>
      <c r="F43" s="220">
        <v>0</v>
      </c>
      <c r="G43" s="220">
        <f t="shared" si="0"/>
        <v>0</v>
      </c>
      <c r="H43" s="220"/>
      <c r="I43" s="223"/>
      <c r="J43" s="606" t="s">
        <v>801</v>
      </c>
    </row>
    <row r="44" spans="1:10" s="5" customFormat="1" ht="14.25" customHeight="1" x14ac:dyDescent="0.3">
      <c r="A44" s="272" t="s">
        <v>104</v>
      </c>
      <c r="B44" s="283" t="s">
        <v>105</v>
      </c>
      <c r="C44" s="295" t="s">
        <v>106</v>
      </c>
      <c r="D44" s="275">
        <f>'9.sz.mell.'!D44</f>
        <v>2000000</v>
      </c>
      <c r="E44" s="220">
        <v>593953</v>
      </c>
      <c r="F44" s="220">
        <v>1246862</v>
      </c>
      <c r="G44" s="220">
        <f t="shared" si="0"/>
        <v>127732</v>
      </c>
      <c r="H44" s="220">
        <v>3968547</v>
      </c>
      <c r="I44" s="223">
        <v>3799055</v>
      </c>
      <c r="J44" s="606">
        <f t="shared" si="1"/>
        <v>0.95729116979085793</v>
      </c>
    </row>
    <row r="45" spans="1:10" s="5" customFormat="1" ht="17.25" customHeight="1" x14ac:dyDescent="0.3">
      <c r="A45" s="94" t="s">
        <v>107</v>
      </c>
      <c r="B45" s="85" t="s">
        <v>108</v>
      </c>
      <c r="C45" s="88" t="s">
        <v>109</v>
      </c>
      <c r="D45" s="96">
        <f>SUM(D32+D33+D37+D40+D41+D44)</f>
        <v>751000000</v>
      </c>
      <c r="E45" s="96">
        <f t="shared" ref="E45:I45" si="13">SUM(E32+E33+E37+E40+E41+E44)</f>
        <v>-345582</v>
      </c>
      <c r="F45" s="96">
        <f t="shared" si="13"/>
        <v>2137862</v>
      </c>
      <c r="G45" s="96">
        <f t="shared" si="0"/>
        <v>51730564</v>
      </c>
      <c r="H45" s="96">
        <f t="shared" si="13"/>
        <v>804522844</v>
      </c>
      <c r="I45" s="96">
        <f t="shared" si="13"/>
        <v>804118801</v>
      </c>
      <c r="J45" s="606">
        <f t="shared" si="1"/>
        <v>0.99949778554703161</v>
      </c>
    </row>
    <row r="46" spans="1:10" s="5" customFormat="1" ht="14.25" customHeight="1" x14ac:dyDescent="0.3">
      <c r="A46" s="272" t="s">
        <v>110</v>
      </c>
      <c r="B46" s="283" t="s">
        <v>111</v>
      </c>
      <c r="C46" s="295" t="s">
        <v>112</v>
      </c>
      <c r="D46" s="275">
        <v>50457314</v>
      </c>
      <c r="E46" s="220">
        <v>-304090</v>
      </c>
      <c r="F46" s="220">
        <v>1143053</v>
      </c>
      <c r="G46" s="220">
        <f t="shared" si="0"/>
        <v>591605</v>
      </c>
      <c r="H46" s="220">
        <v>51887882</v>
      </c>
      <c r="I46" s="223">
        <v>51887882</v>
      </c>
      <c r="J46" s="606">
        <f t="shared" si="1"/>
        <v>1</v>
      </c>
    </row>
    <row r="47" spans="1:10" s="5" customFormat="1" ht="14.25" customHeight="1" x14ac:dyDescent="0.3">
      <c r="A47" s="272" t="s">
        <v>113</v>
      </c>
      <c r="B47" s="283" t="s">
        <v>114</v>
      </c>
      <c r="C47" s="295" t="s">
        <v>115</v>
      </c>
      <c r="D47" s="275">
        <f>'9.sz.mell.'!D47+'10.sz.mell'!G17+'11.sz.mell'!F17</f>
        <v>24500000</v>
      </c>
      <c r="E47" s="220">
        <v>487768</v>
      </c>
      <c r="F47" s="220">
        <v>3112484</v>
      </c>
      <c r="G47" s="220">
        <f t="shared" si="0"/>
        <v>8103998</v>
      </c>
      <c r="H47" s="220">
        <f>33925695+1215165+1063390</f>
        <v>36204250</v>
      </c>
      <c r="I47" s="223">
        <f>32369853+1215165+1063390</f>
        <v>34648408</v>
      </c>
      <c r="J47" s="606">
        <f t="shared" si="1"/>
        <v>0.95702598451839216</v>
      </c>
    </row>
    <row r="48" spans="1:10" s="5" customFormat="1" ht="14.25" customHeight="1" x14ac:dyDescent="0.3">
      <c r="A48" s="272" t="s">
        <v>116</v>
      </c>
      <c r="B48" s="283" t="s">
        <v>117</v>
      </c>
      <c r="C48" s="295" t="s">
        <v>118</v>
      </c>
      <c r="D48" s="275">
        <f>'9.sz.mell.'!D48+'10.sz.mell'!G18+'11.sz.mell'!F18</f>
        <v>29604344</v>
      </c>
      <c r="E48" s="220">
        <v>1348440</v>
      </c>
      <c r="F48" s="220">
        <v>595242</v>
      </c>
      <c r="G48" s="220">
        <f t="shared" si="0"/>
        <v>-13465659</v>
      </c>
      <c r="H48" s="220">
        <f>12076608+6005759</f>
        <v>18082367</v>
      </c>
      <c r="I48" s="223">
        <f>12041527+6005759</f>
        <v>18047286</v>
      </c>
      <c r="J48" s="606">
        <f t="shared" si="1"/>
        <v>0.99805993319348074</v>
      </c>
    </row>
    <row r="49" spans="1:10" s="5" customFormat="1" ht="14.25" customHeight="1" x14ac:dyDescent="0.3">
      <c r="A49" s="272" t="s">
        <v>119</v>
      </c>
      <c r="B49" s="283" t="s">
        <v>120</v>
      </c>
      <c r="C49" s="295" t="s">
        <v>121</v>
      </c>
      <c r="D49" s="275">
        <f>'9.sz.mell.'!D49+'10.sz.mell'!G21+'11.sz.mell'!F21</f>
        <v>23275230</v>
      </c>
      <c r="E49" s="220">
        <v>0</v>
      </c>
      <c r="F49" s="220">
        <v>0</v>
      </c>
      <c r="G49" s="220">
        <f t="shared" si="0"/>
        <v>-5733493</v>
      </c>
      <c r="H49" s="220">
        <v>17541737</v>
      </c>
      <c r="I49" s="223">
        <v>17518677</v>
      </c>
      <c r="J49" s="606">
        <f t="shared" si="1"/>
        <v>0.99868542094776591</v>
      </c>
    </row>
    <row r="50" spans="1:10" s="5" customFormat="1" ht="14.25" customHeight="1" x14ac:dyDescent="0.3">
      <c r="A50" s="272" t="s">
        <v>122</v>
      </c>
      <c r="B50" s="283" t="s">
        <v>123</v>
      </c>
      <c r="C50" s="295" t="s">
        <v>124</v>
      </c>
      <c r="D50" s="275">
        <f>'9.sz.mell.'!D50</f>
        <v>24000000</v>
      </c>
      <c r="E50" s="220">
        <v>8259</v>
      </c>
      <c r="F50" s="220">
        <v>0</v>
      </c>
      <c r="G50" s="220">
        <f t="shared" si="0"/>
        <v>-640000</v>
      </c>
      <c r="H50" s="220">
        <v>23368259</v>
      </c>
      <c r="I50" s="223">
        <v>23365432</v>
      </c>
      <c r="J50" s="606">
        <f t="shared" si="1"/>
        <v>0.99987902393584394</v>
      </c>
    </row>
    <row r="51" spans="1:10" s="5" customFormat="1" ht="14.25" customHeight="1" x14ac:dyDescent="0.3">
      <c r="A51" s="272" t="s">
        <v>125</v>
      </c>
      <c r="B51" s="283" t="s">
        <v>126</v>
      </c>
      <c r="C51" s="295" t="s">
        <v>127</v>
      </c>
      <c r="D51" s="275">
        <v>29550028</v>
      </c>
      <c r="E51" s="220">
        <v>552836</v>
      </c>
      <c r="F51" s="220">
        <v>1005424</v>
      </c>
      <c r="G51" s="220">
        <f t="shared" si="0"/>
        <v>4879432</v>
      </c>
      <c r="H51" s="220">
        <f>35771720+216000+0</f>
        <v>35987720</v>
      </c>
      <c r="I51" s="223">
        <f>33279638+134707</f>
        <v>33414345</v>
      </c>
      <c r="J51" s="606">
        <f t="shared" si="1"/>
        <v>0.92849296926840597</v>
      </c>
    </row>
    <row r="52" spans="1:10" s="5" customFormat="1" ht="14.25" customHeight="1" x14ac:dyDescent="0.3">
      <c r="A52" s="272" t="s">
        <v>128</v>
      </c>
      <c r="B52" s="283" t="s">
        <v>129</v>
      </c>
      <c r="C52" s="295" t="s">
        <v>130</v>
      </c>
      <c r="D52" s="275">
        <f>'9.sz.mell.'!D52+'10.sz.mell'!G24+'11.sz.mell'!F24</f>
        <v>0</v>
      </c>
      <c r="E52" s="220">
        <f t="shared" ref="E52" si="14">H52-D52</f>
        <v>0</v>
      </c>
      <c r="F52" s="220">
        <v>0</v>
      </c>
      <c r="G52" s="220">
        <f t="shared" si="0"/>
        <v>0</v>
      </c>
      <c r="H52" s="220"/>
      <c r="I52" s="223"/>
      <c r="J52" s="606" t="s">
        <v>801</v>
      </c>
    </row>
    <row r="53" spans="1:10" s="5" customFormat="1" ht="14.25" customHeight="1" x14ac:dyDescent="0.3">
      <c r="A53" s="272" t="s">
        <v>131</v>
      </c>
      <c r="B53" s="283" t="s">
        <v>132</v>
      </c>
      <c r="C53" s="295" t="s">
        <v>133</v>
      </c>
      <c r="D53" s="275">
        <f>'9.sz.mell.'!D53</f>
        <v>500000</v>
      </c>
      <c r="E53" s="220">
        <v>485305</v>
      </c>
      <c r="F53" s="220">
        <v>452302</v>
      </c>
      <c r="G53" s="220">
        <f t="shared" si="0"/>
        <v>1102117</v>
      </c>
      <c r="H53" s="220">
        <f>2536786+1258+1680</f>
        <v>2539724</v>
      </c>
      <c r="I53" s="223">
        <f>1258+1680+2524728</f>
        <v>2527666</v>
      </c>
      <c r="J53" s="606">
        <f t="shared" si="1"/>
        <v>0.99525224000718193</v>
      </c>
    </row>
    <row r="54" spans="1:10" s="5" customFormat="1" ht="14.25" customHeight="1" x14ac:dyDescent="0.3">
      <c r="A54" s="272" t="s">
        <v>134</v>
      </c>
      <c r="B54" s="283" t="s">
        <v>135</v>
      </c>
      <c r="C54" s="295" t="s">
        <v>136</v>
      </c>
      <c r="D54" s="275">
        <f>'9.sz.mell.'!D54</f>
        <v>0</v>
      </c>
      <c r="E54" s="220">
        <v>1172</v>
      </c>
      <c r="F54" s="220">
        <v>316</v>
      </c>
      <c r="G54" s="220">
        <f t="shared" si="0"/>
        <v>-1488</v>
      </c>
      <c r="H54" s="220">
        <v>0</v>
      </c>
      <c r="I54" s="223">
        <v>0</v>
      </c>
      <c r="J54" s="606" t="s">
        <v>801</v>
      </c>
    </row>
    <row r="55" spans="1:10" s="5" customFormat="1" ht="14.25" customHeight="1" x14ac:dyDescent="0.3">
      <c r="A55" s="272" t="s">
        <v>137</v>
      </c>
      <c r="B55" s="283" t="s">
        <v>138</v>
      </c>
      <c r="C55" s="295" t="s">
        <v>139</v>
      </c>
      <c r="D55" s="275">
        <f>'9.sz.mell.'!D55</f>
        <v>500000</v>
      </c>
      <c r="E55" s="220">
        <v>2028359</v>
      </c>
      <c r="F55" s="220">
        <v>944491</v>
      </c>
      <c r="G55" s="220">
        <f t="shared" si="0"/>
        <v>-30000</v>
      </c>
      <c r="H55" s="220">
        <v>3442850</v>
      </c>
      <c r="I55" s="223">
        <v>3441430</v>
      </c>
      <c r="J55" s="606">
        <f t="shared" si="1"/>
        <v>0.99958755101151664</v>
      </c>
    </row>
    <row r="56" spans="1:10" s="5" customFormat="1" ht="14.25" customHeight="1" x14ac:dyDescent="0.3">
      <c r="A56" s="272" t="s">
        <v>140</v>
      </c>
      <c r="B56" s="273" t="s">
        <v>141</v>
      </c>
      <c r="C56" s="295" t="s">
        <v>142</v>
      </c>
      <c r="D56" s="275">
        <f>'9.sz.mell.'!D56</f>
        <v>2250000</v>
      </c>
      <c r="E56" s="220">
        <v>448905</v>
      </c>
      <c r="F56" s="220">
        <v>3173</v>
      </c>
      <c r="G56" s="220">
        <f t="shared" si="0"/>
        <v>-335469</v>
      </c>
      <c r="H56" s="220">
        <f>395289+1+1971319</f>
        <v>2366609</v>
      </c>
      <c r="I56" s="223">
        <f>395289+1+1267558</f>
        <v>1662848</v>
      </c>
      <c r="J56" s="606">
        <f t="shared" si="1"/>
        <v>0.7026289513814914</v>
      </c>
    </row>
    <row r="57" spans="1:10" s="5" customFormat="1" ht="15.75" customHeight="1" x14ac:dyDescent="0.3">
      <c r="A57" s="279" t="s">
        <v>143</v>
      </c>
      <c r="B57" s="296" t="s">
        <v>144</v>
      </c>
      <c r="C57" s="281" t="s">
        <v>145</v>
      </c>
      <c r="D57" s="214">
        <f>SUM(D46:D56)</f>
        <v>184636916</v>
      </c>
      <c r="E57" s="214">
        <f t="shared" ref="E57:I57" si="15">SUM(E46:E56)</f>
        <v>5056954</v>
      </c>
      <c r="F57" s="214">
        <f t="shared" si="15"/>
        <v>7256485</v>
      </c>
      <c r="G57" s="214">
        <f t="shared" si="0"/>
        <v>-5528957</v>
      </c>
      <c r="H57" s="214">
        <f t="shared" si="15"/>
        <v>191421398</v>
      </c>
      <c r="I57" s="614">
        <f t="shared" si="15"/>
        <v>186513974</v>
      </c>
      <c r="J57" s="606">
        <f t="shared" si="1"/>
        <v>0.97436324229540938</v>
      </c>
    </row>
    <row r="58" spans="1:10" s="5" customFormat="1" ht="14.25" customHeight="1" x14ac:dyDescent="0.3">
      <c r="A58" s="297" t="s">
        <v>146</v>
      </c>
      <c r="B58" s="283" t="s">
        <v>147</v>
      </c>
      <c r="C58" s="295" t="s">
        <v>148</v>
      </c>
      <c r="D58" s="298">
        <f>'9.sz.mell.'!D58</f>
        <v>0</v>
      </c>
      <c r="E58" s="220"/>
      <c r="F58" s="220"/>
      <c r="G58" s="220">
        <f t="shared" si="0"/>
        <v>0</v>
      </c>
      <c r="H58" s="220"/>
      <c r="I58" s="223"/>
      <c r="J58" s="606" t="s">
        <v>801</v>
      </c>
    </row>
    <row r="59" spans="1:10" s="5" customFormat="1" ht="14.25" customHeight="1" x14ac:dyDescent="0.3">
      <c r="A59" s="297" t="s">
        <v>149</v>
      </c>
      <c r="B59" s="283" t="s">
        <v>150</v>
      </c>
      <c r="C59" s="295" t="s">
        <v>151</v>
      </c>
      <c r="D59" s="298">
        <f>'9.sz.mell.'!D59</f>
        <v>0</v>
      </c>
      <c r="E59" s="220">
        <v>3962074</v>
      </c>
      <c r="F59" s="220">
        <v>510000</v>
      </c>
      <c r="G59" s="220">
        <f t="shared" si="0"/>
        <v>11494110</v>
      </c>
      <c r="H59" s="220">
        <v>15966184</v>
      </c>
      <c r="I59" s="223">
        <v>15966184</v>
      </c>
      <c r="J59" s="606">
        <f t="shared" si="1"/>
        <v>1</v>
      </c>
    </row>
    <row r="60" spans="1:10" s="5" customFormat="1" ht="14.25" customHeight="1" x14ac:dyDescent="0.3">
      <c r="A60" s="297" t="s">
        <v>152</v>
      </c>
      <c r="B60" s="283" t="s">
        <v>153</v>
      </c>
      <c r="C60" s="295" t="s">
        <v>154</v>
      </c>
      <c r="D60" s="298">
        <f>'9.sz.mell.'!D60</f>
        <v>2160072</v>
      </c>
      <c r="E60" s="220">
        <v>101065</v>
      </c>
      <c r="F60" s="220">
        <v>417000</v>
      </c>
      <c r="G60" s="220">
        <f t="shared" si="0"/>
        <v>900000</v>
      </c>
      <c r="H60" s="220">
        <v>3578137</v>
      </c>
      <c r="I60" s="223">
        <v>3577393</v>
      </c>
      <c r="J60" s="606">
        <f t="shared" si="1"/>
        <v>0.99979207056633101</v>
      </c>
    </row>
    <row r="61" spans="1:10" s="5" customFormat="1" ht="14.25" customHeight="1" x14ac:dyDescent="0.3">
      <c r="A61" s="297" t="s">
        <v>155</v>
      </c>
      <c r="B61" s="283" t="s">
        <v>156</v>
      </c>
      <c r="C61" s="295" t="s">
        <v>157</v>
      </c>
      <c r="D61" s="298">
        <f>'9.sz.mell.'!D61</f>
        <v>0</v>
      </c>
      <c r="E61" s="220">
        <f t="shared" ref="E61:E62" si="16">H61-D61</f>
        <v>0</v>
      </c>
      <c r="F61" s="220">
        <v>0</v>
      </c>
      <c r="G61" s="220">
        <f t="shared" si="0"/>
        <v>0</v>
      </c>
      <c r="H61" s="220">
        <v>0</v>
      </c>
      <c r="I61" s="223"/>
      <c r="J61" s="606" t="s">
        <v>815</v>
      </c>
    </row>
    <row r="62" spans="1:10" s="5" customFormat="1" ht="14.25" customHeight="1" x14ac:dyDescent="0.3">
      <c r="A62" s="297" t="s">
        <v>158</v>
      </c>
      <c r="B62" s="273" t="s">
        <v>159</v>
      </c>
      <c r="C62" s="295" t="s">
        <v>160</v>
      </c>
      <c r="D62" s="298">
        <f>'9.sz.mell.'!D62</f>
        <v>0</v>
      </c>
      <c r="E62" s="220">
        <f t="shared" si="16"/>
        <v>0</v>
      </c>
      <c r="F62" s="220">
        <v>0</v>
      </c>
      <c r="G62" s="220">
        <f t="shared" si="0"/>
        <v>0</v>
      </c>
      <c r="H62" s="220">
        <v>0</v>
      </c>
      <c r="I62" s="223"/>
      <c r="J62" s="606" t="s">
        <v>801</v>
      </c>
    </row>
    <row r="63" spans="1:10" s="5" customFormat="1" ht="14.25" customHeight="1" x14ac:dyDescent="0.3">
      <c r="A63" s="94" t="s">
        <v>161</v>
      </c>
      <c r="B63" s="296" t="s">
        <v>162</v>
      </c>
      <c r="C63" s="295" t="s">
        <v>163</v>
      </c>
      <c r="D63" s="282">
        <f>SUM(D58:D62)</f>
        <v>2160072</v>
      </c>
      <c r="E63" s="282">
        <f t="shared" ref="E63:I63" si="17">SUM(E58:E62)</f>
        <v>4063139</v>
      </c>
      <c r="F63" s="282">
        <f t="shared" si="17"/>
        <v>927000</v>
      </c>
      <c r="G63" s="282">
        <f t="shared" si="0"/>
        <v>12394110</v>
      </c>
      <c r="H63" s="282">
        <f t="shared" si="17"/>
        <v>19544321</v>
      </c>
      <c r="I63" s="613">
        <f t="shared" si="17"/>
        <v>19543577</v>
      </c>
      <c r="J63" s="606">
        <f t="shared" si="1"/>
        <v>0.9999619326759932</v>
      </c>
    </row>
    <row r="64" spans="1:10" s="5" customFormat="1" ht="16.5" customHeight="1" x14ac:dyDescent="0.3">
      <c r="A64" s="272" t="s">
        <v>164</v>
      </c>
      <c r="B64" s="273" t="s">
        <v>165</v>
      </c>
      <c r="C64" s="274" t="s">
        <v>166</v>
      </c>
      <c r="D64" s="275"/>
      <c r="E64" s="220">
        <v>45000</v>
      </c>
      <c r="F64" s="220">
        <v>-45000</v>
      </c>
      <c r="G64" s="220">
        <f t="shared" si="0"/>
        <v>0</v>
      </c>
      <c r="H64" s="220">
        <v>0</v>
      </c>
      <c r="I64" s="223"/>
      <c r="J64" s="606" t="s">
        <v>801</v>
      </c>
    </row>
    <row r="65" spans="1:12" s="5" customFormat="1" ht="17.25" customHeight="1" x14ac:dyDescent="0.3">
      <c r="A65" s="272" t="s">
        <v>167</v>
      </c>
      <c r="B65" s="273" t="s">
        <v>168</v>
      </c>
      <c r="C65" s="274" t="s">
        <v>169</v>
      </c>
      <c r="D65" s="275"/>
      <c r="E65" s="220">
        <v>2313497</v>
      </c>
      <c r="F65" s="220">
        <v>45000</v>
      </c>
      <c r="G65" s="220">
        <f t="shared" si="0"/>
        <v>0</v>
      </c>
      <c r="H65" s="220">
        <v>2358497</v>
      </c>
      <c r="I65" s="223">
        <v>2355997</v>
      </c>
      <c r="J65" s="606">
        <f t="shared" si="1"/>
        <v>0.99894000289167206</v>
      </c>
    </row>
    <row r="66" spans="1:12" s="5" customFormat="1" ht="17.25" customHeight="1" x14ac:dyDescent="0.3">
      <c r="A66" s="94" t="s">
        <v>170</v>
      </c>
      <c r="B66" s="280" t="s">
        <v>171</v>
      </c>
      <c r="C66" s="281" t="s">
        <v>172</v>
      </c>
      <c r="D66" s="282">
        <f>SUM(D64:D65)</f>
        <v>0</v>
      </c>
      <c r="E66" s="282">
        <f t="shared" ref="E66:I66" si="18">SUM(E64:E65)</f>
        <v>2358497</v>
      </c>
      <c r="F66" s="282">
        <f t="shared" si="18"/>
        <v>0</v>
      </c>
      <c r="G66" s="282">
        <f t="shared" si="0"/>
        <v>0</v>
      </c>
      <c r="H66" s="282">
        <f t="shared" si="18"/>
        <v>2358497</v>
      </c>
      <c r="I66" s="613">
        <f t="shared" si="18"/>
        <v>2355997</v>
      </c>
      <c r="J66" s="606">
        <f t="shared" si="1"/>
        <v>0.99894000289167206</v>
      </c>
    </row>
    <row r="67" spans="1:12" s="5" customFormat="1" ht="16.5" customHeight="1" x14ac:dyDescent="0.3">
      <c r="A67" s="272" t="s">
        <v>173</v>
      </c>
      <c r="B67" s="273" t="s">
        <v>174</v>
      </c>
      <c r="C67" s="274" t="s">
        <v>175</v>
      </c>
      <c r="D67" s="298"/>
      <c r="E67" s="220">
        <v>926787</v>
      </c>
      <c r="F67" s="220">
        <v>644000</v>
      </c>
      <c r="G67" s="220">
        <f t="shared" si="0"/>
        <v>-259512</v>
      </c>
      <c r="H67" s="220">
        <v>1311275</v>
      </c>
      <c r="I67" s="223">
        <v>1303598</v>
      </c>
      <c r="J67" s="606">
        <f t="shared" si="1"/>
        <v>0.99414539284284376</v>
      </c>
    </row>
    <row r="68" spans="1:12" s="5" customFormat="1" ht="14.25" customHeight="1" x14ac:dyDescent="0.3">
      <c r="A68" s="272" t="s">
        <v>176</v>
      </c>
      <c r="B68" s="273" t="s">
        <v>177</v>
      </c>
      <c r="C68" s="274" t="s">
        <v>178</v>
      </c>
      <c r="D68" s="298"/>
      <c r="E68" s="220"/>
      <c r="F68" s="220">
        <f>H68-E68-D68</f>
        <v>0</v>
      </c>
      <c r="G68" s="220">
        <f t="shared" si="0"/>
        <v>0</v>
      </c>
      <c r="H68" s="220"/>
      <c r="I68" s="223"/>
      <c r="J68" s="606" t="s">
        <v>801</v>
      </c>
    </row>
    <row r="69" spans="1:12" s="5" customFormat="1" ht="15.75" customHeight="1" x14ac:dyDescent="0.3">
      <c r="A69" s="272" t="s">
        <v>179</v>
      </c>
      <c r="B69" s="280" t="s">
        <v>180</v>
      </c>
      <c r="C69" s="281" t="s">
        <v>181</v>
      </c>
      <c r="D69" s="214">
        <f>SUM(D67:D68)</f>
        <v>0</v>
      </c>
      <c r="E69" s="214">
        <f t="shared" ref="E69:I69" si="19">SUM(E67:E68)</f>
        <v>926787</v>
      </c>
      <c r="F69" s="214">
        <f t="shared" si="19"/>
        <v>644000</v>
      </c>
      <c r="G69" s="214">
        <f t="shared" si="0"/>
        <v>-259512</v>
      </c>
      <c r="H69" s="214">
        <f t="shared" si="19"/>
        <v>1311275</v>
      </c>
      <c r="I69" s="614">
        <f t="shared" si="19"/>
        <v>1303598</v>
      </c>
      <c r="J69" s="606">
        <f t="shared" si="1"/>
        <v>0.99414539284284376</v>
      </c>
    </row>
    <row r="70" spans="1:12" s="5" customFormat="1" ht="21" customHeight="1" x14ac:dyDescent="0.3">
      <c r="A70" s="94" t="s">
        <v>182</v>
      </c>
      <c r="B70" s="296" t="s">
        <v>183</v>
      </c>
      <c r="C70" s="213" t="s">
        <v>184</v>
      </c>
      <c r="D70" s="96">
        <f>SUM(D22+D31+D45+D57+D63+D66+D69)</f>
        <v>1945688506</v>
      </c>
      <c r="E70" s="96">
        <f t="shared" ref="E70:I70" si="20">SUM(E22+E31+E45+E57+E63+E66+E69)</f>
        <v>1480213954</v>
      </c>
      <c r="F70" s="96">
        <f t="shared" si="20"/>
        <v>644978518</v>
      </c>
      <c r="G70" s="96">
        <f t="shared" si="0"/>
        <v>873823644</v>
      </c>
      <c r="H70" s="96">
        <f t="shared" si="20"/>
        <v>4944704622</v>
      </c>
      <c r="I70" s="612">
        <f t="shared" si="20"/>
        <v>4935849800</v>
      </c>
      <c r="J70" s="606">
        <f t="shared" si="1"/>
        <v>0.99820923135416362</v>
      </c>
    </row>
    <row r="71" spans="1:12" s="5" customFormat="1" ht="14.25" customHeight="1" x14ac:dyDescent="0.3">
      <c r="A71" s="272" t="s">
        <v>185</v>
      </c>
      <c r="B71" s="273" t="s">
        <v>186</v>
      </c>
      <c r="C71" s="274" t="s">
        <v>187</v>
      </c>
      <c r="D71" s="299"/>
      <c r="E71" s="220"/>
      <c r="F71" s="220"/>
      <c r="G71" s="220">
        <f t="shared" ref="G71:G77" si="21">H71-D71-E71-F71</f>
        <v>0</v>
      </c>
      <c r="H71" s="220"/>
      <c r="I71" s="223"/>
      <c r="J71" s="606" t="s">
        <v>801</v>
      </c>
    </row>
    <row r="72" spans="1:12" s="5" customFormat="1" ht="14.25" customHeight="1" x14ac:dyDescent="0.3">
      <c r="A72" s="272" t="s">
        <v>188</v>
      </c>
      <c r="B72" s="787" t="s">
        <v>189</v>
      </c>
      <c r="C72" s="788" t="s">
        <v>190</v>
      </c>
      <c r="D72" s="789">
        <f>SUM(D73:D74)</f>
        <v>304494626</v>
      </c>
      <c r="E72" s="790">
        <v>107029296</v>
      </c>
      <c r="F72" s="790">
        <v>0</v>
      </c>
      <c r="G72" s="790">
        <f t="shared" si="21"/>
        <v>0</v>
      </c>
      <c r="H72" s="790">
        <v>411523922</v>
      </c>
      <c r="I72" s="782">
        <v>411523922</v>
      </c>
      <c r="J72" s="606">
        <f t="shared" ref="J72:J74" si="22">I72/H72</f>
        <v>1</v>
      </c>
    </row>
    <row r="73" spans="1:12" s="5" customFormat="1" ht="14.25" customHeight="1" x14ac:dyDescent="0.3">
      <c r="A73" s="272" t="s">
        <v>191</v>
      </c>
      <c r="B73" s="791" t="s">
        <v>192</v>
      </c>
      <c r="C73" s="788" t="s">
        <v>193</v>
      </c>
      <c r="D73" s="792">
        <v>274494626</v>
      </c>
      <c r="E73" s="790">
        <v>100911786</v>
      </c>
      <c r="F73" s="790">
        <v>43200</v>
      </c>
      <c r="G73" s="790">
        <f t="shared" si="21"/>
        <v>0</v>
      </c>
      <c r="H73" s="790">
        <v>375449612</v>
      </c>
      <c r="I73" s="782">
        <v>375449612</v>
      </c>
      <c r="J73" s="606">
        <f t="shared" si="22"/>
        <v>1</v>
      </c>
    </row>
    <row r="74" spans="1:12" s="5" customFormat="1" ht="14.25" customHeight="1" x14ac:dyDescent="0.3">
      <c r="A74" s="272" t="s">
        <v>194</v>
      </c>
      <c r="B74" s="793" t="s">
        <v>195</v>
      </c>
      <c r="C74" s="788" t="s">
        <v>196</v>
      </c>
      <c r="D74" s="792">
        <v>30000000</v>
      </c>
      <c r="E74" s="790">
        <v>6117510</v>
      </c>
      <c r="F74" s="790">
        <v>-43200</v>
      </c>
      <c r="G74" s="790">
        <f t="shared" si="21"/>
        <v>0</v>
      </c>
      <c r="H74" s="790">
        <v>36074310</v>
      </c>
      <c r="I74" s="782">
        <v>36074310</v>
      </c>
      <c r="J74" s="606">
        <f t="shared" si="22"/>
        <v>1</v>
      </c>
    </row>
    <row r="75" spans="1:12" s="5" customFormat="1" ht="14.25" customHeight="1" x14ac:dyDescent="0.3">
      <c r="A75" s="272" t="s">
        <v>197</v>
      </c>
      <c r="B75" s="794" t="s">
        <v>956</v>
      </c>
      <c r="C75" s="788" t="s">
        <v>957</v>
      </c>
      <c r="D75" s="792"/>
      <c r="E75" s="790">
        <f t="shared" ref="E75" si="23">H75-D75</f>
        <v>31792796</v>
      </c>
      <c r="F75" s="790">
        <f t="shared" ref="F75" si="24">H75-E75-D75</f>
        <v>0</v>
      </c>
      <c r="G75" s="790">
        <f t="shared" si="21"/>
        <v>0</v>
      </c>
      <c r="H75" s="790">
        <v>31792796</v>
      </c>
      <c r="I75" s="782">
        <v>31792796</v>
      </c>
      <c r="J75" s="606" t="s">
        <v>801</v>
      </c>
    </row>
    <row r="76" spans="1:12" s="5" customFormat="1" ht="14.25" customHeight="1" x14ac:dyDescent="0.3">
      <c r="A76" s="94" t="s">
        <v>200</v>
      </c>
      <c r="B76" s="302" t="s">
        <v>719</v>
      </c>
      <c r="C76" s="303" t="s">
        <v>199</v>
      </c>
      <c r="D76" s="96">
        <f>SUM(D71+D72+D75)</f>
        <v>304494626</v>
      </c>
      <c r="E76" s="96">
        <f t="shared" ref="E76:I76" si="25">SUM(E71+E72+E75)</f>
        <v>138822092</v>
      </c>
      <c r="F76" s="96">
        <f t="shared" si="25"/>
        <v>0</v>
      </c>
      <c r="G76" s="96">
        <f t="shared" si="21"/>
        <v>0</v>
      </c>
      <c r="H76" s="96">
        <f t="shared" si="25"/>
        <v>443316718</v>
      </c>
      <c r="I76" s="96">
        <f t="shared" si="25"/>
        <v>443316718</v>
      </c>
      <c r="J76" s="606">
        <f t="shared" ref="J76:J77" si="26">I76/H76</f>
        <v>1</v>
      </c>
    </row>
    <row r="77" spans="1:12" s="5" customFormat="1" ht="18.75" customHeight="1" x14ac:dyDescent="0.3">
      <c r="A77" s="94" t="s">
        <v>718</v>
      </c>
      <c r="B77" s="302" t="s">
        <v>720</v>
      </c>
      <c r="C77" s="303" t="s">
        <v>721</v>
      </c>
      <c r="D77" s="96">
        <f>SUM(D76,D70)</f>
        <v>2250183132</v>
      </c>
      <c r="E77" s="96">
        <f>SUM(E76,E70)</f>
        <v>1619036046</v>
      </c>
      <c r="F77" s="96">
        <f t="shared" ref="F77:I77" si="27">SUM(F76,F70)</f>
        <v>644978518</v>
      </c>
      <c r="G77" s="96">
        <f t="shared" si="21"/>
        <v>873823644</v>
      </c>
      <c r="H77" s="96">
        <f t="shared" si="27"/>
        <v>5388021340</v>
      </c>
      <c r="I77" s="96">
        <f t="shared" si="27"/>
        <v>5379166518</v>
      </c>
      <c r="J77" s="606">
        <f t="shared" si="26"/>
        <v>0.99835657258180055</v>
      </c>
      <c r="L77" s="814"/>
    </row>
    <row r="78" spans="1:12" ht="17.25" customHeight="1" x14ac:dyDescent="0.35">
      <c r="A78" s="828"/>
      <c r="B78" s="828"/>
      <c r="C78" s="828"/>
      <c r="D78" s="828"/>
      <c r="G78" s="679" t="s">
        <v>801</v>
      </c>
    </row>
    <row r="79" spans="1:12" s="6" customFormat="1" ht="16.5" customHeight="1" thickBot="1" x14ac:dyDescent="0.4">
      <c r="A79" s="828" t="s">
        <v>202</v>
      </c>
      <c r="B79" s="828"/>
      <c r="C79" s="828"/>
      <c r="D79" s="828"/>
      <c r="E79" s="221"/>
      <c r="F79" s="221"/>
      <c r="G79" s="680" t="s">
        <v>801</v>
      </c>
      <c r="H79" s="221"/>
      <c r="I79" s="615"/>
      <c r="J79" s="607"/>
    </row>
    <row r="80" spans="1:12" ht="38.15" customHeight="1" x14ac:dyDescent="0.35">
      <c r="A80" s="79" t="s">
        <v>2</v>
      </c>
      <c r="B80" s="79" t="s">
        <v>203</v>
      </c>
      <c r="C80" s="79" t="s">
        <v>4</v>
      </c>
      <c r="D80" s="88" t="str">
        <f>+D4</f>
        <v>2017. évi eredeti előirányzat</v>
      </c>
      <c r="E80" s="218" t="s">
        <v>824</v>
      </c>
      <c r="F80" s="218" t="s">
        <v>825</v>
      </c>
      <c r="G80" s="218" t="s">
        <v>856</v>
      </c>
      <c r="H80" s="219" t="s">
        <v>798</v>
      </c>
      <c r="I80" s="219" t="s">
        <v>826</v>
      </c>
      <c r="J80" s="219" t="s">
        <v>827</v>
      </c>
    </row>
    <row r="81" spans="1:10" s="4" customFormat="1" ht="12" customHeight="1" x14ac:dyDescent="0.3">
      <c r="A81" s="79" t="s">
        <v>6</v>
      </c>
      <c r="B81" s="79" t="s">
        <v>7</v>
      </c>
      <c r="C81" s="79" t="s">
        <v>8</v>
      </c>
      <c r="D81" s="79" t="s">
        <v>9</v>
      </c>
      <c r="E81" s="222" t="s">
        <v>269</v>
      </c>
      <c r="F81" s="222" t="s">
        <v>472</v>
      </c>
      <c r="G81" s="222" t="s">
        <v>796</v>
      </c>
      <c r="H81" s="222" t="s">
        <v>799</v>
      </c>
      <c r="I81" s="616" t="s">
        <v>800</v>
      </c>
      <c r="J81" s="609" t="s">
        <v>828</v>
      </c>
    </row>
    <row r="82" spans="1:10" ht="15.75" customHeight="1" x14ac:dyDescent="0.35">
      <c r="A82" s="297" t="s">
        <v>10</v>
      </c>
      <c r="B82" s="285" t="s">
        <v>204</v>
      </c>
      <c r="C82" s="286" t="s">
        <v>205</v>
      </c>
      <c r="D82" s="275">
        <f>'9.sz.mell.'!D82+'10.sz.mell'!G47+'11.sz.mell'!F47</f>
        <v>323812114</v>
      </c>
      <c r="E82" s="223">
        <v>179565122</v>
      </c>
      <c r="F82" s="223">
        <v>2656731</v>
      </c>
      <c r="G82" s="223">
        <f>H82-D82-E82-F82</f>
        <v>15440002</v>
      </c>
      <c r="H82" s="223">
        <v>521473969</v>
      </c>
      <c r="I82" s="223">
        <v>453688351</v>
      </c>
      <c r="J82" s="606">
        <f>I82/H82</f>
        <v>0.87001150195476007</v>
      </c>
    </row>
    <row r="83" spans="1:10" ht="15.75" customHeight="1" x14ac:dyDescent="0.35">
      <c r="A83" s="297" t="s">
        <v>13</v>
      </c>
      <c r="B83" s="285" t="s">
        <v>206</v>
      </c>
      <c r="C83" s="286" t="s">
        <v>207</v>
      </c>
      <c r="D83" s="275">
        <f>'9.sz.mell.'!D83+'10.sz.mell'!G48+'11.sz.mell'!F48</f>
        <v>73417889</v>
      </c>
      <c r="E83" s="223">
        <v>20323809</v>
      </c>
      <c r="F83" s="223">
        <v>390415</v>
      </c>
      <c r="G83" s="223">
        <f t="shared" ref="G83:G113" si="28">H83-D83-E83-F83</f>
        <v>1292083</v>
      </c>
      <c r="H83" s="223">
        <v>95424196</v>
      </c>
      <c r="I83" s="223">
        <v>81933305</v>
      </c>
      <c r="J83" s="606">
        <f t="shared" ref="J83:J113" si="29">I83/H83</f>
        <v>0.85862190549658912</v>
      </c>
    </row>
    <row r="84" spans="1:10" ht="15.75" customHeight="1" x14ac:dyDescent="0.35">
      <c r="A84" s="297" t="s">
        <v>16</v>
      </c>
      <c r="B84" s="285" t="s">
        <v>208</v>
      </c>
      <c r="C84" s="286" t="s">
        <v>209</v>
      </c>
      <c r="D84" s="275">
        <v>574940083</v>
      </c>
      <c r="E84" s="223">
        <v>1231814034</v>
      </c>
      <c r="F84" s="223">
        <v>7040473</v>
      </c>
      <c r="G84" s="223">
        <f t="shared" si="28"/>
        <v>475960303</v>
      </c>
      <c r="H84" s="223">
        <v>2289754893</v>
      </c>
      <c r="I84" s="223">
        <v>617366654</v>
      </c>
      <c r="J84" s="606">
        <f t="shared" si="29"/>
        <v>0.26962128387075357</v>
      </c>
    </row>
    <row r="85" spans="1:10" ht="15.75" customHeight="1" x14ac:dyDescent="0.35">
      <c r="A85" s="297" t="s">
        <v>19</v>
      </c>
      <c r="B85" s="285" t="s">
        <v>210</v>
      </c>
      <c r="C85" s="286" t="s">
        <v>211</v>
      </c>
      <c r="D85" s="275">
        <f>'9.sz.mell.'!D85+'10.sz.mell'!G50+'11.sz.mell'!F50</f>
        <v>66820160</v>
      </c>
      <c r="E85" s="223">
        <v>-6650969</v>
      </c>
      <c r="F85" s="223">
        <v>5164840</v>
      </c>
      <c r="G85" s="223">
        <f t="shared" si="28"/>
        <v>21704063</v>
      </c>
      <c r="H85" s="223">
        <v>87038094</v>
      </c>
      <c r="I85" s="223">
        <v>86882306</v>
      </c>
      <c r="J85" s="606">
        <f t="shared" si="29"/>
        <v>0.99821011705518281</v>
      </c>
    </row>
    <row r="86" spans="1:10" ht="15.75" customHeight="1" x14ac:dyDescent="0.35">
      <c r="A86" s="297" t="s">
        <v>22</v>
      </c>
      <c r="B86" s="285" t="s">
        <v>212</v>
      </c>
      <c r="C86" s="286" t="s">
        <v>213</v>
      </c>
      <c r="D86" s="275">
        <f>SUM(D87:D93)</f>
        <v>965514977</v>
      </c>
      <c r="E86" s="577">
        <v>105862049</v>
      </c>
      <c r="F86" s="223">
        <f t="shared" ref="F86:F95" si="30">H86-E86-D86</f>
        <v>30637474</v>
      </c>
      <c r="G86" s="223">
        <f t="shared" si="28"/>
        <v>0</v>
      </c>
      <c r="H86" s="223">
        <v>1102014500</v>
      </c>
      <c r="I86" s="223">
        <v>962359564</v>
      </c>
      <c r="J86" s="606">
        <f t="shared" si="29"/>
        <v>0.87327305039997205</v>
      </c>
    </row>
    <row r="87" spans="1:10" ht="15.75" customHeight="1" x14ac:dyDescent="0.35">
      <c r="A87" s="297" t="s">
        <v>25</v>
      </c>
      <c r="B87" s="235" t="s">
        <v>214</v>
      </c>
      <c r="C87" s="304" t="s">
        <v>215</v>
      </c>
      <c r="D87" s="290">
        <f>'9.sz.mell.'!D87</f>
        <v>11554719</v>
      </c>
      <c r="E87" s="223">
        <v>2887042</v>
      </c>
      <c r="F87" s="223">
        <v>0</v>
      </c>
      <c r="G87" s="223">
        <f t="shared" si="28"/>
        <v>2887042</v>
      </c>
      <c r="H87" s="223">
        <v>17328803</v>
      </c>
      <c r="I87" s="223">
        <v>17328803</v>
      </c>
      <c r="J87" s="606">
        <f t="shared" si="29"/>
        <v>1</v>
      </c>
    </row>
    <row r="88" spans="1:10" ht="15.75" customHeight="1" x14ac:dyDescent="0.35">
      <c r="A88" s="297" t="s">
        <v>28</v>
      </c>
      <c r="B88" s="305" t="s">
        <v>216</v>
      </c>
      <c r="C88" s="306" t="s">
        <v>217</v>
      </c>
      <c r="D88" s="290">
        <f>'9.sz.mell.'!D88</f>
        <v>0</v>
      </c>
      <c r="E88" s="223">
        <f t="shared" ref="E88:E95" si="31">H88-D88</f>
        <v>0</v>
      </c>
      <c r="F88" s="223">
        <v>0</v>
      </c>
      <c r="G88" s="223">
        <f t="shared" si="28"/>
        <v>0</v>
      </c>
      <c r="H88" s="223"/>
      <c r="I88" s="223"/>
      <c r="J88" s="606"/>
    </row>
    <row r="89" spans="1:10" ht="15.75" customHeight="1" x14ac:dyDescent="0.35">
      <c r="A89" s="297" t="s">
        <v>31</v>
      </c>
      <c r="B89" s="305" t="s">
        <v>218</v>
      </c>
      <c r="C89" s="306" t="s">
        <v>219</v>
      </c>
      <c r="D89" s="290">
        <f>'9.sz.mell.'!D89</f>
        <v>0</v>
      </c>
      <c r="E89" s="223">
        <f t="shared" si="31"/>
        <v>0</v>
      </c>
      <c r="F89" s="223">
        <v>0</v>
      </c>
      <c r="G89" s="223">
        <f t="shared" si="28"/>
        <v>0</v>
      </c>
      <c r="H89" s="223"/>
      <c r="I89" s="223"/>
      <c r="J89" s="606"/>
    </row>
    <row r="90" spans="1:10" ht="15.75" customHeight="1" x14ac:dyDescent="0.35">
      <c r="A90" s="297" t="s">
        <v>34</v>
      </c>
      <c r="B90" s="307" t="s">
        <v>220</v>
      </c>
      <c r="C90" s="306" t="s">
        <v>221</v>
      </c>
      <c r="D90" s="290">
        <f>'9.sz.mell.'!D90</f>
        <v>435516731</v>
      </c>
      <c r="E90" s="223">
        <v>25844448</v>
      </c>
      <c r="F90" s="223">
        <v>23266125</v>
      </c>
      <c r="G90" s="223">
        <f t="shared" si="28"/>
        <v>18373183</v>
      </c>
      <c r="H90" s="223">
        <v>503000487</v>
      </c>
      <c r="I90" s="223">
        <v>485873368</v>
      </c>
      <c r="J90" s="606">
        <f t="shared" si="29"/>
        <v>0.96595009459702574</v>
      </c>
    </row>
    <row r="91" spans="1:10" ht="15.75" customHeight="1" x14ac:dyDescent="0.35">
      <c r="A91" s="297" t="s">
        <v>37</v>
      </c>
      <c r="B91" s="305" t="s">
        <v>222</v>
      </c>
      <c r="C91" s="306" t="s">
        <v>223</v>
      </c>
      <c r="D91" s="290">
        <f>'9.sz.mell.'!D91</f>
        <v>0</v>
      </c>
      <c r="E91" s="223">
        <f t="shared" si="31"/>
        <v>0</v>
      </c>
      <c r="F91" s="223">
        <v>0</v>
      </c>
      <c r="G91" s="223">
        <f t="shared" si="28"/>
        <v>0</v>
      </c>
      <c r="H91" s="223"/>
      <c r="I91" s="223"/>
      <c r="J91" s="606"/>
    </row>
    <row r="92" spans="1:10" ht="15.75" customHeight="1" x14ac:dyDescent="0.35">
      <c r="A92" s="297" t="s">
        <v>39</v>
      </c>
      <c r="B92" s="305" t="s">
        <v>224</v>
      </c>
      <c r="C92" s="306" t="s">
        <v>225</v>
      </c>
      <c r="D92" s="290">
        <v>431297184</v>
      </c>
      <c r="E92" s="223">
        <v>25700000</v>
      </c>
      <c r="F92" s="223">
        <v>12399780</v>
      </c>
      <c r="G92" s="223">
        <f t="shared" si="28"/>
        <v>-718686</v>
      </c>
      <c r="H92" s="223">
        <v>468678278</v>
      </c>
      <c r="I92" s="223">
        <v>459157393</v>
      </c>
      <c r="J92" s="606">
        <f t="shared" si="29"/>
        <v>0.97968567043339694</v>
      </c>
    </row>
    <row r="93" spans="1:10" ht="15.75" customHeight="1" x14ac:dyDescent="0.35">
      <c r="A93" s="297" t="s">
        <v>41</v>
      </c>
      <c r="B93" s="305" t="s">
        <v>226</v>
      </c>
      <c r="C93" s="306" t="s">
        <v>227</v>
      </c>
      <c r="D93" s="290">
        <v>87146343</v>
      </c>
      <c r="E93" s="223">
        <v>51430559</v>
      </c>
      <c r="F93" s="223">
        <v>-23456888</v>
      </c>
      <c r="G93" s="223">
        <f t="shared" si="28"/>
        <v>-2113082</v>
      </c>
      <c r="H93" s="223">
        <v>113006932</v>
      </c>
      <c r="I93" s="223"/>
      <c r="J93" s="606">
        <f t="shared" si="29"/>
        <v>0</v>
      </c>
    </row>
    <row r="94" spans="1:10" ht="15.75" customHeight="1" x14ac:dyDescent="0.35">
      <c r="A94" s="297" t="s">
        <v>43</v>
      </c>
      <c r="B94" s="305" t="s">
        <v>228</v>
      </c>
      <c r="C94" s="304" t="s">
        <v>227</v>
      </c>
      <c r="D94" s="290">
        <f>'9.sz.mell.'!D94</f>
        <v>70000000</v>
      </c>
      <c r="E94" s="223">
        <v>51430559</v>
      </c>
      <c r="F94" s="223">
        <v>-23456888</v>
      </c>
      <c r="G94" s="223">
        <f t="shared" si="28"/>
        <v>0</v>
      </c>
      <c r="H94" s="223">
        <v>97973671</v>
      </c>
      <c r="I94" s="223"/>
      <c r="J94" s="606">
        <f t="shared" si="29"/>
        <v>0</v>
      </c>
    </row>
    <row r="95" spans="1:10" ht="15.75" customHeight="1" x14ac:dyDescent="0.35">
      <c r="A95" s="297" t="s">
        <v>45</v>
      </c>
      <c r="B95" s="308" t="s">
        <v>229</v>
      </c>
      <c r="C95" s="304" t="s">
        <v>227</v>
      </c>
      <c r="D95" s="290">
        <v>17146343</v>
      </c>
      <c r="E95" s="223">
        <f t="shared" si="31"/>
        <v>0</v>
      </c>
      <c r="F95" s="223">
        <f t="shared" si="30"/>
        <v>0</v>
      </c>
      <c r="G95" s="223">
        <f t="shared" si="28"/>
        <v>0</v>
      </c>
      <c r="H95" s="223">
        <v>17146343</v>
      </c>
      <c r="I95" s="223"/>
      <c r="J95" s="606">
        <f t="shared" si="29"/>
        <v>0</v>
      </c>
    </row>
    <row r="96" spans="1:10" ht="15.75" customHeight="1" x14ac:dyDescent="0.35">
      <c r="A96" s="309" t="s">
        <v>47</v>
      </c>
      <c r="B96" s="310" t="s">
        <v>466</v>
      </c>
      <c r="C96" s="88" t="s">
        <v>230</v>
      </c>
      <c r="D96" s="214">
        <f>SUM(D82:D86)</f>
        <v>2004505223</v>
      </c>
      <c r="E96" s="214">
        <f t="shared" ref="E96:I96" si="32">SUM(E82:E86)</f>
        <v>1530914045</v>
      </c>
      <c r="F96" s="214">
        <f t="shared" si="32"/>
        <v>45889933</v>
      </c>
      <c r="G96" s="214">
        <f t="shared" si="28"/>
        <v>514396451</v>
      </c>
      <c r="H96" s="214">
        <f t="shared" si="32"/>
        <v>4095705652</v>
      </c>
      <c r="I96" s="214">
        <f t="shared" si="32"/>
        <v>2202230180</v>
      </c>
      <c r="J96" s="606">
        <f t="shared" si="29"/>
        <v>0.53769249236077676</v>
      </c>
    </row>
    <row r="97" spans="1:10" ht="16.5" customHeight="1" x14ac:dyDescent="0.35">
      <c r="A97" s="297" t="s">
        <v>49</v>
      </c>
      <c r="B97" s="285" t="s">
        <v>231</v>
      </c>
      <c r="C97" s="286" t="s">
        <v>232</v>
      </c>
      <c r="D97" s="275">
        <v>62504500</v>
      </c>
      <c r="E97" s="223">
        <v>27593139</v>
      </c>
      <c r="F97" s="223">
        <v>594367153</v>
      </c>
      <c r="G97" s="223">
        <f t="shared" si="28"/>
        <v>346708013</v>
      </c>
      <c r="H97" s="223">
        <v>1031172805</v>
      </c>
      <c r="I97" s="223">
        <v>75832435</v>
      </c>
      <c r="J97" s="606">
        <f t="shared" si="29"/>
        <v>7.3539987315705047E-2</v>
      </c>
    </row>
    <row r="98" spans="1:10" ht="16.5" customHeight="1" x14ac:dyDescent="0.35">
      <c r="A98" s="297" t="s">
        <v>51</v>
      </c>
      <c r="B98" s="285" t="s">
        <v>233</v>
      </c>
      <c r="C98" s="286" t="s">
        <v>234</v>
      </c>
      <c r="D98" s="275">
        <v>123810571</v>
      </c>
      <c r="E98" s="223">
        <v>29261542</v>
      </c>
      <c r="F98" s="223">
        <v>4940595</v>
      </c>
      <c r="G98" s="223">
        <f t="shared" si="28"/>
        <v>22936689</v>
      </c>
      <c r="H98" s="223">
        <v>180949397</v>
      </c>
      <c r="I98" s="223">
        <v>126942757</v>
      </c>
      <c r="J98" s="606">
        <f t="shared" si="29"/>
        <v>0.70153733090362269</v>
      </c>
    </row>
    <row r="99" spans="1:10" ht="16.5" customHeight="1" x14ac:dyDescent="0.35">
      <c r="A99" s="297" t="s">
        <v>54</v>
      </c>
      <c r="B99" s="273" t="s">
        <v>235</v>
      </c>
      <c r="C99" s="274" t="s">
        <v>236</v>
      </c>
      <c r="D99" s="275">
        <f>SUM(D100:D105)</f>
        <v>5000000</v>
      </c>
      <c r="E99" s="223">
        <v>1075000</v>
      </c>
      <c r="F99" s="223">
        <v>16531648</v>
      </c>
      <c r="G99" s="223">
        <f t="shared" si="28"/>
        <v>124000</v>
      </c>
      <c r="H99" s="223">
        <v>22730648</v>
      </c>
      <c r="I99" s="223">
        <v>15424342</v>
      </c>
      <c r="J99" s="606">
        <f t="shared" si="29"/>
        <v>0.67857027217173926</v>
      </c>
    </row>
    <row r="100" spans="1:10" ht="16.5" customHeight="1" x14ac:dyDescent="0.35">
      <c r="A100" s="297" t="s">
        <v>57</v>
      </c>
      <c r="B100" s="311" t="s">
        <v>237</v>
      </c>
      <c r="C100" s="289" t="s">
        <v>238</v>
      </c>
      <c r="D100" s="277">
        <f>'9.sz.mell.'!D100</f>
        <v>0</v>
      </c>
      <c r="E100" s="223">
        <f t="shared" ref="E100:E103" si="33">H100-D100</f>
        <v>0</v>
      </c>
      <c r="F100" s="223">
        <v>0</v>
      </c>
      <c r="G100" s="223">
        <f t="shared" si="28"/>
        <v>0</v>
      </c>
      <c r="H100" s="223"/>
      <c r="I100" s="223"/>
      <c r="J100" s="606"/>
    </row>
    <row r="101" spans="1:10" ht="16.5" customHeight="1" x14ac:dyDescent="0.35">
      <c r="A101" s="297" t="s">
        <v>60</v>
      </c>
      <c r="B101" s="312" t="s">
        <v>218</v>
      </c>
      <c r="C101" s="289" t="s">
        <v>239</v>
      </c>
      <c r="D101" s="277">
        <f>'9.sz.mell.'!D101</f>
        <v>0</v>
      </c>
      <c r="E101" s="223">
        <f t="shared" si="33"/>
        <v>0</v>
      </c>
      <c r="F101" s="223">
        <v>0</v>
      </c>
      <c r="G101" s="223">
        <f t="shared" si="28"/>
        <v>0</v>
      </c>
      <c r="H101" s="223"/>
      <c r="I101" s="223"/>
      <c r="J101" s="606"/>
    </row>
    <row r="102" spans="1:10" ht="16.5" customHeight="1" x14ac:dyDescent="0.35">
      <c r="A102" s="297" t="s">
        <v>62</v>
      </c>
      <c r="B102" s="312" t="s">
        <v>240</v>
      </c>
      <c r="C102" s="289" t="s">
        <v>241</v>
      </c>
      <c r="D102" s="277">
        <f>'9.sz.mell.'!D102</f>
        <v>0</v>
      </c>
      <c r="E102" s="223">
        <f t="shared" si="33"/>
        <v>0</v>
      </c>
      <c r="F102" s="223">
        <v>0</v>
      </c>
      <c r="G102" s="223">
        <f t="shared" si="28"/>
        <v>0</v>
      </c>
      <c r="H102" s="223"/>
      <c r="I102" s="223"/>
      <c r="J102" s="606"/>
    </row>
    <row r="103" spans="1:10" ht="16.5" customHeight="1" x14ac:dyDescent="0.35">
      <c r="A103" s="297" t="s">
        <v>64</v>
      </c>
      <c r="B103" s="312" t="s">
        <v>242</v>
      </c>
      <c r="C103" s="289" t="s">
        <v>243</v>
      </c>
      <c r="D103" s="277">
        <f>'9.sz.mell.'!D103</f>
        <v>0</v>
      </c>
      <c r="E103" s="223">
        <f t="shared" si="33"/>
        <v>0</v>
      </c>
      <c r="F103" s="223">
        <v>0</v>
      </c>
      <c r="G103" s="223">
        <f t="shared" si="28"/>
        <v>0</v>
      </c>
      <c r="H103" s="223"/>
      <c r="I103" s="223"/>
      <c r="J103" s="606"/>
    </row>
    <row r="104" spans="1:10" ht="16.5" customHeight="1" x14ac:dyDescent="0.35">
      <c r="A104" s="297" t="s">
        <v>66</v>
      </c>
      <c r="B104" s="312" t="s">
        <v>244</v>
      </c>
      <c r="C104" s="289" t="s">
        <v>245</v>
      </c>
      <c r="D104" s="277">
        <f>'9.sz.mell.'!D104</f>
        <v>5000000</v>
      </c>
      <c r="E104" s="223">
        <v>0</v>
      </c>
      <c r="F104" s="223">
        <v>2415000</v>
      </c>
      <c r="G104" s="223">
        <f t="shared" si="28"/>
        <v>-7415000</v>
      </c>
      <c r="H104" s="223">
        <v>0</v>
      </c>
      <c r="I104" s="223">
        <v>0</v>
      </c>
      <c r="J104" s="606" t="s">
        <v>801</v>
      </c>
    </row>
    <row r="105" spans="1:10" ht="16.5" customHeight="1" x14ac:dyDescent="0.35">
      <c r="A105" s="297" t="s">
        <v>68</v>
      </c>
      <c r="B105" s="312" t="s">
        <v>246</v>
      </c>
      <c r="C105" s="289" t="s">
        <v>247</v>
      </c>
      <c r="D105" s="277">
        <f>'9.sz.mell.'!D105</f>
        <v>0</v>
      </c>
      <c r="E105" s="223">
        <v>1075000</v>
      </c>
      <c r="F105" s="223">
        <v>14116648</v>
      </c>
      <c r="G105" s="223">
        <f t="shared" si="28"/>
        <v>7539000</v>
      </c>
      <c r="H105" s="223">
        <v>22730648</v>
      </c>
      <c r="I105" s="223">
        <v>15424342</v>
      </c>
      <c r="J105" s="606">
        <f t="shared" si="29"/>
        <v>0.67857027217173926</v>
      </c>
    </row>
    <row r="106" spans="1:10" ht="16.5" customHeight="1" x14ac:dyDescent="0.35">
      <c r="A106" s="309" t="s">
        <v>70</v>
      </c>
      <c r="B106" s="310" t="s">
        <v>465</v>
      </c>
      <c r="C106" s="88" t="s">
        <v>248</v>
      </c>
      <c r="D106" s="96">
        <f>+D97+D98+D99</f>
        <v>191315071</v>
      </c>
      <c r="E106" s="96">
        <f t="shared" ref="E106:I106" si="34">+E97+E98+E99</f>
        <v>57929681</v>
      </c>
      <c r="F106" s="96">
        <f t="shared" si="34"/>
        <v>615839396</v>
      </c>
      <c r="G106" s="96">
        <f t="shared" si="28"/>
        <v>369768702</v>
      </c>
      <c r="H106" s="96">
        <f t="shared" si="34"/>
        <v>1234852850</v>
      </c>
      <c r="I106" s="612">
        <f t="shared" si="34"/>
        <v>218199534</v>
      </c>
      <c r="J106" s="606">
        <f t="shared" si="29"/>
        <v>0.17670083848452064</v>
      </c>
    </row>
    <row r="107" spans="1:10" ht="23.25" customHeight="1" x14ac:dyDescent="0.35">
      <c r="A107" s="94" t="s">
        <v>72</v>
      </c>
      <c r="B107" s="296" t="s">
        <v>249</v>
      </c>
      <c r="C107" s="88" t="s">
        <v>250</v>
      </c>
      <c r="D107" s="282">
        <f>SUM(D96+D106)</f>
        <v>2195820294</v>
      </c>
      <c r="E107" s="282">
        <f t="shared" ref="E107:I107" si="35">SUM(E96+E106)</f>
        <v>1588843726</v>
      </c>
      <c r="F107" s="282">
        <f t="shared" si="35"/>
        <v>661729329</v>
      </c>
      <c r="G107" s="282">
        <f t="shared" si="28"/>
        <v>884165153</v>
      </c>
      <c r="H107" s="282">
        <f t="shared" si="35"/>
        <v>5330558502</v>
      </c>
      <c r="I107" s="613">
        <f t="shared" si="35"/>
        <v>2420429714</v>
      </c>
      <c r="J107" s="606">
        <f t="shared" si="29"/>
        <v>0.45406681365411644</v>
      </c>
    </row>
    <row r="108" spans="1:10" ht="16.5" customHeight="1" x14ac:dyDescent="0.35">
      <c r="A108" s="297" t="s">
        <v>75</v>
      </c>
      <c r="B108" s="231" t="s">
        <v>251</v>
      </c>
      <c r="C108" s="313" t="s">
        <v>252</v>
      </c>
      <c r="D108" s="299">
        <f>'9.sz.mell.'!D108</f>
        <v>23997938</v>
      </c>
      <c r="E108" s="223">
        <f>H108-D108</f>
        <v>3100000</v>
      </c>
      <c r="F108" s="223">
        <f>H108-E108-D108</f>
        <v>0</v>
      </c>
      <c r="G108" s="223">
        <f t="shared" si="28"/>
        <v>0</v>
      </c>
      <c r="H108" s="223">
        <v>27097938</v>
      </c>
      <c r="I108" s="223">
        <v>27091108</v>
      </c>
      <c r="J108" s="606">
        <f t="shared" si="29"/>
        <v>0.99974795130168204</v>
      </c>
    </row>
    <row r="109" spans="1:10" ht="16.5" customHeight="1" x14ac:dyDescent="0.35">
      <c r="A109" s="297" t="s">
        <v>78</v>
      </c>
      <c r="B109" s="232" t="s">
        <v>253</v>
      </c>
      <c r="C109" s="286" t="s">
        <v>254</v>
      </c>
      <c r="D109" s="299">
        <f>'9.sz.mell.'!D109</f>
        <v>0</v>
      </c>
      <c r="E109" s="223">
        <f t="shared" ref="E109:E111" si="36">H109-D109</f>
        <v>0</v>
      </c>
      <c r="F109" s="223">
        <f t="shared" ref="F109:F111" si="37">H109-E109-D109</f>
        <v>0</v>
      </c>
      <c r="G109" s="223">
        <f t="shared" si="28"/>
        <v>0</v>
      </c>
      <c r="H109" s="223"/>
      <c r="I109" s="223"/>
      <c r="J109" s="606" t="s">
        <v>801</v>
      </c>
    </row>
    <row r="110" spans="1:10" ht="16.5" customHeight="1" x14ac:dyDescent="0.35">
      <c r="A110" s="314" t="s">
        <v>81</v>
      </c>
      <c r="B110" s="232" t="s">
        <v>255</v>
      </c>
      <c r="C110" s="286" t="s">
        <v>256</v>
      </c>
      <c r="D110" s="299">
        <f>'9.sz.mell.'!D110</f>
        <v>30364900</v>
      </c>
      <c r="E110" s="223">
        <f t="shared" si="36"/>
        <v>0</v>
      </c>
      <c r="F110" s="223">
        <f t="shared" si="37"/>
        <v>0</v>
      </c>
      <c r="G110" s="223">
        <f t="shared" si="28"/>
        <v>0</v>
      </c>
      <c r="H110" s="223">
        <v>30364900</v>
      </c>
      <c r="I110" s="223">
        <v>30364900</v>
      </c>
      <c r="J110" s="606">
        <f t="shared" si="29"/>
        <v>1</v>
      </c>
    </row>
    <row r="111" spans="1:10" ht="16.5" customHeight="1" x14ac:dyDescent="0.35">
      <c r="A111" s="297" t="s">
        <v>83</v>
      </c>
      <c r="B111" s="232" t="s">
        <v>257</v>
      </c>
      <c r="C111" s="286" t="s">
        <v>258</v>
      </c>
      <c r="D111" s="275"/>
      <c r="E111" s="223">
        <f t="shared" si="36"/>
        <v>0</v>
      </c>
      <c r="F111" s="223">
        <f t="shared" si="37"/>
        <v>0</v>
      </c>
      <c r="G111" s="223">
        <f t="shared" si="28"/>
        <v>0</v>
      </c>
      <c r="H111" s="223"/>
      <c r="I111" s="223"/>
      <c r="J111" s="606" t="s">
        <v>801</v>
      </c>
    </row>
    <row r="112" spans="1:10" ht="24.75" customHeight="1" x14ac:dyDescent="0.35">
      <c r="A112" s="315" t="s">
        <v>85</v>
      </c>
      <c r="B112" s="85" t="s">
        <v>259</v>
      </c>
      <c r="C112" s="88" t="s">
        <v>260</v>
      </c>
      <c r="D112" s="316">
        <f>SUM(D108:D111)</f>
        <v>54362838</v>
      </c>
      <c r="E112" s="316">
        <f t="shared" ref="E112:I112" si="38">SUM(E108:E111)</f>
        <v>3100000</v>
      </c>
      <c r="F112" s="316">
        <f t="shared" si="38"/>
        <v>0</v>
      </c>
      <c r="G112" s="316">
        <f t="shared" si="28"/>
        <v>0</v>
      </c>
      <c r="H112" s="316">
        <f t="shared" si="38"/>
        <v>57462838</v>
      </c>
      <c r="I112" s="316">
        <f t="shared" si="38"/>
        <v>57456008</v>
      </c>
      <c r="J112" s="606">
        <f t="shared" si="29"/>
        <v>0.99988114057297339</v>
      </c>
    </row>
    <row r="113" spans="1:10" s="5" customFormat="1" ht="27.75" customHeight="1" x14ac:dyDescent="0.3">
      <c r="A113" s="213">
        <v>32</v>
      </c>
      <c r="B113" s="280" t="s">
        <v>261</v>
      </c>
      <c r="C113" s="317" t="s">
        <v>262</v>
      </c>
      <c r="D113" s="316">
        <f>D107+D112</f>
        <v>2250183132</v>
      </c>
      <c r="E113" s="316">
        <f t="shared" ref="E113:I113" si="39">E107+E112</f>
        <v>1591943726</v>
      </c>
      <c r="F113" s="316">
        <f t="shared" si="39"/>
        <v>661729329</v>
      </c>
      <c r="G113" s="316">
        <f t="shared" si="28"/>
        <v>884165153</v>
      </c>
      <c r="H113" s="316">
        <f t="shared" si="39"/>
        <v>5388021340</v>
      </c>
      <c r="I113" s="316">
        <f t="shared" si="39"/>
        <v>2477885722</v>
      </c>
      <c r="J113" s="795">
        <f t="shared" si="29"/>
        <v>0.4598878819585373</v>
      </c>
    </row>
    <row r="114" spans="1:10" ht="16.5" customHeight="1" x14ac:dyDescent="0.35">
      <c r="G114" s="678"/>
      <c r="J114" s="662" t="s">
        <v>801</v>
      </c>
    </row>
    <row r="115" spans="1:10" ht="30.75" customHeight="1" x14ac:dyDescent="0.35">
      <c r="A115" s="829" t="s">
        <v>263</v>
      </c>
      <c r="B115" s="829"/>
      <c r="C115" s="829"/>
      <c r="D115" s="829"/>
      <c r="G115" s="678"/>
    </row>
    <row r="116" spans="1:10" ht="15" customHeight="1" x14ac:dyDescent="0.35">
      <c r="A116" s="827"/>
      <c r="B116" s="827"/>
      <c r="C116" s="2"/>
      <c r="D116" s="10"/>
      <c r="G116" s="678"/>
    </row>
    <row r="117" spans="1:10" ht="29.25" customHeight="1" x14ac:dyDescent="0.35">
      <c r="A117" s="213">
        <v>1</v>
      </c>
      <c r="B117" s="826" t="s">
        <v>264</v>
      </c>
      <c r="C117" s="826"/>
      <c r="D117" s="318">
        <f>D70-D107</f>
        <v>-250131788</v>
      </c>
      <c r="E117" s="318"/>
      <c r="F117" s="318"/>
      <c r="G117" s="220" t="s">
        <v>801</v>
      </c>
      <c r="H117" s="318">
        <f t="shared" ref="H117:I117" si="40">H70-H107</f>
        <v>-385853880</v>
      </c>
      <c r="I117" s="617">
        <f t="shared" si="40"/>
        <v>2515420086</v>
      </c>
      <c r="J117" s="610" t="s">
        <v>801</v>
      </c>
    </row>
    <row r="118" spans="1:10" ht="29.25" customHeight="1" x14ac:dyDescent="0.35">
      <c r="A118" s="213" t="s">
        <v>13</v>
      </c>
      <c r="B118" s="826" t="s">
        <v>797</v>
      </c>
      <c r="C118" s="826"/>
      <c r="D118" s="318">
        <f>D76-D112</f>
        <v>250131788</v>
      </c>
      <c r="E118" s="318"/>
      <c r="F118" s="318"/>
      <c r="G118" s="220"/>
      <c r="H118" s="318">
        <f t="shared" ref="H118:I118" si="41">H76-H112</f>
        <v>385853880</v>
      </c>
      <c r="I118" s="617">
        <f t="shared" si="41"/>
        <v>385860710</v>
      </c>
      <c r="J118" s="610" t="s">
        <v>801</v>
      </c>
    </row>
  </sheetData>
  <mergeCells count="9">
    <mergeCell ref="A1:J1"/>
    <mergeCell ref="B117:C117"/>
    <mergeCell ref="B118:C118"/>
    <mergeCell ref="A116:B116"/>
    <mergeCell ref="A79:D79"/>
    <mergeCell ref="A3:B3"/>
    <mergeCell ref="A78:D78"/>
    <mergeCell ref="A115:D115"/>
    <mergeCell ref="A2:J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r:id="rId1"/>
  <headerFooter alignWithMargins="0">
    <oddHeader>&amp;R&amp;"Times New Roman CE,Félkövér dőlt"&amp;11 1. melléklet a 4/2018. (III.19.) önkormányzati rendelethez</oddHeader>
  </headerFooter>
  <rowBreaks count="1" manualBreakCount="1">
    <brk id="77" max="11" man="1"/>
  </rowBreaks>
  <colBreaks count="1" manualBreakCount="1">
    <brk id="13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Layout" zoomScaleNormal="100" workbookViewId="0">
      <selection activeCell="H3" sqref="H3:J3"/>
    </sheetView>
  </sheetViews>
  <sheetFormatPr defaultRowHeight="13" x14ac:dyDescent="0.3"/>
  <cols>
    <col min="1" max="1" width="5.796875" style="137" customWidth="1"/>
    <col min="2" max="2" width="15.296875" style="80" customWidth="1"/>
    <col min="3" max="4" width="9.5" style="80" customWidth="1"/>
    <col min="5" max="5" width="22.19921875" style="80" customWidth="1"/>
    <col min="6" max="7" width="9.296875" style="80"/>
    <col min="8" max="8" width="23.5" style="80" customWidth="1"/>
    <col min="9" max="9" width="23.69921875" style="80" customWidth="1"/>
    <col min="10" max="10" width="9.296875" style="80"/>
    <col min="11" max="11" width="13.5" style="80" customWidth="1"/>
    <col min="12" max="256" width="9.296875" style="80"/>
    <col min="257" max="257" width="5.796875" style="80" customWidth="1"/>
    <col min="258" max="258" width="54.796875" style="80" customWidth="1"/>
    <col min="259" max="260" width="17.69921875" style="80" customWidth="1"/>
    <col min="261" max="512" width="9.296875" style="80"/>
    <col min="513" max="513" width="5.796875" style="80" customWidth="1"/>
    <col min="514" max="514" width="54.796875" style="80" customWidth="1"/>
    <col min="515" max="516" width="17.69921875" style="80" customWidth="1"/>
    <col min="517" max="768" width="9.296875" style="80"/>
    <col min="769" max="769" width="5.796875" style="80" customWidth="1"/>
    <col min="770" max="770" width="54.796875" style="80" customWidth="1"/>
    <col min="771" max="772" width="17.69921875" style="80" customWidth="1"/>
    <col min="773" max="1024" width="9.296875" style="80"/>
    <col min="1025" max="1025" width="5.796875" style="80" customWidth="1"/>
    <col min="1026" max="1026" width="54.796875" style="80" customWidth="1"/>
    <col min="1027" max="1028" width="17.69921875" style="80" customWidth="1"/>
    <col min="1029" max="1280" width="9.296875" style="80"/>
    <col min="1281" max="1281" width="5.796875" style="80" customWidth="1"/>
    <col min="1282" max="1282" width="54.796875" style="80" customWidth="1"/>
    <col min="1283" max="1284" width="17.69921875" style="80" customWidth="1"/>
    <col min="1285" max="1536" width="9.296875" style="80"/>
    <col min="1537" max="1537" width="5.796875" style="80" customWidth="1"/>
    <col min="1538" max="1538" width="54.796875" style="80" customWidth="1"/>
    <col min="1539" max="1540" width="17.69921875" style="80" customWidth="1"/>
    <col min="1541" max="1792" width="9.296875" style="80"/>
    <col min="1793" max="1793" width="5.796875" style="80" customWidth="1"/>
    <col min="1794" max="1794" width="54.796875" style="80" customWidth="1"/>
    <col min="1795" max="1796" width="17.69921875" style="80" customWidth="1"/>
    <col min="1797" max="2048" width="9.296875" style="80"/>
    <col min="2049" max="2049" width="5.796875" style="80" customWidth="1"/>
    <col min="2050" max="2050" width="54.796875" style="80" customWidth="1"/>
    <col min="2051" max="2052" width="17.69921875" style="80" customWidth="1"/>
    <col min="2053" max="2304" width="9.296875" style="80"/>
    <col min="2305" max="2305" width="5.796875" style="80" customWidth="1"/>
    <col min="2306" max="2306" width="54.796875" style="80" customWidth="1"/>
    <col min="2307" max="2308" width="17.69921875" style="80" customWidth="1"/>
    <col min="2309" max="2560" width="9.296875" style="80"/>
    <col min="2561" max="2561" width="5.796875" style="80" customWidth="1"/>
    <col min="2562" max="2562" width="54.796875" style="80" customWidth="1"/>
    <col min="2563" max="2564" width="17.69921875" style="80" customWidth="1"/>
    <col min="2565" max="2816" width="9.296875" style="80"/>
    <col min="2817" max="2817" width="5.796875" style="80" customWidth="1"/>
    <col min="2818" max="2818" width="54.796875" style="80" customWidth="1"/>
    <col min="2819" max="2820" width="17.69921875" style="80" customWidth="1"/>
    <col min="2821" max="3072" width="9.296875" style="80"/>
    <col min="3073" max="3073" width="5.796875" style="80" customWidth="1"/>
    <col min="3074" max="3074" width="54.796875" style="80" customWidth="1"/>
    <col min="3075" max="3076" width="17.69921875" style="80" customWidth="1"/>
    <col min="3077" max="3328" width="9.296875" style="80"/>
    <col min="3329" max="3329" width="5.796875" style="80" customWidth="1"/>
    <col min="3330" max="3330" width="54.796875" style="80" customWidth="1"/>
    <col min="3331" max="3332" width="17.69921875" style="80" customWidth="1"/>
    <col min="3333" max="3584" width="9.296875" style="80"/>
    <col min="3585" max="3585" width="5.796875" style="80" customWidth="1"/>
    <col min="3586" max="3586" width="54.796875" style="80" customWidth="1"/>
    <col min="3587" max="3588" width="17.69921875" style="80" customWidth="1"/>
    <col min="3589" max="3840" width="9.296875" style="80"/>
    <col min="3841" max="3841" width="5.796875" style="80" customWidth="1"/>
    <col min="3842" max="3842" width="54.796875" style="80" customWidth="1"/>
    <col min="3843" max="3844" width="17.69921875" style="80" customWidth="1"/>
    <col min="3845" max="4096" width="9.296875" style="80"/>
    <col min="4097" max="4097" width="5.796875" style="80" customWidth="1"/>
    <col min="4098" max="4098" width="54.796875" style="80" customWidth="1"/>
    <col min="4099" max="4100" width="17.69921875" style="80" customWidth="1"/>
    <col min="4101" max="4352" width="9.296875" style="80"/>
    <col min="4353" max="4353" width="5.796875" style="80" customWidth="1"/>
    <col min="4354" max="4354" width="54.796875" style="80" customWidth="1"/>
    <col min="4355" max="4356" width="17.69921875" style="80" customWidth="1"/>
    <col min="4357" max="4608" width="9.296875" style="80"/>
    <col min="4609" max="4609" width="5.796875" style="80" customWidth="1"/>
    <col min="4610" max="4610" width="54.796875" style="80" customWidth="1"/>
    <col min="4611" max="4612" width="17.69921875" style="80" customWidth="1"/>
    <col min="4613" max="4864" width="9.296875" style="80"/>
    <col min="4865" max="4865" width="5.796875" style="80" customWidth="1"/>
    <col min="4866" max="4866" width="54.796875" style="80" customWidth="1"/>
    <col min="4867" max="4868" width="17.69921875" style="80" customWidth="1"/>
    <col min="4869" max="5120" width="9.296875" style="80"/>
    <col min="5121" max="5121" width="5.796875" style="80" customWidth="1"/>
    <col min="5122" max="5122" width="54.796875" style="80" customWidth="1"/>
    <col min="5123" max="5124" width="17.69921875" style="80" customWidth="1"/>
    <col min="5125" max="5376" width="9.296875" style="80"/>
    <col min="5377" max="5377" width="5.796875" style="80" customWidth="1"/>
    <col min="5378" max="5378" width="54.796875" style="80" customWidth="1"/>
    <col min="5379" max="5380" width="17.69921875" style="80" customWidth="1"/>
    <col min="5381" max="5632" width="9.296875" style="80"/>
    <col min="5633" max="5633" width="5.796875" style="80" customWidth="1"/>
    <col min="5634" max="5634" width="54.796875" style="80" customWidth="1"/>
    <col min="5635" max="5636" width="17.69921875" style="80" customWidth="1"/>
    <col min="5637" max="5888" width="9.296875" style="80"/>
    <col min="5889" max="5889" width="5.796875" style="80" customWidth="1"/>
    <col min="5890" max="5890" width="54.796875" style="80" customWidth="1"/>
    <col min="5891" max="5892" width="17.69921875" style="80" customWidth="1"/>
    <col min="5893" max="6144" width="9.296875" style="80"/>
    <col min="6145" max="6145" width="5.796875" style="80" customWidth="1"/>
    <col min="6146" max="6146" width="54.796875" style="80" customWidth="1"/>
    <col min="6147" max="6148" width="17.69921875" style="80" customWidth="1"/>
    <col min="6149" max="6400" width="9.296875" style="80"/>
    <col min="6401" max="6401" width="5.796875" style="80" customWidth="1"/>
    <col min="6402" max="6402" width="54.796875" style="80" customWidth="1"/>
    <col min="6403" max="6404" width="17.69921875" style="80" customWidth="1"/>
    <col min="6405" max="6656" width="9.296875" style="80"/>
    <col min="6657" max="6657" width="5.796875" style="80" customWidth="1"/>
    <col min="6658" max="6658" width="54.796875" style="80" customWidth="1"/>
    <col min="6659" max="6660" width="17.69921875" style="80" customWidth="1"/>
    <col min="6661" max="6912" width="9.296875" style="80"/>
    <col min="6913" max="6913" width="5.796875" style="80" customWidth="1"/>
    <col min="6914" max="6914" width="54.796875" style="80" customWidth="1"/>
    <col min="6915" max="6916" width="17.69921875" style="80" customWidth="1"/>
    <col min="6917" max="7168" width="9.296875" style="80"/>
    <col min="7169" max="7169" width="5.796875" style="80" customWidth="1"/>
    <col min="7170" max="7170" width="54.796875" style="80" customWidth="1"/>
    <col min="7171" max="7172" width="17.69921875" style="80" customWidth="1"/>
    <col min="7173" max="7424" width="9.296875" style="80"/>
    <col min="7425" max="7425" width="5.796875" style="80" customWidth="1"/>
    <col min="7426" max="7426" width="54.796875" style="80" customWidth="1"/>
    <col min="7427" max="7428" width="17.69921875" style="80" customWidth="1"/>
    <col min="7429" max="7680" width="9.296875" style="80"/>
    <col min="7681" max="7681" width="5.796875" style="80" customWidth="1"/>
    <col min="7682" max="7682" width="54.796875" style="80" customWidth="1"/>
    <col min="7683" max="7684" width="17.69921875" style="80" customWidth="1"/>
    <col min="7685" max="7936" width="9.296875" style="80"/>
    <col min="7937" max="7937" width="5.796875" style="80" customWidth="1"/>
    <col min="7938" max="7938" width="54.796875" style="80" customWidth="1"/>
    <col min="7939" max="7940" width="17.69921875" style="80" customWidth="1"/>
    <col min="7941" max="8192" width="9.296875" style="80"/>
    <col min="8193" max="8193" width="5.796875" style="80" customWidth="1"/>
    <col min="8194" max="8194" width="54.796875" style="80" customWidth="1"/>
    <col min="8195" max="8196" width="17.69921875" style="80" customWidth="1"/>
    <col min="8197" max="8448" width="9.296875" style="80"/>
    <col min="8449" max="8449" width="5.796875" style="80" customWidth="1"/>
    <col min="8450" max="8450" width="54.796875" style="80" customWidth="1"/>
    <col min="8451" max="8452" width="17.69921875" style="80" customWidth="1"/>
    <col min="8453" max="8704" width="9.296875" style="80"/>
    <col min="8705" max="8705" width="5.796875" style="80" customWidth="1"/>
    <col min="8706" max="8706" width="54.796875" style="80" customWidth="1"/>
    <col min="8707" max="8708" width="17.69921875" style="80" customWidth="1"/>
    <col min="8709" max="8960" width="9.296875" style="80"/>
    <col min="8961" max="8961" width="5.796875" style="80" customWidth="1"/>
    <col min="8962" max="8962" width="54.796875" style="80" customWidth="1"/>
    <col min="8963" max="8964" width="17.69921875" style="80" customWidth="1"/>
    <col min="8965" max="9216" width="9.296875" style="80"/>
    <col min="9217" max="9217" width="5.796875" style="80" customWidth="1"/>
    <col min="9218" max="9218" width="54.796875" style="80" customWidth="1"/>
    <col min="9219" max="9220" width="17.69921875" style="80" customWidth="1"/>
    <col min="9221" max="9472" width="9.296875" style="80"/>
    <col min="9473" max="9473" width="5.796875" style="80" customWidth="1"/>
    <col min="9474" max="9474" width="54.796875" style="80" customWidth="1"/>
    <col min="9475" max="9476" width="17.69921875" style="80" customWidth="1"/>
    <col min="9477" max="9728" width="9.296875" style="80"/>
    <col min="9729" max="9729" width="5.796875" style="80" customWidth="1"/>
    <col min="9730" max="9730" width="54.796875" style="80" customWidth="1"/>
    <col min="9731" max="9732" width="17.69921875" style="80" customWidth="1"/>
    <col min="9733" max="9984" width="9.296875" style="80"/>
    <col min="9985" max="9985" width="5.796875" style="80" customWidth="1"/>
    <col min="9986" max="9986" width="54.796875" style="80" customWidth="1"/>
    <col min="9987" max="9988" width="17.69921875" style="80" customWidth="1"/>
    <col min="9989" max="10240" width="9.296875" style="80"/>
    <col min="10241" max="10241" width="5.796875" style="80" customWidth="1"/>
    <col min="10242" max="10242" width="54.796875" style="80" customWidth="1"/>
    <col min="10243" max="10244" width="17.69921875" style="80" customWidth="1"/>
    <col min="10245" max="10496" width="9.296875" style="80"/>
    <col min="10497" max="10497" width="5.796875" style="80" customWidth="1"/>
    <col min="10498" max="10498" width="54.796875" style="80" customWidth="1"/>
    <col min="10499" max="10500" width="17.69921875" style="80" customWidth="1"/>
    <col min="10501" max="10752" width="9.296875" style="80"/>
    <col min="10753" max="10753" width="5.796875" style="80" customWidth="1"/>
    <col min="10754" max="10754" width="54.796875" style="80" customWidth="1"/>
    <col min="10755" max="10756" width="17.69921875" style="80" customWidth="1"/>
    <col min="10757" max="11008" width="9.296875" style="80"/>
    <col min="11009" max="11009" width="5.796875" style="80" customWidth="1"/>
    <col min="11010" max="11010" width="54.796875" style="80" customWidth="1"/>
    <col min="11011" max="11012" width="17.69921875" style="80" customWidth="1"/>
    <col min="11013" max="11264" width="9.296875" style="80"/>
    <col min="11265" max="11265" width="5.796875" style="80" customWidth="1"/>
    <col min="11266" max="11266" width="54.796875" style="80" customWidth="1"/>
    <col min="11267" max="11268" width="17.69921875" style="80" customWidth="1"/>
    <col min="11269" max="11520" width="9.296875" style="80"/>
    <col min="11521" max="11521" width="5.796875" style="80" customWidth="1"/>
    <col min="11522" max="11522" width="54.796875" style="80" customWidth="1"/>
    <col min="11523" max="11524" width="17.69921875" style="80" customWidth="1"/>
    <col min="11525" max="11776" width="9.296875" style="80"/>
    <col min="11777" max="11777" width="5.796875" style="80" customWidth="1"/>
    <col min="11778" max="11778" width="54.796875" style="80" customWidth="1"/>
    <col min="11779" max="11780" width="17.69921875" style="80" customWidth="1"/>
    <col min="11781" max="12032" width="9.296875" style="80"/>
    <col min="12033" max="12033" width="5.796875" style="80" customWidth="1"/>
    <col min="12034" max="12034" width="54.796875" style="80" customWidth="1"/>
    <col min="12035" max="12036" width="17.69921875" style="80" customWidth="1"/>
    <col min="12037" max="12288" width="9.296875" style="80"/>
    <col min="12289" max="12289" width="5.796875" style="80" customWidth="1"/>
    <col min="12290" max="12290" width="54.796875" style="80" customWidth="1"/>
    <col min="12291" max="12292" width="17.69921875" style="80" customWidth="1"/>
    <col min="12293" max="12544" width="9.296875" style="80"/>
    <col min="12545" max="12545" width="5.796875" style="80" customWidth="1"/>
    <col min="12546" max="12546" width="54.796875" style="80" customWidth="1"/>
    <col min="12547" max="12548" width="17.69921875" style="80" customWidth="1"/>
    <col min="12549" max="12800" width="9.296875" style="80"/>
    <col min="12801" max="12801" width="5.796875" style="80" customWidth="1"/>
    <col min="12802" max="12802" width="54.796875" style="80" customWidth="1"/>
    <col min="12803" max="12804" width="17.69921875" style="80" customWidth="1"/>
    <col min="12805" max="13056" width="9.296875" style="80"/>
    <col min="13057" max="13057" width="5.796875" style="80" customWidth="1"/>
    <col min="13058" max="13058" width="54.796875" style="80" customWidth="1"/>
    <col min="13059" max="13060" width="17.69921875" style="80" customWidth="1"/>
    <col min="13061" max="13312" width="9.296875" style="80"/>
    <col min="13313" max="13313" width="5.796875" style="80" customWidth="1"/>
    <col min="13314" max="13314" width="54.796875" style="80" customWidth="1"/>
    <col min="13315" max="13316" width="17.69921875" style="80" customWidth="1"/>
    <col min="13317" max="13568" width="9.296875" style="80"/>
    <col min="13569" max="13569" width="5.796875" style="80" customWidth="1"/>
    <col min="13570" max="13570" width="54.796875" style="80" customWidth="1"/>
    <col min="13571" max="13572" width="17.69921875" style="80" customWidth="1"/>
    <col min="13573" max="13824" width="9.296875" style="80"/>
    <col min="13825" max="13825" width="5.796875" style="80" customWidth="1"/>
    <col min="13826" max="13826" width="54.796875" style="80" customWidth="1"/>
    <col min="13827" max="13828" width="17.69921875" style="80" customWidth="1"/>
    <col min="13829" max="14080" width="9.296875" style="80"/>
    <col min="14081" max="14081" width="5.796875" style="80" customWidth="1"/>
    <col min="14082" max="14082" width="54.796875" style="80" customWidth="1"/>
    <col min="14083" max="14084" width="17.69921875" style="80" customWidth="1"/>
    <col min="14085" max="14336" width="9.296875" style="80"/>
    <col min="14337" max="14337" width="5.796875" style="80" customWidth="1"/>
    <col min="14338" max="14338" width="54.796875" style="80" customWidth="1"/>
    <col min="14339" max="14340" width="17.69921875" style="80" customWidth="1"/>
    <col min="14341" max="14592" width="9.296875" style="80"/>
    <col min="14593" max="14593" width="5.796875" style="80" customWidth="1"/>
    <col min="14594" max="14594" width="54.796875" style="80" customWidth="1"/>
    <col min="14595" max="14596" width="17.69921875" style="80" customWidth="1"/>
    <col min="14597" max="14848" width="9.296875" style="80"/>
    <col min="14849" max="14849" width="5.796875" style="80" customWidth="1"/>
    <col min="14850" max="14850" width="54.796875" style="80" customWidth="1"/>
    <col min="14851" max="14852" width="17.69921875" style="80" customWidth="1"/>
    <col min="14853" max="15104" width="9.296875" style="80"/>
    <col min="15105" max="15105" width="5.796875" style="80" customWidth="1"/>
    <col min="15106" max="15106" width="54.796875" style="80" customWidth="1"/>
    <col min="15107" max="15108" width="17.69921875" style="80" customWidth="1"/>
    <col min="15109" max="15360" width="9.296875" style="80"/>
    <col min="15361" max="15361" width="5.796875" style="80" customWidth="1"/>
    <col min="15362" max="15362" width="54.796875" style="80" customWidth="1"/>
    <col min="15363" max="15364" width="17.69921875" style="80" customWidth="1"/>
    <col min="15365" max="15616" width="9.296875" style="80"/>
    <col min="15617" max="15617" width="5.796875" style="80" customWidth="1"/>
    <col min="15618" max="15618" width="54.796875" style="80" customWidth="1"/>
    <col min="15619" max="15620" width="17.69921875" style="80" customWidth="1"/>
    <col min="15621" max="15872" width="9.296875" style="80"/>
    <col min="15873" max="15873" width="5.796875" style="80" customWidth="1"/>
    <col min="15874" max="15874" width="54.796875" style="80" customWidth="1"/>
    <col min="15875" max="15876" width="17.69921875" style="80" customWidth="1"/>
    <col min="15877" max="16128" width="9.296875" style="80"/>
    <col min="16129" max="16129" width="5.796875" style="80" customWidth="1"/>
    <col min="16130" max="16130" width="54.796875" style="80" customWidth="1"/>
    <col min="16131" max="16132" width="17.69921875" style="80" customWidth="1"/>
    <col min="16133" max="16384" width="9.296875" style="80"/>
  </cols>
  <sheetData>
    <row r="1" spans="1:11" ht="44.25" customHeight="1" x14ac:dyDescent="0.3">
      <c r="A1" s="898" t="s">
        <v>639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</row>
    <row r="2" spans="1:11" x14ac:dyDescent="0.3">
      <c r="A2" s="180"/>
      <c r="B2" s="180"/>
      <c r="C2" s="180"/>
      <c r="D2" s="180"/>
      <c r="E2" s="180"/>
      <c r="F2" s="180"/>
      <c r="G2" s="180"/>
      <c r="H2" s="180"/>
      <c r="I2" s="180"/>
      <c r="J2" s="899" t="s">
        <v>673</v>
      </c>
      <c r="K2" s="899"/>
    </row>
    <row r="3" spans="1:11" ht="27" customHeight="1" x14ac:dyDescent="0.3">
      <c r="A3" s="900" t="s">
        <v>404</v>
      </c>
      <c r="B3" s="900" t="s">
        <v>674</v>
      </c>
      <c r="C3" s="900"/>
      <c r="D3" s="900"/>
      <c r="E3" s="900" t="s">
        <v>675</v>
      </c>
      <c r="F3" s="900"/>
      <c r="G3" s="900"/>
      <c r="H3" s="900" t="s">
        <v>676</v>
      </c>
      <c r="I3" s="900"/>
      <c r="J3" s="900"/>
      <c r="K3" s="901" t="s">
        <v>405</v>
      </c>
    </row>
    <row r="4" spans="1:11" ht="26" x14ac:dyDescent="0.3">
      <c r="A4" s="900"/>
      <c r="B4" s="460" t="s">
        <v>677</v>
      </c>
      <c r="C4" s="460" t="s">
        <v>678</v>
      </c>
      <c r="D4" s="460" t="s">
        <v>679</v>
      </c>
      <c r="E4" s="460" t="s">
        <v>677</v>
      </c>
      <c r="F4" s="460" t="s">
        <v>678</v>
      </c>
      <c r="G4" s="460" t="s">
        <v>679</v>
      </c>
      <c r="H4" s="460" t="s">
        <v>677</v>
      </c>
      <c r="I4" s="460" t="s">
        <v>678</v>
      </c>
      <c r="J4" s="460" t="s">
        <v>679</v>
      </c>
      <c r="K4" s="901"/>
    </row>
    <row r="5" spans="1:11" ht="33.75" customHeight="1" x14ac:dyDescent="0.3">
      <c r="A5" s="461" t="s">
        <v>10</v>
      </c>
      <c r="B5" s="462" t="s">
        <v>680</v>
      </c>
      <c r="C5" s="462"/>
      <c r="D5" s="462"/>
      <c r="E5" s="463" t="s">
        <v>681</v>
      </c>
      <c r="F5" s="464" t="s">
        <v>682</v>
      </c>
      <c r="G5" s="465">
        <v>7568</v>
      </c>
      <c r="H5" s="463" t="s">
        <v>683</v>
      </c>
      <c r="I5" s="466" t="s">
        <v>684</v>
      </c>
      <c r="J5" s="465">
        <v>2496</v>
      </c>
      <c r="K5" s="465">
        <f>SUM(J5,G5)</f>
        <v>10064</v>
      </c>
    </row>
    <row r="6" spans="1:11" ht="33.75" customHeight="1" x14ac:dyDescent="0.3">
      <c r="A6" s="892" t="s">
        <v>13</v>
      </c>
      <c r="B6" s="894" t="s">
        <v>685</v>
      </c>
      <c r="C6" s="896"/>
      <c r="D6" s="896"/>
      <c r="E6" s="467" t="s">
        <v>686</v>
      </c>
      <c r="F6" s="464">
        <v>50</v>
      </c>
      <c r="G6" s="465">
        <v>1651</v>
      </c>
      <c r="H6" s="468"/>
      <c r="I6" s="468"/>
      <c r="J6" s="469"/>
      <c r="K6" s="465">
        <f>SUM(G6:J6)</f>
        <v>1651</v>
      </c>
    </row>
    <row r="7" spans="1:11" ht="33.75" customHeight="1" x14ac:dyDescent="0.3">
      <c r="A7" s="893"/>
      <c r="B7" s="895"/>
      <c r="C7" s="897"/>
      <c r="D7" s="897"/>
      <c r="E7" s="467" t="s">
        <v>687</v>
      </c>
      <c r="F7" s="464">
        <v>50</v>
      </c>
      <c r="G7" s="465">
        <v>7824</v>
      </c>
      <c r="H7" s="468"/>
      <c r="I7" s="468"/>
      <c r="J7" s="469"/>
      <c r="K7" s="465">
        <f t="shared" ref="K7:K8" si="0">SUM(G7:J7)</f>
        <v>7824</v>
      </c>
    </row>
    <row r="8" spans="1:11" ht="33.75" customHeight="1" x14ac:dyDescent="0.3">
      <c r="A8" s="893"/>
      <c r="B8" s="895"/>
      <c r="C8" s="897"/>
      <c r="D8" s="897"/>
      <c r="E8" s="467" t="s">
        <v>688</v>
      </c>
      <c r="F8" s="464">
        <v>50</v>
      </c>
      <c r="G8" s="465">
        <v>644</v>
      </c>
      <c r="H8" s="468"/>
      <c r="I8" s="468"/>
      <c r="J8" s="469"/>
      <c r="K8" s="465">
        <f t="shared" si="0"/>
        <v>644</v>
      </c>
    </row>
    <row r="9" spans="1:11" ht="36.75" customHeight="1" x14ac:dyDescent="0.3">
      <c r="A9" s="461" t="s">
        <v>16</v>
      </c>
      <c r="B9" s="470" t="s">
        <v>689</v>
      </c>
      <c r="C9" s="461"/>
      <c r="D9" s="461"/>
      <c r="E9" s="471" t="s">
        <v>690</v>
      </c>
      <c r="F9" s="464">
        <v>25</v>
      </c>
      <c r="G9" s="465">
        <v>2937</v>
      </c>
      <c r="H9" s="471" t="s">
        <v>691</v>
      </c>
      <c r="I9" s="463" t="s">
        <v>692</v>
      </c>
      <c r="J9" s="465">
        <v>3000</v>
      </c>
      <c r="K9" s="465">
        <f>SUM(G9+J9)</f>
        <v>5937</v>
      </c>
    </row>
    <row r="10" spans="1:11" ht="27" customHeight="1" x14ac:dyDescent="0.3">
      <c r="A10" s="472"/>
      <c r="B10" s="472" t="s">
        <v>535</v>
      </c>
      <c r="C10" s="472"/>
      <c r="D10" s="472"/>
      <c r="E10" s="472"/>
      <c r="F10" s="472"/>
      <c r="G10" s="473">
        <f>SUM(G5:G9)</f>
        <v>20624</v>
      </c>
      <c r="H10" s="474"/>
      <c r="I10" s="474"/>
      <c r="J10" s="473">
        <f>SUM(J5:J9)</f>
        <v>5496</v>
      </c>
      <c r="K10" s="473">
        <f>SUM(K5:K9)</f>
        <v>26120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dőlt"&amp;11 13. melléklet a 4/2018. (III.19.)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view="pageLayout" zoomScaleNormal="100" workbookViewId="0">
      <selection activeCell="G2" sqref="G2"/>
    </sheetView>
  </sheetViews>
  <sheetFormatPr defaultRowHeight="13" x14ac:dyDescent="0.3"/>
  <cols>
    <col min="1" max="1" width="6.19921875" customWidth="1"/>
    <col min="2" max="2" width="21.69921875" customWidth="1"/>
    <col min="3" max="3" width="16.296875" customWidth="1"/>
    <col min="4" max="4" width="17.5" customWidth="1"/>
    <col min="5" max="5" width="18.69921875" customWidth="1"/>
    <col min="6" max="8" width="16.296875" customWidth="1"/>
  </cols>
  <sheetData>
    <row r="1" spans="1:8" ht="41.25" customHeight="1" x14ac:dyDescent="0.3">
      <c r="A1" s="902" t="s">
        <v>587</v>
      </c>
      <c r="B1" s="903"/>
      <c r="C1" s="903"/>
      <c r="D1" s="903"/>
      <c r="E1" s="903"/>
      <c r="F1" s="903"/>
      <c r="G1" s="903"/>
      <c r="H1" s="903"/>
    </row>
    <row r="2" spans="1:8" ht="12.75" customHeight="1" x14ac:dyDescent="0.3">
      <c r="A2" s="144"/>
      <c r="B2" s="145"/>
      <c r="C2" s="145"/>
      <c r="D2" s="145"/>
      <c r="E2" s="145"/>
      <c r="F2" s="145"/>
      <c r="G2" s="145"/>
      <c r="H2" s="146" t="s">
        <v>582</v>
      </c>
    </row>
    <row r="3" spans="1:8" ht="57" customHeight="1" x14ac:dyDescent="0.3">
      <c r="A3" s="190" t="s">
        <v>404</v>
      </c>
      <c r="B3" s="191" t="s">
        <v>583</v>
      </c>
      <c r="C3" s="191" t="s">
        <v>588</v>
      </c>
      <c r="D3" s="191" t="s">
        <v>584</v>
      </c>
      <c r="E3" s="191" t="s">
        <v>585</v>
      </c>
      <c r="F3" s="191" t="s">
        <v>586</v>
      </c>
      <c r="G3" s="191" t="s">
        <v>589</v>
      </c>
      <c r="H3" s="192" t="s">
        <v>405</v>
      </c>
    </row>
    <row r="4" spans="1:8" ht="48" customHeight="1" x14ac:dyDescent="0.3">
      <c r="A4" s="182" t="s">
        <v>10</v>
      </c>
      <c r="B4" s="183" t="s">
        <v>427</v>
      </c>
      <c r="C4" s="193"/>
      <c r="D4" s="193">
        <v>6.75</v>
      </c>
      <c r="E4" s="193">
        <v>0</v>
      </c>
      <c r="F4" s="193"/>
      <c r="G4" s="193">
        <v>3</v>
      </c>
      <c r="H4" s="195">
        <f>SUM(C4:G4)</f>
        <v>9.75</v>
      </c>
    </row>
    <row r="5" spans="1:8" ht="48" customHeight="1" x14ac:dyDescent="0.3">
      <c r="A5" s="184" t="s">
        <v>13</v>
      </c>
      <c r="B5" s="185" t="s">
        <v>400</v>
      </c>
      <c r="C5" s="194">
        <v>50</v>
      </c>
      <c r="D5" s="194"/>
      <c r="E5" s="194"/>
      <c r="F5" s="194">
        <v>7</v>
      </c>
      <c r="G5" s="194"/>
      <c r="H5" s="196">
        <f>SUM(C5:G5)</f>
        <v>57</v>
      </c>
    </row>
    <row r="6" spans="1:8" ht="48" customHeight="1" x14ac:dyDescent="0.3">
      <c r="A6" s="186" t="s">
        <v>16</v>
      </c>
      <c r="B6" s="187" t="s">
        <v>381</v>
      </c>
      <c r="C6" s="197"/>
      <c r="D6" s="198"/>
      <c r="E6" s="198"/>
      <c r="F6" s="198">
        <v>5</v>
      </c>
      <c r="G6" s="198">
        <v>207</v>
      </c>
      <c r="H6" s="195">
        <f>SUM(C6:G6)</f>
        <v>212</v>
      </c>
    </row>
    <row r="7" spans="1:8" ht="48" customHeight="1" x14ac:dyDescent="0.3">
      <c r="A7" s="188"/>
      <c r="B7" s="189" t="s">
        <v>405</v>
      </c>
      <c r="C7" s="199">
        <f>SUM(C4:C6)</f>
        <v>50</v>
      </c>
      <c r="D7" s="199">
        <f t="shared" ref="D7:G7" si="0">SUM(D4:D6)</f>
        <v>6.75</v>
      </c>
      <c r="E7" s="199">
        <f t="shared" si="0"/>
        <v>0</v>
      </c>
      <c r="F7" s="199">
        <f t="shared" si="0"/>
        <v>12</v>
      </c>
      <c r="G7" s="199">
        <f t="shared" si="0"/>
        <v>210</v>
      </c>
      <c r="H7" s="200">
        <f>SUM(H4:H6)</f>
        <v>278.75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4/2018. (III.19.)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view="pageLayout" zoomScaleNormal="100" workbookViewId="0">
      <selection activeCell="D4" sqref="D4"/>
    </sheetView>
  </sheetViews>
  <sheetFormatPr defaultColWidth="9.296875" defaultRowHeight="14" x14ac:dyDescent="0.3"/>
  <cols>
    <col min="1" max="1" width="11.5" style="124" customWidth="1"/>
    <col min="2" max="2" width="59.5" style="123" customWidth="1"/>
    <col min="3" max="3" width="23.69921875" style="136" customWidth="1"/>
    <col min="4" max="6" width="17.796875" style="123" customWidth="1"/>
    <col min="7" max="8" width="19" style="123" customWidth="1"/>
    <col min="9" max="16384" width="9.296875" style="123"/>
  </cols>
  <sheetData>
    <row r="1" spans="1:5" ht="42" customHeight="1" x14ac:dyDescent="0.3">
      <c r="A1" s="904" t="s">
        <v>624</v>
      </c>
      <c r="B1" s="905"/>
      <c r="C1" s="905"/>
    </row>
    <row r="2" spans="1:5" ht="15" customHeight="1" x14ac:dyDescent="0.3">
      <c r="C2" s="125"/>
    </row>
    <row r="3" spans="1:5" s="126" customFormat="1" ht="25.5" customHeight="1" x14ac:dyDescent="0.3">
      <c r="A3" s="906" t="s">
        <v>553</v>
      </c>
      <c r="B3" s="906"/>
      <c r="C3" s="906"/>
    </row>
    <row r="4" spans="1:5" x14ac:dyDescent="0.3">
      <c r="A4" s="127"/>
      <c r="B4" s="128"/>
      <c r="C4" s="129" t="s">
        <v>1</v>
      </c>
    </row>
    <row r="5" spans="1:5" s="130" customFormat="1" ht="27.75" customHeight="1" x14ac:dyDescent="0.3">
      <c r="A5" s="475" t="s">
        <v>555</v>
      </c>
      <c r="B5" s="475" t="s">
        <v>556</v>
      </c>
      <c r="C5" s="476" t="s">
        <v>561</v>
      </c>
    </row>
    <row r="6" spans="1:5" ht="34.5" customHeight="1" x14ac:dyDescent="0.3">
      <c r="A6" s="477" t="s">
        <v>10</v>
      </c>
      <c r="B6" s="478" t="s">
        <v>557</v>
      </c>
      <c r="C6" s="479">
        <v>20000000</v>
      </c>
    </row>
    <row r="7" spans="1:5" ht="25.5" customHeight="1" x14ac:dyDescent="0.3">
      <c r="A7" s="477" t="s">
        <v>13</v>
      </c>
      <c r="B7" s="480" t="s">
        <v>558</v>
      </c>
      <c r="C7" s="479">
        <v>77973671</v>
      </c>
    </row>
    <row r="8" spans="1:5" s="131" customFormat="1" ht="25.5" customHeight="1" x14ac:dyDescent="0.3">
      <c r="A8" s="475" t="s">
        <v>16</v>
      </c>
      <c r="B8" s="481" t="s">
        <v>405</v>
      </c>
      <c r="C8" s="482">
        <f>SUM(C6:C7)</f>
        <v>97973671</v>
      </c>
    </row>
    <row r="10" spans="1:5" s="126" customFormat="1" ht="25.5" customHeight="1" x14ac:dyDescent="0.3">
      <c r="A10" s="906" t="s">
        <v>559</v>
      </c>
      <c r="B10" s="906"/>
      <c r="C10" s="906"/>
    </row>
    <row r="11" spans="1:5" x14ac:dyDescent="0.3">
      <c r="A11" s="127"/>
      <c r="B11" s="128"/>
      <c r="C11" s="132"/>
    </row>
    <row r="12" spans="1:5" s="130" customFormat="1" ht="27.75" customHeight="1" x14ac:dyDescent="0.3">
      <c r="A12" s="475" t="s">
        <v>555</v>
      </c>
      <c r="B12" s="475" t="s">
        <v>556</v>
      </c>
      <c r="C12" s="476" t="s">
        <v>561</v>
      </c>
    </row>
    <row r="13" spans="1:5" ht="50.25" customHeight="1" x14ac:dyDescent="0.3">
      <c r="A13" s="477" t="s">
        <v>10</v>
      </c>
      <c r="B13" s="483" t="s">
        <v>693</v>
      </c>
      <c r="C13" s="479">
        <v>17146343</v>
      </c>
      <c r="E13" s="133"/>
    </row>
    <row r="14" spans="1:5" ht="25.5" customHeight="1" x14ac:dyDescent="0.3">
      <c r="A14" s="475" t="s">
        <v>13</v>
      </c>
      <c r="B14" s="484" t="s">
        <v>405</v>
      </c>
      <c r="C14" s="485">
        <f>SUM(C13:C13)</f>
        <v>17146343</v>
      </c>
    </row>
    <row r="15" spans="1:5" ht="25.5" customHeight="1" x14ac:dyDescent="0.3">
      <c r="A15" s="475" t="s">
        <v>16</v>
      </c>
      <c r="B15" s="486" t="s">
        <v>560</v>
      </c>
      <c r="C15" s="485">
        <f>SUM(C8+C14)</f>
        <v>115120014</v>
      </c>
    </row>
    <row r="16" spans="1:5" ht="17.5" x14ac:dyDescent="0.35">
      <c r="A16" s="134"/>
      <c r="B16" s="135"/>
      <c r="C16" s="135"/>
      <c r="D16" s="135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4/2018.(III.19.)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view="pageLayout" zoomScaleNormal="100" workbookViewId="0">
      <selection activeCell="D4" sqref="D4"/>
    </sheetView>
  </sheetViews>
  <sheetFormatPr defaultRowHeight="15.5" x14ac:dyDescent="0.35"/>
  <cols>
    <col min="1" max="1" width="7" style="8" customWidth="1"/>
    <col min="2" max="2" width="58.69921875" style="8" customWidth="1"/>
    <col min="3" max="3" width="15.19921875" style="9" customWidth="1"/>
    <col min="4" max="6" width="15.19921875" style="8" customWidth="1"/>
    <col min="7" max="7" width="9" style="1" customWidth="1"/>
    <col min="8" max="9" width="9.296875" style="1"/>
    <col min="10" max="10" width="14.69921875" style="1" bestFit="1" customWidth="1"/>
    <col min="11" max="256" width="9.296875" style="1"/>
    <col min="257" max="257" width="7" style="1" customWidth="1"/>
    <col min="258" max="258" width="55.5" style="1" customWidth="1"/>
    <col min="259" max="262" width="12.69921875" style="1" customWidth="1"/>
    <col min="263" max="263" width="9" style="1" customWidth="1"/>
    <col min="264" max="512" width="9.296875" style="1"/>
    <col min="513" max="513" width="7" style="1" customWidth="1"/>
    <col min="514" max="514" width="55.5" style="1" customWidth="1"/>
    <col min="515" max="518" width="12.69921875" style="1" customWidth="1"/>
    <col min="519" max="519" width="9" style="1" customWidth="1"/>
    <col min="520" max="768" width="9.296875" style="1"/>
    <col min="769" max="769" width="7" style="1" customWidth="1"/>
    <col min="770" max="770" width="55.5" style="1" customWidth="1"/>
    <col min="771" max="774" width="12.69921875" style="1" customWidth="1"/>
    <col min="775" max="775" width="9" style="1" customWidth="1"/>
    <col min="776" max="1024" width="9.296875" style="1"/>
    <col min="1025" max="1025" width="7" style="1" customWidth="1"/>
    <col min="1026" max="1026" width="55.5" style="1" customWidth="1"/>
    <col min="1027" max="1030" width="12.69921875" style="1" customWidth="1"/>
    <col min="1031" max="1031" width="9" style="1" customWidth="1"/>
    <col min="1032" max="1280" width="9.296875" style="1"/>
    <col min="1281" max="1281" width="7" style="1" customWidth="1"/>
    <col min="1282" max="1282" width="55.5" style="1" customWidth="1"/>
    <col min="1283" max="1286" width="12.69921875" style="1" customWidth="1"/>
    <col min="1287" max="1287" width="9" style="1" customWidth="1"/>
    <col min="1288" max="1536" width="9.296875" style="1"/>
    <col min="1537" max="1537" width="7" style="1" customWidth="1"/>
    <col min="1538" max="1538" width="55.5" style="1" customWidth="1"/>
    <col min="1539" max="1542" width="12.69921875" style="1" customWidth="1"/>
    <col min="1543" max="1543" width="9" style="1" customWidth="1"/>
    <col min="1544" max="1792" width="9.296875" style="1"/>
    <col min="1793" max="1793" width="7" style="1" customWidth="1"/>
    <col min="1794" max="1794" width="55.5" style="1" customWidth="1"/>
    <col min="1795" max="1798" width="12.69921875" style="1" customWidth="1"/>
    <col min="1799" max="1799" width="9" style="1" customWidth="1"/>
    <col min="1800" max="2048" width="9.296875" style="1"/>
    <col min="2049" max="2049" width="7" style="1" customWidth="1"/>
    <col min="2050" max="2050" width="55.5" style="1" customWidth="1"/>
    <col min="2051" max="2054" width="12.69921875" style="1" customWidth="1"/>
    <col min="2055" max="2055" width="9" style="1" customWidth="1"/>
    <col min="2056" max="2304" width="9.296875" style="1"/>
    <col min="2305" max="2305" width="7" style="1" customWidth="1"/>
    <col min="2306" max="2306" width="55.5" style="1" customWidth="1"/>
    <col min="2307" max="2310" width="12.69921875" style="1" customWidth="1"/>
    <col min="2311" max="2311" width="9" style="1" customWidth="1"/>
    <col min="2312" max="2560" width="9.296875" style="1"/>
    <col min="2561" max="2561" width="7" style="1" customWidth="1"/>
    <col min="2562" max="2562" width="55.5" style="1" customWidth="1"/>
    <col min="2563" max="2566" width="12.69921875" style="1" customWidth="1"/>
    <col min="2567" max="2567" width="9" style="1" customWidth="1"/>
    <col min="2568" max="2816" width="9.296875" style="1"/>
    <col min="2817" max="2817" width="7" style="1" customWidth="1"/>
    <col min="2818" max="2818" width="55.5" style="1" customWidth="1"/>
    <col min="2819" max="2822" width="12.69921875" style="1" customWidth="1"/>
    <col min="2823" max="2823" width="9" style="1" customWidth="1"/>
    <col min="2824" max="3072" width="9.296875" style="1"/>
    <col min="3073" max="3073" width="7" style="1" customWidth="1"/>
    <col min="3074" max="3074" width="55.5" style="1" customWidth="1"/>
    <col min="3075" max="3078" width="12.69921875" style="1" customWidth="1"/>
    <col min="3079" max="3079" width="9" style="1" customWidth="1"/>
    <col min="3080" max="3328" width="9.296875" style="1"/>
    <col min="3329" max="3329" width="7" style="1" customWidth="1"/>
    <col min="3330" max="3330" width="55.5" style="1" customWidth="1"/>
    <col min="3331" max="3334" width="12.69921875" style="1" customWidth="1"/>
    <col min="3335" max="3335" width="9" style="1" customWidth="1"/>
    <col min="3336" max="3584" width="9.296875" style="1"/>
    <col min="3585" max="3585" width="7" style="1" customWidth="1"/>
    <col min="3586" max="3586" width="55.5" style="1" customWidth="1"/>
    <col min="3587" max="3590" width="12.69921875" style="1" customWidth="1"/>
    <col min="3591" max="3591" width="9" style="1" customWidth="1"/>
    <col min="3592" max="3840" width="9.296875" style="1"/>
    <col min="3841" max="3841" width="7" style="1" customWidth="1"/>
    <col min="3842" max="3842" width="55.5" style="1" customWidth="1"/>
    <col min="3843" max="3846" width="12.69921875" style="1" customWidth="1"/>
    <col min="3847" max="3847" width="9" style="1" customWidth="1"/>
    <col min="3848" max="4096" width="9.296875" style="1"/>
    <col min="4097" max="4097" width="7" style="1" customWidth="1"/>
    <col min="4098" max="4098" width="55.5" style="1" customWidth="1"/>
    <col min="4099" max="4102" width="12.69921875" style="1" customWidth="1"/>
    <col min="4103" max="4103" width="9" style="1" customWidth="1"/>
    <col min="4104" max="4352" width="9.296875" style="1"/>
    <col min="4353" max="4353" width="7" style="1" customWidth="1"/>
    <col min="4354" max="4354" width="55.5" style="1" customWidth="1"/>
    <col min="4355" max="4358" width="12.69921875" style="1" customWidth="1"/>
    <col min="4359" max="4359" width="9" style="1" customWidth="1"/>
    <col min="4360" max="4608" width="9.296875" style="1"/>
    <col min="4609" max="4609" width="7" style="1" customWidth="1"/>
    <col min="4610" max="4610" width="55.5" style="1" customWidth="1"/>
    <col min="4611" max="4614" width="12.69921875" style="1" customWidth="1"/>
    <col min="4615" max="4615" width="9" style="1" customWidth="1"/>
    <col min="4616" max="4864" width="9.296875" style="1"/>
    <col min="4865" max="4865" width="7" style="1" customWidth="1"/>
    <col min="4866" max="4866" width="55.5" style="1" customWidth="1"/>
    <col min="4867" max="4870" width="12.69921875" style="1" customWidth="1"/>
    <col min="4871" max="4871" width="9" style="1" customWidth="1"/>
    <col min="4872" max="5120" width="9.296875" style="1"/>
    <col min="5121" max="5121" width="7" style="1" customWidth="1"/>
    <col min="5122" max="5122" width="55.5" style="1" customWidth="1"/>
    <col min="5123" max="5126" width="12.69921875" style="1" customWidth="1"/>
    <col min="5127" max="5127" width="9" style="1" customWidth="1"/>
    <col min="5128" max="5376" width="9.296875" style="1"/>
    <col min="5377" max="5377" width="7" style="1" customWidth="1"/>
    <col min="5378" max="5378" width="55.5" style="1" customWidth="1"/>
    <col min="5379" max="5382" width="12.69921875" style="1" customWidth="1"/>
    <col min="5383" max="5383" width="9" style="1" customWidth="1"/>
    <col min="5384" max="5632" width="9.296875" style="1"/>
    <col min="5633" max="5633" width="7" style="1" customWidth="1"/>
    <col min="5634" max="5634" width="55.5" style="1" customWidth="1"/>
    <col min="5635" max="5638" width="12.69921875" style="1" customWidth="1"/>
    <col min="5639" max="5639" width="9" style="1" customWidth="1"/>
    <col min="5640" max="5888" width="9.296875" style="1"/>
    <col min="5889" max="5889" width="7" style="1" customWidth="1"/>
    <col min="5890" max="5890" width="55.5" style="1" customWidth="1"/>
    <col min="5891" max="5894" width="12.69921875" style="1" customWidth="1"/>
    <col min="5895" max="5895" width="9" style="1" customWidth="1"/>
    <col min="5896" max="6144" width="9.296875" style="1"/>
    <col min="6145" max="6145" width="7" style="1" customWidth="1"/>
    <col min="6146" max="6146" width="55.5" style="1" customWidth="1"/>
    <col min="6147" max="6150" width="12.69921875" style="1" customWidth="1"/>
    <col min="6151" max="6151" width="9" style="1" customWidth="1"/>
    <col min="6152" max="6400" width="9.296875" style="1"/>
    <col min="6401" max="6401" width="7" style="1" customWidth="1"/>
    <col min="6402" max="6402" width="55.5" style="1" customWidth="1"/>
    <col min="6403" max="6406" width="12.69921875" style="1" customWidth="1"/>
    <col min="6407" max="6407" width="9" style="1" customWidth="1"/>
    <col min="6408" max="6656" width="9.296875" style="1"/>
    <col min="6657" max="6657" width="7" style="1" customWidth="1"/>
    <col min="6658" max="6658" width="55.5" style="1" customWidth="1"/>
    <col min="6659" max="6662" width="12.69921875" style="1" customWidth="1"/>
    <col min="6663" max="6663" width="9" style="1" customWidth="1"/>
    <col min="6664" max="6912" width="9.296875" style="1"/>
    <col min="6913" max="6913" width="7" style="1" customWidth="1"/>
    <col min="6914" max="6914" width="55.5" style="1" customWidth="1"/>
    <col min="6915" max="6918" width="12.69921875" style="1" customWidth="1"/>
    <col min="6919" max="6919" width="9" style="1" customWidth="1"/>
    <col min="6920" max="7168" width="9.296875" style="1"/>
    <col min="7169" max="7169" width="7" style="1" customWidth="1"/>
    <col min="7170" max="7170" width="55.5" style="1" customWidth="1"/>
    <col min="7171" max="7174" width="12.69921875" style="1" customWidth="1"/>
    <col min="7175" max="7175" width="9" style="1" customWidth="1"/>
    <col min="7176" max="7424" width="9.296875" style="1"/>
    <col min="7425" max="7425" width="7" style="1" customWidth="1"/>
    <col min="7426" max="7426" width="55.5" style="1" customWidth="1"/>
    <col min="7427" max="7430" width="12.69921875" style="1" customWidth="1"/>
    <col min="7431" max="7431" width="9" style="1" customWidth="1"/>
    <col min="7432" max="7680" width="9.296875" style="1"/>
    <col min="7681" max="7681" width="7" style="1" customWidth="1"/>
    <col min="7682" max="7682" width="55.5" style="1" customWidth="1"/>
    <col min="7683" max="7686" width="12.69921875" style="1" customWidth="1"/>
    <col min="7687" max="7687" width="9" style="1" customWidth="1"/>
    <col min="7688" max="7936" width="9.296875" style="1"/>
    <col min="7937" max="7937" width="7" style="1" customWidth="1"/>
    <col min="7938" max="7938" width="55.5" style="1" customWidth="1"/>
    <col min="7939" max="7942" width="12.69921875" style="1" customWidth="1"/>
    <col min="7943" max="7943" width="9" style="1" customWidth="1"/>
    <col min="7944" max="8192" width="9.296875" style="1"/>
    <col min="8193" max="8193" width="7" style="1" customWidth="1"/>
    <col min="8194" max="8194" width="55.5" style="1" customWidth="1"/>
    <col min="8195" max="8198" width="12.69921875" style="1" customWidth="1"/>
    <col min="8199" max="8199" width="9" style="1" customWidth="1"/>
    <col min="8200" max="8448" width="9.296875" style="1"/>
    <col min="8449" max="8449" width="7" style="1" customWidth="1"/>
    <col min="8450" max="8450" width="55.5" style="1" customWidth="1"/>
    <col min="8451" max="8454" width="12.69921875" style="1" customWidth="1"/>
    <col min="8455" max="8455" width="9" style="1" customWidth="1"/>
    <col min="8456" max="8704" width="9.296875" style="1"/>
    <col min="8705" max="8705" width="7" style="1" customWidth="1"/>
    <col min="8706" max="8706" width="55.5" style="1" customWidth="1"/>
    <col min="8707" max="8710" width="12.69921875" style="1" customWidth="1"/>
    <col min="8711" max="8711" width="9" style="1" customWidth="1"/>
    <col min="8712" max="8960" width="9.296875" style="1"/>
    <col min="8961" max="8961" width="7" style="1" customWidth="1"/>
    <col min="8962" max="8962" width="55.5" style="1" customWidth="1"/>
    <col min="8963" max="8966" width="12.69921875" style="1" customWidth="1"/>
    <col min="8967" max="8967" width="9" style="1" customWidth="1"/>
    <col min="8968" max="9216" width="9.296875" style="1"/>
    <col min="9217" max="9217" width="7" style="1" customWidth="1"/>
    <col min="9218" max="9218" width="55.5" style="1" customWidth="1"/>
    <col min="9219" max="9222" width="12.69921875" style="1" customWidth="1"/>
    <col min="9223" max="9223" width="9" style="1" customWidth="1"/>
    <col min="9224" max="9472" width="9.296875" style="1"/>
    <col min="9473" max="9473" width="7" style="1" customWidth="1"/>
    <col min="9474" max="9474" width="55.5" style="1" customWidth="1"/>
    <col min="9475" max="9478" width="12.69921875" style="1" customWidth="1"/>
    <col min="9479" max="9479" width="9" style="1" customWidth="1"/>
    <col min="9480" max="9728" width="9.296875" style="1"/>
    <col min="9729" max="9729" width="7" style="1" customWidth="1"/>
    <col min="9730" max="9730" width="55.5" style="1" customWidth="1"/>
    <col min="9731" max="9734" width="12.69921875" style="1" customWidth="1"/>
    <col min="9735" max="9735" width="9" style="1" customWidth="1"/>
    <col min="9736" max="9984" width="9.296875" style="1"/>
    <col min="9985" max="9985" width="7" style="1" customWidth="1"/>
    <col min="9986" max="9986" width="55.5" style="1" customWidth="1"/>
    <col min="9987" max="9990" width="12.69921875" style="1" customWidth="1"/>
    <col min="9991" max="9991" width="9" style="1" customWidth="1"/>
    <col min="9992" max="10240" width="9.296875" style="1"/>
    <col min="10241" max="10241" width="7" style="1" customWidth="1"/>
    <col min="10242" max="10242" width="55.5" style="1" customWidth="1"/>
    <col min="10243" max="10246" width="12.69921875" style="1" customWidth="1"/>
    <col min="10247" max="10247" width="9" style="1" customWidth="1"/>
    <col min="10248" max="10496" width="9.296875" style="1"/>
    <col min="10497" max="10497" width="7" style="1" customWidth="1"/>
    <col min="10498" max="10498" width="55.5" style="1" customWidth="1"/>
    <col min="10499" max="10502" width="12.69921875" style="1" customWidth="1"/>
    <col min="10503" max="10503" width="9" style="1" customWidth="1"/>
    <col min="10504" max="10752" width="9.296875" style="1"/>
    <col min="10753" max="10753" width="7" style="1" customWidth="1"/>
    <col min="10754" max="10754" width="55.5" style="1" customWidth="1"/>
    <col min="10755" max="10758" width="12.69921875" style="1" customWidth="1"/>
    <col min="10759" max="10759" width="9" style="1" customWidth="1"/>
    <col min="10760" max="11008" width="9.296875" style="1"/>
    <col min="11009" max="11009" width="7" style="1" customWidth="1"/>
    <col min="11010" max="11010" width="55.5" style="1" customWidth="1"/>
    <col min="11011" max="11014" width="12.69921875" style="1" customWidth="1"/>
    <col min="11015" max="11015" width="9" style="1" customWidth="1"/>
    <col min="11016" max="11264" width="9.296875" style="1"/>
    <col min="11265" max="11265" width="7" style="1" customWidth="1"/>
    <col min="11266" max="11266" width="55.5" style="1" customWidth="1"/>
    <col min="11267" max="11270" width="12.69921875" style="1" customWidth="1"/>
    <col min="11271" max="11271" width="9" style="1" customWidth="1"/>
    <col min="11272" max="11520" width="9.296875" style="1"/>
    <col min="11521" max="11521" width="7" style="1" customWidth="1"/>
    <col min="11522" max="11522" width="55.5" style="1" customWidth="1"/>
    <col min="11523" max="11526" width="12.69921875" style="1" customWidth="1"/>
    <col min="11527" max="11527" width="9" style="1" customWidth="1"/>
    <col min="11528" max="11776" width="9.296875" style="1"/>
    <col min="11777" max="11777" width="7" style="1" customWidth="1"/>
    <col min="11778" max="11778" width="55.5" style="1" customWidth="1"/>
    <col min="11779" max="11782" width="12.69921875" style="1" customWidth="1"/>
    <col min="11783" max="11783" width="9" style="1" customWidth="1"/>
    <col min="11784" max="12032" width="9.296875" style="1"/>
    <col min="12033" max="12033" width="7" style="1" customWidth="1"/>
    <col min="12034" max="12034" width="55.5" style="1" customWidth="1"/>
    <col min="12035" max="12038" width="12.69921875" style="1" customWidth="1"/>
    <col min="12039" max="12039" width="9" style="1" customWidth="1"/>
    <col min="12040" max="12288" width="9.296875" style="1"/>
    <col min="12289" max="12289" width="7" style="1" customWidth="1"/>
    <col min="12290" max="12290" width="55.5" style="1" customWidth="1"/>
    <col min="12291" max="12294" width="12.69921875" style="1" customWidth="1"/>
    <col min="12295" max="12295" width="9" style="1" customWidth="1"/>
    <col min="12296" max="12544" width="9.296875" style="1"/>
    <col min="12545" max="12545" width="7" style="1" customWidth="1"/>
    <col min="12546" max="12546" width="55.5" style="1" customWidth="1"/>
    <col min="12547" max="12550" width="12.69921875" style="1" customWidth="1"/>
    <col min="12551" max="12551" width="9" style="1" customWidth="1"/>
    <col min="12552" max="12800" width="9.296875" style="1"/>
    <col min="12801" max="12801" width="7" style="1" customWidth="1"/>
    <col min="12802" max="12802" width="55.5" style="1" customWidth="1"/>
    <col min="12803" max="12806" width="12.69921875" style="1" customWidth="1"/>
    <col min="12807" max="12807" width="9" style="1" customWidth="1"/>
    <col min="12808" max="13056" width="9.296875" style="1"/>
    <col min="13057" max="13057" width="7" style="1" customWidth="1"/>
    <col min="13058" max="13058" width="55.5" style="1" customWidth="1"/>
    <col min="13059" max="13062" width="12.69921875" style="1" customWidth="1"/>
    <col min="13063" max="13063" width="9" style="1" customWidth="1"/>
    <col min="13064" max="13312" width="9.296875" style="1"/>
    <col min="13313" max="13313" width="7" style="1" customWidth="1"/>
    <col min="13314" max="13314" width="55.5" style="1" customWidth="1"/>
    <col min="13315" max="13318" width="12.69921875" style="1" customWidth="1"/>
    <col min="13319" max="13319" width="9" style="1" customWidth="1"/>
    <col min="13320" max="13568" width="9.296875" style="1"/>
    <col min="13569" max="13569" width="7" style="1" customWidth="1"/>
    <col min="13570" max="13570" width="55.5" style="1" customWidth="1"/>
    <col min="13571" max="13574" width="12.69921875" style="1" customWidth="1"/>
    <col min="13575" max="13575" width="9" style="1" customWidth="1"/>
    <col min="13576" max="13824" width="9.296875" style="1"/>
    <col min="13825" max="13825" width="7" style="1" customWidth="1"/>
    <col min="13826" max="13826" width="55.5" style="1" customWidth="1"/>
    <col min="13827" max="13830" width="12.69921875" style="1" customWidth="1"/>
    <col min="13831" max="13831" width="9" style="1" customWidth="1"/>
    <col min="13832" max="14080" width="9.296875" style="1"/>
    <col min="14081" max="14081" width="7" style="1" customWidth="1"/>
    <col min="14082" max="14082" width="55.5" style="1" customWidth="1"/>
    <col min="14083" max="14086" width="12.69921875" style="1" customWidth="1"/>
    <col min="14087" max="14087" width="9" style="1" customWidth="1"/>
    <col min="14088" max="14336" width="9.296875" style="1"/>
    <col min="14337" max="14337" width="7" style="1" customWidth="1"/>
    <col min="14338" max="14338" width="55.5" style="1" customWidth="1"/>
    <col min="14339" max="14342" width="12.69921875" style="1" customWidth="1"/>
    <col min="14343" max="14343" width="9" style="1" customWidth="1"/>
    <col min="14344" max="14592" width="9.296875" style="1"/>
    <col min="14593" max="14593" width="7" style="1" customWidth="1"/>
    <col min="14594" max="14594" width="55.5" style="1" customWidth="1"/>
    <col min="14595" max="14598" width="12.69921875" style="1" customWidth="1"/>
    <col min="14599" max="14599" width="9" style="1" customWidth="1"/>
    <col min="14600" max="14848" width="9.296875" style="1"/>
    <col min="14849" max="14849" width="7" style="1" customWidth="1"/>
    <col min="14850" max="14850" width="55.5" style="1" customWidth="1"/>
    <col min="14851" max="14854" width="12.69921875" style="1" customWidth="1"/>
    <col min="14855" max="14855" width="9" style="1" customWidth="1"/>
    <col min="14856" max="15104" width="9.296875" style="1"/>
    <col min="15105" max="15105" width="7" style="1" customWidth="1"/>
    <col min="15106" max="15106" width="55.5" style="1" customWidth="1"/>
    <col min="15107" max="15110" width="12.69921875" style="1" customWidth="1"/>
    <col min="15111" max="15111" width="9" style="1" customWidth="1"/>
    <col min="15112" max="15360" width="9.296875" style="1"/>
    <col min="15361" max="15361" width="7" style="1" customWidth="1"/>
    <col min="15362" max="15362" width="55.5" style="1" customWidth="1"/>
    <col min="15363" max="15366" width="12.69921875" style="1" customWidth="1"/>
    <col min="15367" max="15367" width="9" style="1" customWidth="1"/>
    <col min="15368" max="15616" width="9.296875" style="1"/>
    <col min="15617" max="15617" width="7" style="1" customWidth="1"/>
    <col min="15618" max="15618" width="55.5" style="1" customWidth="1"/>
    <col min="15619" max="15622" width="12.69921875" style="1" customWidth="1"/>
    <col min="15623" max="15623" width="9" style="1" customWidth="1"/>
    <col min="15624" max="15872" width="9.296875" style="1"/>
    <col min="15873" max="15873" width="7" style="1" customWidth="1"/>
    <col min="15874" max="15874" width="55.5" style="1" customWidth="1"/>
    <col min="15875" max="15878" width="12.69921875" style="1" customWidth="1"/>
    <col min="15879" max="15879" width="9" style="1" customWidth="1"/>
    <col min="15880" max="16128" width="9.296875" style="1"/>
    <col min="16129" max="16129" width="7" style="1" customWidth="1"/>
    <col min="16130" max="16130" width="55.5" style="1" customWidth="1"/>
    <col min="16131" max="16134" width="12.69921875" style="1" customWidth="1"/>
    <col min="16135" max="16135" width="9" style="1" customWidth="1"/>
    <col min="16136" max="16384" width="9.296875" style="1"/>
  </cols>
  <sheetData>
    <row r="1" spans="1:6" ht="40.5" customHeight="1" x14ac:dyDescent="0.35">
      <c r="A1" s="907" t="s">
        <v>611</v>
      </c>
      <c r="B1" s="908"/>
      <c r="C1" s="908"/>
      <c r="D1" s="908"/>
      <c r="E1" s="908"/>
      <c r="F1" s="908"/>
    </row>
    <row r="3" spans="1:6" ht="16" customHeight="1" x14ac:dyDescent="0.35">
      <c r="A3" s="828" t="s">
        <v>562</v>
      </c>
      <c r="B3" s="828"/>
      <c r="C3" s="828"/>
      <c r="D3" s="828"/>
      <c r="E3" s="828"/>
      <c r="F3" s="828"/>
    </row>
    <row r="4" spans="1:6" ht="16" customHeight="1" x14ac:dyDescent="0.35">
      <c r="A4" s="827"/>
      <c r="B4" s="827"/>
      <c r="D4" s="104"/>
      <c r="E4" s="104"/>
      <c r="F4" s="3" t="s">
        <v>1</v>
      </c>
    </row>
    <row r="5" spans="1:6" ht="31.5" customHeight="1" x14ac:dyDescent="0.35">
      <c r="A5" s="88" t="s">
        <v>2</v>
      </c>
      <c r="B5" s="88" t="s">
        <v>3</v>
      </c>
      <c r="C5" s="88" t="s">
        <v>563</v>
      </c>
      <c r="D5" s="88" t="s">
        <v>564</v>
      </c>
      <c r="E5" s="88" t="s">
        <v>565</v>
      </c>
      <c r="F5" s="88" t="s">
        <v>566</v>
      </c>
    </row>
    <row r="6" spans="1:6" s="4" customFormat="1" ht="12" customHeight="1" x14ac:dyDescent="0.25">
      <c r="A6" s="487" t="s">
        <v>6</v>
      </c>
      <c r="B6" s="487" t="s">
        <v>7</v>
      </c>
      <c r="C6" s="487" t="s">
        <v>8</v>
      </c>
      <c r="D6" s="487" t="s">
        <v>9</v>
      </c>
      <c r="E6" s="487" t="s">
        <v>269</v>
      </c>
      <c r="F6" s="487" t="s">
        <v>472</v>
      </c>
    </row>
    <row r="7" spans="1:6" s="215" customFormat="1" ht="23.25" customHeight="1" x14ac:dyDescent="0.3">
      <c r="A7" s="488" t="s">
        <v>10</v>
      </c>
      <c r="B7" s="489" t="s">
        <v>567</v>
      </c>
      <c r="C7" s="490">
        <v>1336669690</v>
      </c>
      <c r="D7" s="490">
        <v>1050000000</v>
      </c>
      <c r="E7" s="490">
        <f t="shared" ref="E7" si="0">D7*110%</f>
        <v>1155000000</v>
      </c>
      <c r="F7" s="490">
        <v>1160000000</v>
      </c>
    </row>
    <row r="8" spans="1:6" s="215" customFormat="1" ht="23.25" customHeight="1" x14ac:dyDescent="0.3">
      <c r="A8" s="488" t="s">
        <v>13</v>
      </c>
      <c r="B8" s="491" t="s">
        <v>568</v>
      </c>
      <c r="C8" s="490">
        <v>2590419970</v>
      </c>
      <c r="D8" s="490"/>
      <c r="E8" s="490"/>
      <c r="F8" s="490"/>
    </row>
    <row r="9" spans="1:6" s="215" customFormat="1" ht="23.25" customHeight="1" x14ac:dyDescent="0.3">
      <c r="A9" s="488" t="s">
        <v>16</v>
      </c>
      <c r="B9" s="491" t="s">
        <v>108</v>
      </c>
      <c r="C9" s="490">
        <v>804522844</v>
      </c>
      <c r="D9" s="490">
        <v>780000000</v>
      </c>
      <c r="E9" s="490">
        <v>780000000</v>
      </c>
      <c r="F9" s="490">
        <v>800000000</v>
      </c>
    </row>
    <row r="10" spans="1:6" s="215" customFormat="1" ht="23.25" customHeight="1" x14ac:dyDescent="0.3">
      <c r="A10" s="488" t="s">
        <v>19</v>
      </c>
      <c r="B10" s="491" t="s">
        <v>569</v>
      </c>
      <c r="C10" s="490">
        <v>189878025</v>
      </c>
      <c r="D10" s="490">
        <v>190000000</v>
      </c>
      <c r="E10" s="490">
        <v>193000000</v>
      </c>
      <c r="F10" s="490">
        <v>198000000</v>
      </c>
    </row>
    <row r="11" spans="1:6" s="215" customFormat="1" ht="23.25" customHeight="1" x14ac:dyDescent="0.3">
      <c r="A11" s="488" t="s">
        <v>22</v>
      </c>
      <c r="B11" s="491" t="s">
        <v>453</v>
      </c>
      <c r="C11" s="490">
        <v>19544321</v>
      </c>
      <c r="D11" s="490">
        <v>900030</v>
      </c>
      <c r="E11" s="490"/>
      <c r="F11" s="490"/>
    </row>
    <row r="12" spans="1:6" s="215" customFormat="1" ht="23.25" customHeight="1" x14ac:dyDescent="0.3">
      <c r="A12" s="488" t="s">
        <v>25</v>
      </c>
      <c r="B12" s="491" t="s">
        <v>570</v>
      </c>
      <c r="C12" s="490">
        <v>2358497</v>
      </c>
      <c r="D12" s="490"/>
      <c r="E12" s="490"/>
      <c r="F12" s="490"/>
    </row>
    <row r="13" spans="1:6" s="215" customFormat="1" ht="23.25" customHeight="1" x14ac:dyDescent="0.3">
      <c r="A13" s="488" t="s">
        <v>28</v>
      </c>
      <c r="B13" s="489" t="s">
        <v>571</v>
      </c>
      <c r="C13" s="490">
        <v>1311275</v>
      </c>
      <c r="D13" s="490"/>
      <c r="E13" s="490"/>
      <c r="F13" s="490"/>
    </row>
    <row r="14" spans="1:6" s="215" customFormat="1" ht="14" x14ac:dyDescent="0.3">
      <c r="A14" s="488" t="s">
        <v>31</v>
      </c>
      <c r="B14" s="491" t="s">
        <v>726</v>
      </c>
      <c r="C14" s="492">
        <f>SUM(C7:C13)</f>
        <v>4944704622</v>
      </c>
      <c r="D14" s="492">
        <f>SUM(D7:D13)</f>
        <v>2020900030</v>
      </c>
      <c r="E14" s="492">
        <f>SUM(E7:E13)</f>
        <v>2128000000</v>
      </c>
      <c r="F14" s="492">
        <f>SUM(F7:F13)</f>
        <v>2158000000</v>
      </c>
    </row>
    <row r="15" spans="1:6" s="215" customFormat="1" ht="23.25" customHeight="1" x14ac:dyDescent="0.3">
      <c r="A15" s="488" t="s">
        <v>34</v>
      </c>
      <c r="B15" s="491" t="s">
        <v>572</v>
      </c>
      <c r="C15" s="493">
        <v>443316718</v>
      </c>
      <c r="D15" s="493">
        <v>80000000</v>
      </c>
      <c r="E15" s="493">
        <v>10000000</v>
      </c>
      <c r="F15" s="493">
        <v>10000000</v>
      </c>
    </row>
    <row r="16" spans="1:6" s="5" customFormat="1" ht="27" customHeight="1" x14ac:dyDescent="0.3">
      <c r="A16" s="88" t="s">
        <v>37</v>
      </c>
      <c r="B16" s="95" t="s">
        <v>573</v>
      </c>
      <c r="C16" s="96">
        <f>+C14+C15</f>
        <v>5388021340</v>
      </c>
      <c r="D16" s="96">
        <f>+D14+D15</f>
        <v>2100900030</v>
      </c>
      <c r="E16" s="96">
        <f>+E14+E15</f>
        <v>2138000000</v>
      </c>
      <c r="F16" s="96">
        <f>+F14+F15</f>
        <v>2168000000</v>
      </c>
    </row>
    <row r="17" spans="1:7" s="5" customFormat="1" ht="12" customHeight="1" x14ac:dyDescent="0.3">
      <c r="A17" s="138"/>
      <c r="B17" s="139"/>
      <c r="C17" s="140"/>
      <c r="D17" s="141"/>
      <c r="E17" s="141"/>
      <c r="F17" s="142"/>
    </row>
    <row r="18" spans="1:7" s="5" customFormat="1" ht="24" customHeight="1" x14ac:dyDescent="0.3">
      <c r="A18" s="828" t="s">
        <v>508</v>
      </c>
      <c r="B18" s="828"/>
      <c r="C18" s="828"/>
      <c r="D18" s="828"/>
      <c r="E18" s="828"/>
      <c r="F18" s="828"/>
    </row>
    <row r="19" spans="1:7" s="5" customFormat="1" ht="12" customHeight="1" x14ac:dyDescent="0.3">
      <c r="A19" s="909"/>
      <c r="B19" s="909"/>
      <c r="C19" s="9"/>
      <c r="D19" s="104"/>
      <c r="E19" s="104"/>
      <c r="F19" s="3" t="s">
        <v>420</v>
      </c>
    </row>
    <row r="20" spans="1:7" s="5" customFormat="1" ht="31.5" customHeight="1" x14ac:dyDescent="0.3">
      <c r="A20" s="88" t="s">
        <v>2</v>
      </c>
      <c r="B20" s="88" t="s">
        <v>3</v>
      </c>
      <c r="C20" s="88" t="s">
        <v>563</v>
      </c>
      <c r="D20" s="88" t="s">
        <v>564</v>
      </c>
      <c r="E20" s="88" t="s">
        <v>565</v>
      </c>
      <c r="F20" s="88" t="s">
        <v>566</v>
      </c>
      <c r="G20" s="143"/>
    </row>
    <row r="21" spans="1:7" s="5" customFormat="1" ht="12" customHeight="1" x14ac:dyDescent="0.3">
      <c r="A21" s="487" t="s">
        <v>6</v>
      </c>
      <c r="B21" s="487" t="s">
        <v>7</v>
      </c>
      <c r="C21" s="487" t="s">
        <v>8</v>
      </c>
      <c r="D21" s="487" t="s">
        <v>9</v>
      </c>
      <c r="E21" s="487" t="s">
        <v>269</v>
      </c>
      <c r="F21" s="487" t="s">
        <v>472</v>
      </c>
      <c r="G21" s="143"/>
    </row>
    <row r="22" spans="1:7" s="5" customFormat="1" ht="23.25" customHeight="1" x14ac:dyDescent="0.3">
      <c r="A22" s="314" t="s">
        <v>10</v>
      </c>
      <c r="B22" s="494" t="s">
        <v>574</v>
      </c>
      <c r="C22" s="275">
        <v>4095705652</v>
      </c>
      <c r="D22" s="275">
        <v>2050521569</v>
      </c>
      <c r="E22" s="275">
        <v>2086215320</v>
      </c>
      <c r="F22" s="275">
        <v>2128000000</v>
      </c>
      <c r="G22" s="143"/>
    </row>
    <row r="23" spans="1:7" ht="23.25" customHeight="1" x14ac:dyDescent="0.35">
      <c r="A23" s="314" t="s">
        <v>13</v>
      </c>
      <c r="B23" s="440" t="s">
        <v>575</v>
      </c>
      <c r="C23" s="287">
        <f>+C24+C25+C26</f>
        <v>1234852850</v>
      </c>
      <c r="D23" s="287">
        <f>+D24+D25+D26</f>
        <v>25000000</v>
      </c>
      <c r="E23" s="287">
        <f>+E24+E25+E26</f>
        <v>50000000</v>
      </c>
      <c r="F23" s="287">
        <f>+F24+F25+F26</f>
        <v>40000000</v>
      </c>
    </row>
    <row r="24" spans="1:7" ht="23.25" customHeight="1" x14ac:dyDescent="0.35">
      <c r="A24" s="297" t="s">
        <v>576</v>
      </c>
      <c r="B24" s="314" t="s">
        <v>231</v>
      </c>
      <c r="C24" s="275">
        <v>1031172805</v>
      </c>
      <c r="D24" s="275">
        <v>10000000</v>
      </c>
      <c r="E24" s="275">
        <v>20000000</v>
      </c>
      <c r="F24" s="275">
        <v>20000000</v>
      </c>
    </row>
    <row r="25" spans="1:7" ht="23.25" customHeight="1" x14ac:dyDescent="0.35">
      <c r="A25" s="297" t="s">
        <v>577</v>
      </c>
      <c r="B25" s="314" t="s">
        <v>233</v>
      </c>
      <c r="C25" s="275">
        <v>180949397</v>
      </c>
      <c r="D25" s="275">
        <v>10000000</v>
      </c>
      <c r="E25" s="275">
        <v>25000000</v>
      </c>
      <c r="F25" s="275">
        <v>15000000</v>
      </c>
    </row>
    <row r="26" spans="1:7" ht="23.25" customHeight="1" x14ac:dyDescent="0.35">
      <c r="A26" s="297" t="s">
        <v>578</v>
      </c>
      <c r="B26" s="495" t="s">
        <v>235</v>
      </c>
      <c r="C26" s="275">
        <v>22730648</v>
      </c>
      <c r="D26" s="275">
        <v>5000000</v>
      </c>
      <c r="E26" s="275">
        <v>5000000</v>
      </c>
      <c r="F26" s="275">
        <v>5000000</v>
      </c>
    </row>
    <row r="27" spans="1:7" ht="23.25" customHeight="1" x14ac:dyDescent="0.35">
      <c r="A27" s="314" t="s">
        <v>16</v>
      </c>
      <c r="B27" s="442" t="s">
        <v>579</v>
      </c>
      <c r="C27" s="299">
        <f>+C22+C23</f>
        <v>5330558502</v>
      </c>
      <c r="D27" s="299">
        <f>+D22+D23</f>
        <v>2075521569</v>
      </c>
      <c r="E27" s="299">
        <f>+E22+E23</f>
        <v>2136215320</v>
      </c>
      <c r="F27" s="299">
        <f>+F22+F23</f>
        <v>2168000000</v>
      </c>
    </row>
    <row r="28" spans="1:7" ht="23.25" customHeight="1" x14ac:dyDescent="0.35">
      <c r="A28" s="314" t="s">
        <v>19</v>
      </c>
      <c r="B28" s="442" t="s">
        <v>580</v>
      </c>
      <c r="C28" s="496">
        <v>57462838</v>
      </c>
      <c r="D28" s="496">
        <v>25378461</v>
      </c>
      <c r="E28" s="496">
        <v>1784680</v>
      </c>
      <c r="F28" s="496"/>
      <c r="G28" s="7"/>
    </row>
    <row r="29" spans="1:7" s="5" customFormat="1" ht="23.25" customHeight="1" x14ac:dyDescent="0.3">
      <c r="A29" s="317" t="s">
        <v>22</v>
      </c>
      <c r="B29" s="317" t="s">
        <v>581</v>
      </c>
      <c r="C29" s="316">
        <f>+C27+C28</f>
        <v>5388021340</v>
      </c>
      <c r="D29" s="316">
        <f>+D27+D28</f>
        <v>2100900030</v>
      </c>
      <c r="E29" s="316">
        <f>+E27+E28</f>
        <v>2138000000</v>
      </c>
      <c r="F29" s="316">
        <f>+F27+F28</f>
        <v>2168000000</v>
      </c>
    </row>
    <row r="30" spans="1:7" x14ac:dyDescent="0.35">
      <c r="C30" s="8"/>
    </row>
    <row r="31" spans="1:7" x14ac:dyDescent="0.35">
      <c r="C31" s="8"/>
    </row>
    <row r="32" spans="1:7" x14ac:dyDescent="0.35">
      <c r="C32" s="8"/>
    </row>
    <row r="33" spans="3:8" ht="16.5" customHeight="1" x14ac:dyDescent="0.35">
      <c r="C33" s="8"/>
    </row>
    <row r="34" spans="3:8" x14ac:dyDescent="0.35">
      <c r="C34" s="8"/>
    </row>
    <row r="35" spans="3:8" x14ac:dyDescent="0.35">
      <c r="C35" s="8"/>
    </row>
    <row r="36" spans="3:8" s="8" customFormat="1" x14ac:dyDescent="0.35">
      <c r="G36" s="1"/>
      <c r="H36" s="1"/>
    </row>
    <row r="37" spans="3:8" s="8" customFormat="1" x14ac:dyDescent="0.35">
      <c r="G37" s="1"/>
      <c r="H37" s="1"/>
    </row>
    <row r="38" spans="3:8" s="8" customFormat="1" x14ac:dyDescent="0.35">
      <c r="G38" s="1"/>
      <c r="H38" s="1"/>
    </row>
    <row r="39" spans="3:8" s="8" customFormat="1" x14ac:dyDescent="0.35">
      <c r="G39" s="1"/>
      <c r="H39" s="1"/>
    </row>
    <row r="40" spans="3:8" s="8" customFormat="1" x14ac:dyDescent="0.35">
      <c r="G40" s="1"/>
      <c r="H40" s="1"/>
    </row>
    <row r="41" spans="3:8" s="8" customFormat="1" x14ac:dyDescent="0.35">
      <c r="G41" s="1"/>
      <c r="H41" s="1"/>
    </row>
    <row r="42" spans="3:8" s="8" customFormat="1" x14ac:dyDescent="0.3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4/2018. (III.19.)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Layout" topLeftCell="C1" zoomScaleNormal="100" workbookViewId="0">
      <selection activeCell="H6" sqref="H6"/>
    </sheetView>
  </sheetViews>
  <sheetFormatPr defaultColWidth="9.296875" defaultRowHeight="14" x14ac:dyDescent="0.3"/>
  <cols>
    <col min="1" max="1" width="41.296875" style="114" customWidth="1"/>
    <col min="2" max="2" width="19.69921875" style="114" customWidth="1"/>
    <col min="3" max="3" width="16.69921875" style="114" customWidth="1"/>
    <col min="4" max="9" width="16" style="114" customWidth="1"/>
    <col min="10" max="10" width="17.796875" style="114" customWidth="1"/>
    <col min="11" max="16384" width="9.296875" style="114"/>
  </cols>
  <sheetData>
    <row r="1" spans="1:10" ht="56.25" customHeight="1" x14ac:dyDescent="0.3">
      <c r="A1" s="910" t="s">
        <v>640</v>
      </c>
      <c r="B1" s="910"/>
      <c r="C1" s="910"/>
      <c r="D1" s="910"/>
      <c r="E1" s="910"/>
      <c r="F1" s="910"/>
      <c r="G1" s="910"/>
      <c r="H1" s="910"/>
      <c r="I1" s="910"/>
    </row>
    <row r="2" spans="1:10" ht="18.75" customHeight="1" x14ac:dyDescent="0.3">
      <c r="A2" s="115"/>
      <c r="B2" s="115"/>
      <c r="C2" s="115"/>
      <c r="D2" s="115"/>
      <c r="E2" s="115"/>
      <c r="F2" s="115"/>
      <c r="G2" s="115"/>
      <c r="H2" s="115"/>
      <c r="I2" s="115"/>
    </row>
    <row r="3" spans="1:10" x14ac:dyDescent="0.3">
      <c r="A3" s="116"/>
      <c r="B3" s="116"/>
      <c r="C3" s="116"/>
      <c r="D3" s="116"/>
      <c r="E3" s="116"/>
      <c r="F3" s="116"/>
      <c r="G3" s="116"/>
      <c r="H3" s="911" t="s">
        <v>1</v>
      </c>
      <c r="I3" s="911"/>
    </row>
    <row r="4" spans="1:10" s="117" customFormat="1" ht="71.25" customHeight="1" x14ac:dyDescent="0.3">
      <c r="A4" s="912" t="s">
        <v>543</v>
      </c>
      <c r="B4" s="912" t="s">
        <v>544</v>
      </c>
      <c r="C4" s="912" t="s">
        <v>545</v>
      </c>
      <c r="D4" s="912" t="s">
        <v>546</v>
      </c>
      <c r="E4" s="912"/>
      <c r="F4" s="912" t="s">
        <v>547</v>
      </c>
      <c r="G4" s="912"/>
      <c r="H4" s="912" t="s">
        <v>548</v>
      </c>
      <c r="I4" s="912"/>
    </row>
    <row r="5" spans="1:10" s="118" customFormat="1" x14ac:dyDescent="0.3">
      <c r="A5" s="912"/>
      <c r="B5" s="912"/>
      <c r="C5" s="912"/>
      <c r="D5" s="497" t="s">
        <v>549</v>
      </c>
      <c r="E5" s="497" t="s">
        <v>550</v>
      </c>
      <c r="F5" s="497" t="s">
        <v>549</v>
      </c>
      <c r="G5" s="497" t="s">
        <v>550</v>
      </c>
      <c r="H5" s="497" t="s">
        <v>549</v>
      </c>
      <c r="I5" s="497" t="s">
        <v>550</v>
      </c>
    </row>
    <row r="6" spans="1:10" ht="56" x14ac:dyDescent="0.3">
      <c r="A6" s="498" t="s">
        <v>597</v>
      </c>
      <c r="B6" s="499">
        <v>72959000</v>
      </c>
      <c r="C6" s="500" t="s">
        <v>551</v>
      </c>
      <c r="D6" s="499">
        <v>18239752</v>
      </c>
      <c r="E6" s="499">
        <v>1094385</v>
      </c>
      <c r="F6" s="499">
        <v>18239744</v>
      </c>
      <c r="G6" s="499">
        <v>660668</v>
      </c>
      <c r="H6" s="499">
        <v>0</v>
      </c>
      <c r="I6" s="499">
        <v>0</v>
      </c>
    </row>
    <row r="7" spans="1:10" s="120" customFormat="1" ht="56" x14ac:dyDescent="0.3">
      <c r="A7" s="498" t="s">
        <v>598</v>
      </c>
      <c r="B7" s="499">
        <v>23200831</v>
      </c>
      <c r="C7" s="500" t="s">
        <v>552</v>
      </c>
      <c r="D7" s="499">
        <f>7138717-1380531</f>
        <v>5758186</v>
      </c>
      <c r="E7" s="499">
        <v>853103</v>
      </c>
      <c r="F7" s="499">
        <v>7138717</v>
      </c>
      <c r="G7" s="499">
        <v>329700</v>
      </c>
      <c r="H7" s="499">
        <v>1784680</v>
      </c>
      <c r="I7" s="499">
        <f>H7*0.05</f>
        <v>89234</v>
      </c>
      <c r="J7" s="119"/>
    </row>
    <row r="8" spans="1:10" s="122" customFormat="1" ht="26.25" customHeight="1" x14ac:dyDescent="0.3">
      <c r="A8" s="172" t="s">
        <v>405</v>
      </c>
      <c r="B8" s="501">
        <f>SUM(B6:B7)</f>
        <v>96159831</v>
      </c>
      <c r="C8" s="121"/>
      <c r="D8" s="501">
        <f t="shared" ref="D8:I8" si="0">SUM(D6:D7)</f>
        <v>23997938</v>
      </c>
      <c r="E8" s="501">
        <f t="shared" si="0"/>
        <v>1947488</v>
      </c>
      <c r="F8" s="501">
        <f t="shared" si="0"/>
        <v>25378461</v>
      </c>
      <c r="G8" s="501">
        <f t="shared" si="0"/>
        <v>990368</v>
      </c>
      <c r="H8" s="501">
        <f t="shared" si="0"/>
        <v>1784680</v>
      </c>
      <c r="I8" s="501">
        <f t="shared" si="0"/>
        <v>89234</v>
      </c>
    </row>
    <row r="9" spans="1:10" x14ac:dyDescent="0.3">
      <c r="A9" s="116"/>
      <c r="B9" s="116"/>
      <c r="C9" s="116"/>
      <c r="D9" s="116"/>
      <c r="E9" s="116"/>
      <c r="F9" s="116"/>
      <c r="G9" s="116"/>
      <c r="H9" s="116"/>
      <c r="I9" s="116"/>
    </row>
    <row r="10" spans="1:10" x14ac:dyDescent="0.3">
      <c r="A10" s="116"/>
      <c r="B10" s="116"/>
      <c r="C10" s="116"/>
      <c r="D10" s="116"/>
      <c r="E10" s="116"/>
      <c r="F10" s="116"/>
      <c r="G10" s="116"/>
      <c r="H10" s="116"/>
      <c r="I10" s="116"/>
    </row>
    <row r="11" spans="1:10" x14ac:dyDescent="0.3">
      <c r="A11" s="116"/>
      <c r="B11" s="116"/>
      <c r="C11" s="116"/>
      <c r="D11" s="116"/>
      <c r="E11" s="116"/>
      <c r="F11" s="116"/>
      <c r="G11" s="116"/>
      <c r="H11" s="116"/>
      <c r="I11" s="116"/>
    </row>
    <row r="12" spans="1:10" x14ac:dyDescent="0.3">
      <c r="A12" s="116"/>
      <c r="B12" s="116"/>
      <c r="C12" s="116"/>
      <c r="D12" s="116"/>
      <c r="E12" s="116"/>
      <c r="F12" s="116"/>
      <c r="G12" s="116"/>
      <c r="H12" s="116"/>
      <c r="I12" s="116"/>
    </row>
    <row r="13" spans="1:10" x14ac:dyDescent="0.3">
      <c r="A13" s="116"/>
      <c r="B13" s="116"/>
      <c r="C13" s="116"/>
      <c r="D13" s="116"/>
      <c r="E13" s="116"/>
      <c r="F13" s="116"/>
      <c r="G13" s="116"/>
      <c r="H13" s="116"/>
      <c r="I13" s="116"/>
    </row>
    <row r="14" spans="1:10" x14ac:dyDescent="0.3">
      <c r="A14" s="116"/>
      <c r="B14" s="116"/>
      <c r="C14" s="116"/>
      <c r="D14" s="116"/>
      <c r="E14" s="116"/>
      <c r="F14" s="116"/>
      <c r="G14" s="116"/>
      <c r="H14" s="116"/>
      <c r="I14" s="116"/>
    </row>
    <row r="15" spans="1:10" x14ac:dyDescent="0.3">
      <c r="A15" s="116"/>
      <c r="B15" s="116"/>
      <c r="C15" s="116"/>
      <c r="D15" s="116"/>
      <c r="E15" s="116"/>
      <c r="F15" s="116"/>
      <c r="G15" s="116"/>
      <c r="H15" s="116"/>
      <c r="I15" s="116"/>
    </row>
    <row r="16" spans="1:10" x14ac:dyDescent="0.3">
      <c r="A16" s="116"/>
      <c r="B16" s="116"/>
      <c r="C16" s="116"/>
      <c r="D16" s="116"/>
      <c r="E16" s="116"/>
      <c r="F16" s="116"/>
      <c r="G16" s="116"/>
      <c r="H16" s="116"/>
      <c r="I16" s="116"/>
    </row>
    <row r="17" spans="1:9" x14ac:dyDescent="0.3">
      <c r="A17" s="116"/>
      <c r="B17" s="116"/>
      <c r="C17" s="116"/>
      <c r="D17" s="116"/>
      <c r="E17" s="116"/>
      <c r="F17" s="116"/>
      <c r="G17" s="116"/>
      <c r="H17" s="116"/>
      <c r="I17" s="116"/>
    </row>
    <row r="18" spans="1:9" x14ac:dyDescent="0.3">
      <c r="A18" s="116"/>
      <c r="B18" s="116"/>
      <c r="C18" s="116"/>
      <c r="D18" s="116"/>
      <c r="E18" s="116"/>
      <c r="F18" s="116"/>
      <c r="G18" s="116"/>
      <c r="H18" s="116"/>
      <c r="I18" s="116"/>
    </row>
    <row r="19" spans="1:9" x14ac:dyDescent="0.3">
      <c r="A19" s="116"/>
      <c r="B19" s="116"/>
      <c r="C19" s="116"/>
      <c r="D19" s="116"/>
      <c r="E19" s="116"/>
      <c r="F19" s="116"/>
      <c r="G19" s="116"/>
      <c r="H19" s="116"/>
      <c r="I19" s="116"/>
    </row>
    <row r="20" spans="1:9" x14ac:dyDescent="0.3">
      <c r="A20" s="116"/>
      <c r="B20" s="116"/>
      <c r="C20" s="116"/>
      <c r="D20" s="116"/>
      <c r="E20" s="116"/>
      <c r="F20" s="116"/>
      <c r="G20" s="116"/>
      <c r="H20" s="116"/>
      <c r="I20" s="116"/>
    </row>
    <row r="21" spans="1:9" x14ac:dyDescent="0.3">
      <c r="A21" s="116"/>
      <c r="B21" s="116"/>
      <c r="C21" s="116"/>
      <c r="D21" s="116"/>
      <c r="E21" s="116"/>
      <c r="F21" s="116"/>
      <c r="G21" s="116"/>
      <c r="H21" s="116"/>
      <c r="I21" s="116"/>
    </row>
    <row r="22" spans="1:9" x14ac:dyDescent="0.3">
      <c r="A22" s="116"/>
      <c r="B22" s="116"/>
      <c r="C22" s="116"/>
      <c r="D22" s="116"/>
      <c r="E22" s="116"/>
      <c r="F22" s="116"/>
      <c r="G22" s="116"/>
      <c r="H22" s="116"/>
      <c r="I22" s="116"/>
    </row>
    <row r="23" spans="1:9" x14ac:dyDescent="0.3">
      <c r="A23" s="116"/>
      <c r="B23" s="116"/>
      <c r="C23" s="116"/>
      <c r="D23" s="116"/>
      <c r="E23" s="116"/>
      <c r="F23" s="116"/>
      <c r="G23" s="116"/>
      <c r="H23" s="116"/>
      <c r="I23" s="116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17. melléklet a 4/2018. (III.19.)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Layout" topLeftCell="A10" zoomScaleNormal="100" workbookViewId="0">
      <selection activeCell="D4" sqref="D4"/>
    </sheetView>
  </sheetViews>
  <sheetFormatPr defaultColWidth="9.296875" defaultRowHeight="14" x14ac:dyDescent="0.3"/>
  <cols>
    <col min="1" max="1" width="8" style="153" customWidth="1"/>
    <col min="2" max="2" width="86.19921875" style="153" customWidth="1"/>
    <col min="3" max="3" width="21.5" style="153" customWidth="1"/>
    <col min="4" max="16384" width="9.296875" style="153"/>
  </cols>
  <sheetData>
    <row r="1" spans="1:3" s="152" customFormat="1" ht="60" customHeight="1" x14ac:dyDescent="0.3">
      <c r="A1" s="913" t="s">
        <v>641</v>
      </c>
      <c r="B1" s="913"/>
      <c r="C1" s="913"/>
    </row>
    <row r="2" spans="1:3" x14ac:dyDescent="0.3">
      <c r="C2" s="173" t="s">
        <v>1</v>
      </c>
    </row>
    <row r="3" spans="1:3" ht="33.75" customHeight="1" x14ac:dyDescent="0.3">
      <c r="A3" s="502" t="s">
        <v>602</v>
      </c>
      <c r="B3" s="181" t="s">
        <v>267</v>
      </c>
      <c r="C3" s="181" t="s">
        <v>434</v>
      </c>
    </row>
    <row r="4" spans="1:3" ht="22.5" customHeight="1" x14ac:dyDescent="0.3">
      <c r="A4" s="503" t="s">
        <v>10</v>
      </c>
      <c r="B4" s="504" t="s">
        <v>694</v>
      </c>
      <c r="C4" s="505">
        <v>800554297</v>
      </c>
    </row>
    <row r="5" spans="1:3" ht="22.5" customHeight="1" x14ac:dyDescent="0.3">
      <c r="A5" s="503" t="s">
        <v>13</v>
      </c>
      <c r="B5" s="504" t="s">
        <v>695</v>
      </c>
      <c r="C5" s="505">
        <v>18082367</v>
      </c>
    </row>
    <row r="6" spans="1:3" ht="22.5" customHeight="1" x14ac:dyDescent="0.3">
      <c r="A6" s="503" t="s">
        <v>16</v>
      </c>
      <c r="B6" s="504" t="s">
        <v>696</v>
      </c>
      <c r="C6" s="505"/>
    </row>
    <row r="7" spans="1:3" ht="31.5" customHeight="1" x14ac:dyDescent="0.3">
      <c r="A7" s="503" t="s">
        <v>19</v>
      </c>
      <c r="B7" s="504" t="s">
        <v>697</v>
      </c>
      <c r="C7" s="505">
        <v>19544321</v>
      </c>
    </row>
    <row r="8" spans="1:3" ht="22.5" customHeight="1" x14ac:dyDescent="0.3">
      <c r="A8" s="503" t="s">
        <v>22</v>
      </c>
      <c r="B8" s="504" t="s">
        <v>698</v>
      </c>
      <c r="C8" s="505">
        <v>3968547</v>
      </c>
    </row>
    <row r="9" spans="1:3" ht="28.5" customHeight="1" x14ac:dyDescent="0.3">
      <c r="A9" s="503" t="s">
        <v>25</v>
      </c>
      <c r="B9" s="504" t="s">
        <v>699</v>
      </c>
      <c r="C9" s="505"/>
    </row>
    <row r="10" spans="1:3" s="152" customFormat="1" ht="22.5" customHeight="1" x14ac:dyDescent="0.3">
      <c r="A10" s="181" t="s">
        <v>28</v>
      </c>
      <c r="B10" s="506" t="s">
        <v>700</v>
      </c>
      <c r="C10" s="507">
        <f>SUM(C4:C9)</f>
        <v>842149532</v>
      </c>
    </row>
    <row r="11" spans="1:3" s="152" customFormat="1" ht="22.5" customHeight="1" x14ac:dyDescent="0.3">
      <c r="A11" s="503" t="s">
        <v>31</v>
      </c>
      <c r="B11" s="506" t="s">
        <v>701</v>
      </c>
      <c r="C11" s="507">
        <f t="shared" ref="C11" si="0">C10/2</f>
        <v>421074766</v>
      </c>
    </row>
    <row r="12" spans="1:3" s="152" customFormat="1" ht="27" customHeight="1" x14ac:dyDescent="0.3">
      <c r="A12" s="503" t="s">
        <v>34</v>
      </c>
      <c r="B12" s="504" t="s">
        <v>702</v>
      </c>
      <c r="C12" s="505">
        <v>23997938</v>
      </c>
    </row>
    <row r="13" spans="1:3" ht="34.5" customHeight="1" x14ac:dyDescent="0.3">
      <c r="A13" s="503" t="s">
        <v>37</v>
      </c>
      <c r="B13" s="504" t="s">
        <v>703</v>
      </c>
      <c r="C13" s="505"/>
    </row>
    <row r="14" spans="1:3" ht="34.5" customHeight="1" x14ac:dyDescent="0.3">
      <c r="A14" s="503" t="s">
        <v>39</v>
      </c>
      <c r="B14" s="504" t="s">
        <v>704</v>
      </c>
      <c r="C14" s="505"/>
    </row>
    <row r="15" spans="1:3" ht="34.5" customHeight="1" x14ac:dyDescent="0.3">
      <c r="A15" s="503" t="s">
        <v>41</v>
      </c>
      <c r="B15" s="504" t="s">
        <v>705</v>
      </c>
      <c r="C15" s="505"/>
    </row>
    <row r="16" spans="1:3" ht="34.5" customHeight="1" x14ac:dyDescent="0.3">
      <c r="A16" s="503" t="s">
        <v>43</v>
      </c>
      <c r="B16" s="504" t="s">
        <v>706</v>
      </c>
      <c r="C16" s="505"/>
    </row>
    <row r="17" spans="1:3" ht="34.5" customHeight="1" x14ac:dyDescent="0.3">
      <c r="A17" s="503" t="s">
        <v>45</v>
      </c>
      <c r="B17" s="504" t="s">
        <v>707</v>
      </c>
      <c r="C17" s="505"/>
    </row>
    <row r="18" spans="1:3" ht="34.5" customHeight="1" x14ac:dyDescent="0.3">
      <c r="A18" s="503" t="s">
        <v>47</v>
      </c>
      <c r="B18" s="504" t="s">
        <v>708</v>
      </c>
      <c r="C18" s="505"/>
    </row>
    <row r="19" spans="1:3" ht="34.5" customHeight="1" x14ac:dyDescent="0.3">
      <c r="A19" s="503" t="s">
        <v>49</v>
      </c>
      <c r="B19" s="506" t="s">
        <v>709</v>
      </c>
      <c r="C19" s="505">
        <f>SUM(C12:C18)</f>
        <v>23997938</v>
      </c>
    </row>
    <row r="20" spans="1:3" s="152" customFormat="1" ht="24" customHeight="1" x14ac:dyDescent="0.3">
      <c r="A20" s="503" t="s">
        <v>51</v>
      </c>
      <c r="B20" s="506" t="s">
        <v>710</v>
      </c>
      <c r="C20" s="508">
        <f>C11-C19</f>
        <v>397076828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4/2018.(III.19.)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44"/>
  <sheetViews>
    <sheetView view="pageLayout" zoomScaleNormal="100" workbookViewId="0">
      <selection activeCell="D4" sqref="D4"/>
    </sheetView>
  </sheetViews>
  <sheetFormatPr defaultRowHeight="14.5" x14ac:dyDescent="0.35"/>
  <cols>
    <col min="1" max="1" width="7.296875" style="154" customWidth="1"/>
    <col min="2" max="2" width="45.19921875" style="154" customWidth="1"/>
    <col min="3" max="5" width="22.796875" style="161" customWidth="1"/>
    <col min="6" max="6" width="9.296875" style="154"/>
    <col min="7" max="7" width="12.796875" style="154" bestFit="1" customWidth="1"/>
    <col min="8" max="256" width="9.296875" style="154"/>
    <col min="257" max="257" width="5" style="154" customWidth="1"/>
    <col min="258" max="258" width="76.296875" style="154" customWidth="1"/>
    <col min="259" max="259" width="17.19921875" style="154" customWidth="1"/>
    <col min="260" max="260" width="19.19921875" style="154" customWidth="1"/>
    <col min="261" max="261" width="17.19921875" style="154" customWidth="1"/>
    <col min="262" max="262" width="9.296875" style="154"/>
    <col min="263" max="263" width="12.796875" style="154" bestFit="1" customWidth="1"/>
    <col min="264" max="512" width="9.296875" style="154"/>
    <col min="513" max="513" width="5" style="154" customWidth="1"/>
    <col min="514" max="514" width="76.296875" style="154" customWidth="1"/>
    <col min="515" max="515" width="17.19921875" style="154" customWidth="1"/>
    <col min="516" max="516" width="19.19921875" style="154" customWidth="1"/>
    <col min="517" max="517" width="17.19921875" style="154" customWidth="1"/>
    <col min="518" max="518" width="9.296875" style="154"/>
    <col min="519" max="519" width="12.796875" style="154" bestFit="1" customWidth="1"/>
    <col min="520" max="768" width="9.296875" style="154"/>
    <col min="769" max="769" width="5" style="154" customWidth="1"/>
    <col min="770" max="770" width="76.296875" style="154" customWidth="1"/>
    <col min="771" max="771" width="17.19921875" style="154" customWidth="1"/>
    <col min="772" max="772" width="19.19921875" style="154" customWidth="1"/>
    <col min="773" max="773" width="17.19921875" style="154" customWidth="1"/>
    <col min="774" max="774" width="9.296875" style="154"/>
    <col min="775" max="775" width="12.796875" style="154" bestFit="1" customWidth="1"/>
    <col min="776" max="1024" width="9.296875" style="154"/>
    <col min="1025" max="1025" width="5" style="154" customWidth="1"/>
    <col min="1026" max="1026" width="76.296875" style="154" customWidth="1"/>
    <col min="1027" max="1027" width="17.19921875" style="154" customWidth="1"/>
    <col min="1028" max="1028" width="19.19921875" style="154" customWidth="1"/>
    <col min="1029" max="1029" width="17.19921875" style="154" customWidth="1"/>
    <col min="1030" max="1030" width="9.296875" style="154"/>
    <col min="1031" max="1031" width="12.796875" style="154" bestFit="1" customWidth="1"/>
    <col min="1032" max="1280" width="9.296875" style="154"/>
    <col min="1281" max="1281" width="5" style="154" customWidth="1"/>
    <col min="1282" max="1282" width="76.296875" style="154" customWidth="1"/>
    <col min="1283" max="1283" width="17.19921875" style="154" customWidth="1"/>
    <col min="1284" max="1284" width="19.19921875" style="154" customWidth="1"/>
    <col min="1285" max="1285" width="17.19921875" style="154" customWidth="1"/>
    <col min="1286" max="1286" width="9.296875" style="154"/>
    <col min="1287" max="1287" width="12.796875" style="154" bestFit="1" customWidth="1"/>
    <col min="1288" max="1536" width="9.296875" style="154"/>
    <col min="1537" max="1537" width="5" style="154" customWidth="1"/>
    <col min="1538" max="1538" width="76.296875" style="154" customWidth="1"/>
    <col min="1539" max="1539" width="17.19921875" style="154" customWidth="1"/>
    <col min="1540" max="1540" width="19.19921875" style="154" customWidth="1"/>
    <col min="1541" max="1541" width="17.19921875" style="154" customWidth="1"/>
    <col min="1542" max="1542" width="9.296875" style="154"/>
    <col min="1543" max="1543" width="12.796875" style="154" bestFit="1" customWidth="1"/>
    <col min="1544" max="1792" width="9.296875" style="154"/>
    <col min="1793" max="1793" width="5" style="154" customWidth="1"/>
    <col min="1794" max="1794" width="76.296875" style="154" customWidth="1"/>
    <col min="1795" max="1795" width="17.19921875" style="154" customWidth="1"/>
    <col min="1796" max="1796" width="19.19921875" style="154" customWidth="1"/>
    <col min="1797" max="1797" width="17.19921875" style="154" customWidth="1"/>
    <col min="1798" max="1798" width="9.296875" style="154"/>
    <col min="1799" max="1799" width="12.796875" style="154" bestFit="1" customWidth="1"/>
    <col min="1800" max="2048" width="9.296875" style="154"/>
    <col min="2049" max="2049" width="5" style="154" customWidth="1"/>
    <col min="2050" max="2050" width="76.296875" style="154" customWidth="1"/>
    <col min="2051" max="2051" width="17.19921875" style="154" customWidth="1"/>
    <col min="2052" max="2052" width="19.19921875" style="154" customWidth="1"/>
    <col min="2053" max="2053" width="17.19921875" style="154" customWidth="1"/>
    <col min="2054" max="2054" width="9.296875" style="154"/>
    <col min="2055" max="2055" width="12.796875" style="154" bestFit="1" customWidth="1"/>
    <col min="2056" max="2304" width="9.296875" style="154"/>
    <col min="2305" max="2305" width="5" style="154" customWidth="1"/>
    <col min="2306" max="2306" width="76.296875" style="154" customWidth="1"/>
    <col min="2307" max="2307" width="17.19921875" style="154" customWidth="1"/>
    <col min="2308" max="2308" width="19.19921875" style="154" customWidth="1"/>
    <col min="2309" max="2309" width="17.19921875" style="154" customWidth="1"/>
    <col min="2310" max="2310" width="9.296875" style="154"/>
    <col min="2311" max="2311" width="12.796875" style="154" bestFit="1" customWidth="1"/>
    <col min="2312" max="2560" width="9.296875" style="154"/>
    <col min="2561" max="2561" width="5" style="154" customWidth="1"/>
    <col min="2562" max="2562" width="76.296875" style="154" customWidth="1"/>
    <col min="2563" max="2563" width="17.19921875" style="154" customWidth="1"/>
    <col min="2564" max="2564" width="19.19921875" style="154" customWidth="1"/>
    <col min="2565" max="2565" width="17.19921875" style="154" customWidth="1"/>
    <col min="2566" max="2566" width="9.296875" style="154"/>
    <col min="2567" max="2567" width="12.796875" style="154" bestFit="1" customWidth="1"/>
    <col min="2568" max="2816" width="9.296875" style="154"/>
    <col min="2817" max="2817" width="5" style="154" customWidth="1"/>
    <col min="2818" max="2818" width="76.296875" style="154" customWidth="1"/>
    <col min="2819" max="2819" width="17.19921875" style="154" customWidth="1"/>
    <col min="2820" max="2820" width="19.19921875" style="154" customWidth="1"/>
    <col min="2821" max="2821" width="17.19921875" style="154" customWidth="1"/>
    <col min="2822" max="2822" width="9.296875" style="154"/>
    <col min="2823" max="2823" width="12.796875" style="154" bestFit="1" customWidth="1"/>
    <col min="2824" max="3072" width="9.296875" style="154"/>
    <col min="3073" max="3073" width="5" style="154" customWidth="1"/>
    <col min="3074" max="3074" width="76.296875" style="154" customWidth="1"/>
    <col min="3075" max="3075" width="17.19921875" style="154" customWidth="1"/>
    <col min="3076" max="3076" width="19.19921875" style="154" customWidth="1"/>
    <col min="3077" max="3077" width="17.19921875" style="154" customWidth="1"/>
    <col min="3078" max="3078" width="9.296875" style="154"/>
    <col min="3079" max="3079" width="12.796875" style="154" bestFit="1" customWidth="1"/>
    <col min="3080" max="3328" width="9.296875" style="154"/>
    <col min="3329" max="3329" width="5" style="154" customWidth="1"/>
    <col min="3330" max="3330" width="76.296875" style="154" customWidth="1"/>
    <col min="3331" max="3331" width="17.19921875" style="154" customWidth="1"/>
    <col min="3332" max="3332" width="19.19921875" style="154" customWidth="1"/>
    <col min="3333" max="3333" width="17.19921875" style="154" customWidth="1"/>
    <col min="3334" max="3334" width="9.296875" style="154"/>
    <col min="3335" max="3335" width="12.796875" style="154" bestFit="1" customWidth="1"/>
    <col min="3336" max="3584" width="9.296875" style="154"/>
    <col min="3585" max="3585" width="5" style="154" customWidth="1"/>
    <col min="3586" max="3586" width="76.296875" style="154" customWidth="1"/>
    <col min="3587" max="3587" width="17.19921875" style="154" customWidth="1"/>
    <col min="3588" max="3588" width="19.19921875" style="154" customWidth="1"/>
    <col min="3589" max="3589" width="17.19921875" style="154" customWidth="1"/>
    <col min="3590" max="3590" width="9.296875" style="154"/>
    <col min="3591" max="3591" width="12.796875" style="154" bestFit="1" customWidth="1"/>
    <col min="3592" max="3840" width="9.296875" style="154"/>
    <col min="3841" max="3841" width="5" style="154" customWidth="1"/>
    <col min="3842" max="3842" width="76.296875" style="154" customWidth="1"/>
    <col min="3843" max="3843" width="17.19921875" style="154" customWidth="1"/>
    <col min="3844" max="3844" width="19.19921875" style="154" customWidth="1"/>
    <col min="3845" max="3845" width="17.19921875" style="154" customWidth="1"/>
    <col min="3846" max="3846" width="9.296875" style="154"/>
    <col min="3847" max="3847" width="12.796875" style="154" bestFit="1" customWidth="1"/>
    <col min="3848" max="4096" width="9.296875" style="154"/>
    <col min="4097" max="4097" width="5" style="154" customWidth="1"/>
    <col min="4098" max="4098" width="76.296875" style="154" customWidth="1"/>
    <col min="4099" max="4099" width="17.19921875" style="154" customWidth="1"/>
    <col min="4100" max="4100" width="19.19921875" style="154" customWidth="1"/>
    <col min="4101" max="4101" width="17.19921875" style="154" customWidth="1"/>
    <col min="4102" max="4102" width="9.296875" style="154"/>
    <col min="4103" max="4103" width="12.796875" style="154" bestFit="1" customWidth="1"/>
    <col min="4104" max="4352" width="9.296875" style="154"/>
    <col min="4353" max="4353" width="5" style="154" customWidth="1"/>
    <col min="4354" max="4354" width="76.296875" style="154" customWidth="1"/>
    <col min="4355" max="4355" width="17.19921875" style="154" customWidth="1"/>
    <col min="4356" max="4356" width="19.19921875" style="154" customWidth="1"/>
    <col min="4357" max="4357" width="17.19921875" style="154" customWidth="1"/>
    <col min="4358" max="4358" width="9.296875" style="154"/>
    <col min="4359" max="4359" width="12.796875" style="154" bestFit="1" customWidth="1"/>
    <col min="4360" max="4608" width="9.296875" style="154"/>
    <col min="4609" max="4609" width="5" style="154" customWidth="1"/>
    <col min="4610" max="4610" width="76.296875" style="154" customWidth="1"/>
    <col min="4611" max="4611" width="17.19921875" style="154" customWidth="1"/>
    <col min="4612" max="4612" width="19.19921875" style="154" customWidth="1"/>
    <col min="4613" max="4613" width="17.19921875" style="154" customWidth="1"/>
    <col min="4614" max="4614" width="9.296875" style="154"/>
    <col min="4615" max="4615" width="12.796875" style="154" bestFit="1" customWidth="1"/>
    <col min="4616" max="4864" width="9.296875" style="154"/>
    <col min="4865" max="4865" width="5" style="154" customWidth="1"/>
    <col min="4866" max="4866" width="76.296875" style="154" customWidth="1"/>
    <col min="4867" max="4867" width="17.19921875" style="154" customWidth="1"/>
    <col min="4868" max="4868" width="19.19921875" style="154" customWidth="1"/>
    <col min="4869" max="4869" width="17.19921875" style="154" customWidth="1"/>
    <col min="4870" max="4870" width="9.296875" style="154"/>
    <col min="4871" max="4871" width="12.796875" style="154" bestFit="1" customWidth="1"/>
    <col min="4872" max="5120" width="9.296875" style="154"/>
    <col min="5121" max="5121" width="5" style="154" customWidth="1"/>
    <col min="5122" max="5122" width="76.296875" style="154" customWidth="1"/>
    <col min="5123" max="5123" width="17.19921875" style="154" customWidth="1"/>
    <col min="5124" max="5124" width="19.19921875" style="154" customWidth="1"/>
    <col min="5125" max="5125" width="17.19921875" style="154" customWidth="1"/>
    <col min="5126" max="5126" width="9.296875" style="154"/>
    <col min="5127" max="5127" width="12.796875" style="154" bestFit="1" customWidth="1"/>
    <col min="5128" max="5376" width="9.296875" style="154"/>
    <col min="5377" max="5377" width="5" style="154" customWidth="1"/>
    <col min="5378" max="5378" width="76.296875" style="154" customWidth="1"/>
    <col min="5379" max="5379" width="17.19921875" style="154" customWidth="1"/>
    <col min="5380" max="5380" width="19.19921875" style="154" customWidth="1"/>
    <col min="5381" max="5381" width="17.19921875" style="154" customWidth="1"/>
    <col min="5382" max="5382" width="9.296875" style="154"/>
    <col min="5383" max="5383" width="12.796875" style="154" bestFit="1" customWidth="1"/>
    <col min="5384" max="5632" width="9.296875" style="154"/>
    <col min="5633" max="5633" width="5" style="154" customWidth="1"/>
    <col min="5634" max="5634" width="76.296875" style="154" customWidth="1"/>
    <col min="5635" max="5635" width="17.19921875" style="154" customWidth="1"/>
    <col min="5636" max="5636" width="19.19921875" style="154" customWidth="1"/>
    <col min="5637" max="5637" width="17.19921875" style="154" customWidth="1"/>
    <col min="5638" max="5638" width="9.296875" style="154"/>
    <col min="5639" max="5639" width="12.796875" style="154" bestFit="1" customWidth="1"/>
    <col min="5640" max="5888" width="9.296875" style="154"/>
    <col min="5889" max="5889" width="5" style="154" customWidth="1"/>
    <col min="5890" max="5890" width="76.296875" style="154" customWidth="1"/>
    <col min="5891" max="5891" width="17.19921875" style="154" customWidth="1"/>
    <col min="5892" max="5892" width="19.19921875" style="154" customWidth="1"/>
    <col min="5893" max="5893" width="17.19921875" style="154" customWidth="1"/>
    <col min="5894" max="5894" width="9.296875" style="154"/>
    <col min="5895" max="5895" width="12.796875" style="154" bestFit="1" customWidth="1"/>
    <col min="5896" max="6144" width="9.296875" style="154"/>
    <col min="6145" max="6145" width="5" style="154" customWidth="1"/>
    <col min="6146" max="6146" width="76.296875" style="154" customWidth="1"/>
    <col min="6147" max="6147" width="17.19921875" style="154" customWidth="1"/>
    <col min="6148" max="6148" width="19.19921875" style="154" customWidth="1"/>
    <col min="6149" max="6149" width="17.19921875" style="154" customWidth="1"/>
    <col min="6150" max="6150" width="9.296875" style="154"/>
    <col min="6151" max="6151" width="12.796875" style="154" bestFit="1" customWidth="1"/>
    <col min="6152" max="6400" width="9.296875" style="154"/>
    <col min="6401" max="6401" width="5" style="154" customWidth="1"/>
    <col min="6402" max="6402" width="76.296875" style="154" customWidth="1"/>
    <col min="6403" max="6403" width="17.19921875" style="154" customWidth="1"/>
    <col min="6404" max="6404" width="19.19921875" style="154" customWidth="1"/>
    <col min="6405" max="6405" width="17.19921875" style="154" customWidth="1"/>
    <col min="6406" max="6406" width="9.296875" style="154"/>
    <col min="6407" max="6407" width="12.796875" style="154" bestFit="1" customWidth="1"/>
    <col min="6408" max="6656" width="9.296875" style="154"/>
    <col min="6657" max="6657" width="5" style="154" customWidth="1"/>
    <col min="6658" max="6658" width="76.296875" style="154" customWidth="1"/>
    <col min="6659" max="6659" width="17.19921875" style="154" customWidth="1"/>
    <col min="6660" max="6660" width="19.19921875" style="154" customWidth="1"/>
    <col min="6661" max="6661" width="17.19921875" style="154" customWidth="1"/>
    <col min="6662" max="6662" width="9.296875" style="154"/>
    <col min="6663" max="6663" width="12.796875" style="154" bestFit="1" customWidth="1"/>
    <col min="6664" max="6912" width="9.296875" style="154"/>
    <col min="6913" max="6913" width="5" style="154" customWidth="1"/>
    <col min="6914" max="6914" width="76.296875" style="154" customWidth="1"/>
    <col min="6915" max="6915" width="17.19921875" style="154" customWidth="1"/>
    <col min="6916" max="6916" width="19.19921875" style="154" customWidth="1"/>
    <col min="6917" max="6917" width="17.19921875" style="154" customWidth="1"/>
    <col min="6918" max="6918" width="9.296875" style="154"/>
    <col min="6919" max="6919" width="12.796875" style="154" bestFit="1" customWidth="1"/>
    <col min="6920" max="7168" width="9.296875" style="154"/>
    <col min="7169" max="7169" width="5" style="154" customWidth="1"/>
    <col min="7170" max="7170" width="76.296875" style="154" customWidth="1"/>
    <col min="7171" max="7171" width="17.19921875" style="154" customWidth="1"/>
    <col min="7172" max="7172" width="19.19921875" style="154" customWidth="1"/>
    <col min="7173" max="7173" width="17.19921875" style="154" customWidth="1"/>
    <col min="7174" max="7174" width="9.296875" style="154"/>
    <col min="7175" max="7175" width="12.796875" style="154" bestFit="1" customWidth="1"/>
    <col min="7176" max="7424" width="9.296875" style="154"/>
    <col min="7425" max="7425" width="5" style="154" customWidth="1"/>
    <col min="7426" max="7426" width="76.296875" style="154" customWidth="1"/>
    <col min="7427" max="7427" width="17.19921875" style="154" customWidth="1"/>
    <col min="7428" max="7428" width="19.19921875" style="154" customWidth="1"/>
    <col min="7429" max="7429" width="17.19921875" style="154" customWidth="1"/>
    <col min="7430" max="7430" width="9.296875" style="154"/>
    <col min="7431" max="7431" width="12.796875" style="154" bestFit="1" customWidth="1"/>
    <col min="7432" max="7680" width="9.296875" style="154"/>
    <col min="7681" max="7681" width="5" style="154" customWidth="1"/>
    <col min="7682" max="7682" width="76.296875" style="154" customWidth="1"/>
    <col min="7683" max="7683" width="17.19921875" style="154" customWidth="1"/>
    <col min="7684" max="7684" width="19.19921875" style="154" customWidth="1"/>
    <col min="7685" max="7685" width="17.19921875" style="154" customWidth="1"/>
    <col min="7686" max="7686" width="9.296875" style="154"/>
    <col min="7687" max="7687" width="12.796875" style="154" bestFit="1" customWidth="1"/>
    <col min="7688" max="7936" width="9.296875" style="154"/>
    <col min="7937" max="7937" width="5" style="154" customWidth="1"/>
    <col min="7938" max="7938" width="76.296875" style="154" customWidth="1"/>
    <col min="7939" max="7939" width="17.19921875" style="154" customWidth="1"/>
    <col min="7940" max="7940" width="19.19921875" style="154" customWidth="1"/>
    <col min="7941" max="7941" width="17.19921875" style="154" customWidth="1"/>
    <col min="7942" max="7942" width="9.296875" style="154"/>
    <col min="7943" max="7943" width="12.796875" style="154" bestFit="1" customWidth="1"/>
    <col min="7944" max="8192" width="9.296875" style="154"/>
    <col min="8193" max="8193" width="5" style="154" customWidth="1"/>
    <col min="8194" max="8194" width="76.296875" style="154" customWidth="1"/>
    <col min="8195" max="8195" width="17.19921875" style="154" customWidth="1"/>
    <col min="8196" max="8196" width="19.19921875" style="154" customWidth="1"/>
    <col min="8197" max="8197" width="17.19921875" style="154" customWidth="1"/>
    <col min="8198" max="8198" width="9.296875" style="154"/>
    <col min="8199" max="8199" width="12.796875" style="154" bestFit="1" customWidth="1"/>
    <col min="8200" max="8448" width="9.296875" style="154"/>
    <col min="8449" max="8449" width="5" style="154" customWidth="1"/>
    <col min="8450" max="8450" width="76.296875" style="154" customWidth="1"/>
    <col min="8451" max="8451" width="17.19921875" style="154" customWidth="1"/>
    <col min="8452" max="8452" width="19.19921875" style="154" customWidth="1"/>
    <col min="8453" max="8453" width="17.19921875" style="154" customWidth="1"/>
    <col min="8454" max="8454" width="9.296875" style="154"/>
    <col min="8455" max="8455" width="12.796875" style="154" bestFit="1" customWidth="1"/>
    <col min="8456" max="8704" width="9.296875" style="154"/>
    <col min="8705" max="8705" width="5" style="154" customWidth="1"/>
    <col min="8706" max="8706" width="76.296875" style="154" customWidth="1"/>
    <col min="8707" max="8707" width="17.19921875" style="154" customWidth="1"/>
    <col min="8708" max="8708" width="19.19921875" style="154" customWidth="1"/>
    <col min="8709" max="8709" width="17.19921875" style="154" customWidth="1"/>
    <col min="8710" max="8710" width="9.296875" style="154"/>
    <col min="8711" max="8711" width="12.796875" style="154" bestFit="1" customWidth="1"/>
    <col min="8712" max="8960" width="9.296875" style="154"/>
    <col min="8961" max="8961" width="5" style="154" customWidth="1"/>
    <col min="8962" max="8962" width="76.296875" style="154" customWidth="1"/>
    <col min="8963" max="8963" width="17.19921875" style="154" customWidth="1"/>
    <col min="8964" max="8964" width="19.19921875" style="154" customWidth="1"/>
    <col min="8965" max="8965" width="17.19921875" style="154" customWidth="1"/>
    <col min="8966" max="8966" width="9.296875" style="154"/>
    <col min="8967" max="8967" width="12.796875" style="154" bestFit="1" customWidth="1"/>
    <col min="8968" max="9216" width="9.296875" style="154"/>
    <col min="9217" max="9217" width="5" style="154" customWidth="1"/>
    <col min="9218" max="9218" width="76.296875" style="154" customWidth="1"/>
    <col min="9219" max="9219" width="17.19921875" style="154" customWidth="1"/>
    <col min="9220" max="9220" width="19.19921875" style="154" customWidth="1"/>
    <col min="9221" max="9221" width="17.19921875" style="154" customWidth="1"/>
    <col min="9222" max="9222" width="9.296875" style="154"/>
    <col min="9223" max="9223" width="12.796875" style="154" bestFit="1" customWidth="1"/>
    <col min="9224" max="9472" width="9.296875" style="154"/>
    <col min="9473" max="9473" width="5" style="154" customWidth="1"/>
    <col min="9474" max="9474" width="76.296875" style="154" customWidth="1"/>
    <col min="9475" max="9475" width="17.19921875" style="154" customWidth="1"/>
    <col min="9476" max="9476" width="19.19921875" style="154" customWidth="1"/>
    <col min="9477" max="9477" width="17.19921875" style="154" customWidth="1"/>
    <col min="9478" max="9478" width="9.296875" style="154"/>
    <col min="9479" max="9479" width="12.796875" style="154" bestFit="1" customWidth="1"/>
    <col min="9480" max="9728" width="9.296875" style="154"/>
    <col min="9729" max="9729" width="5" style="154" customWidth="1"/>
    <col min="9730" max="9730" width="76.296875" style="154" customWidth="1"/>
    <col min="9731" max="9731" width="17.19921875" style="154" customWidth="1"/>
    <col min="9732" max="9732" width="19.19921875" style="154" customWidth="1"/>
    <col min="9733" max="9733" width="17.19921875" style="154" customWidth="1"/>
    <col min="9734" max="9734" width="9.296875" style="154"/>
    <col min="9735" max="9735" width="12.796875" style="154" bestFit="1" customWidth="1"/>
    <col min="9736" max="9984" width="9.296875" style="154"/>
    <col min="9985" max="9985" width="5" style="154" customWidth="1"/>
    <col min="9986" max="9986" width="76.296875" style="154" customWidth="1"/>
    <col min="9987" max="9987" width="17.19921875" style="154" customWidth="1"/>
    <col min="9988" max="9988" width="19.19921875" style="154" customWidth="1"/>
    <col min="9989" max="9989" width="17.19921875" style="154" customWidth="1"/>
    <col min="9990" max="9990" width="9.296875" style="154"/>
    <col min="9991" max="9991" width="12.796875" style="154" bestFit="1" customWidth="1"/>
    <col min="9992" max="10240" width="9.296875" style="154"/>
    <col min="10241" max="10241" width="5" style="154" customWidth="1"/>
    <col min="10242" max="10242" width="76.296875" style="154" customWidth="1"/>
    <col min="10243" max="10243" width="17.19921875" style="154" customWidth="1"/>
    <col min="10244" max="10244" width="19.19921875" style="154" customWidth="1"/>
    <col min="10245" max="10245" width="17.19921875" style="154" customWidth="1"/>
    <col min="10246" max="10246" width="9.296875" style="154"/>
    <col min="10247" max="10247" width="12.796875" style="154" bestFit="1" customWidth="1"/>
    <col min="10248" max="10496" width="9.296875" style="154"/>
    <col min="10497" max="10497" width="5" style="154" customWidth="1"/>
    <col min="10498" max="10498" width="76.296875" style="154" customWidth="1"/>
    <col min="10499" max="10499" width="17.19921875" style="154" customWidth="1"/>
    <col min="10500" max="10500" width="19.19921875" style="154" customWidth="1"/>
    <col min="10501" max="10501" width="17.19921875" style="154" customWidth="1"/>
    <col min="10502" max="10502" width="9.296875" style="154"/>
    <col min="10503" max="10503" width="12.796875" style="154" bestFit="1" customWidth="1"/>
    <col min="10504" max="10752" width="9.296875" style="154"/>
    <col min="10753" max="10753" width="5" style="154" customWidth="1"/>
    <col min="10754" max="10754" width="76.296875" style="154" customWidth="1"/>
    <col min="10755" max="10755" width="17.19921875" style="154" customWidth="1"/>
    <col min="10756" max="10756" width="19.19921875" style="154" customWidth="1"/>
    <col min="10757" max="10757" width="17.19921875" style="154" customWidth="1"/>
    <col min="10758" max="10758" width="9.296875" style="154"/>
    <col min="10759" max="10759" width="12.796875" style="154" bestFit="1" customWidth="1"/>
    <col min="10760" max="11008" width="9.296875" style="154"/>
    <col min="11009" max="11009" width="5" style="154" customWidth="1"/>
    <col min="11010" max="11010" width="76.296875" style="154" customWidth="1"/>
    <col min="11011" max="11011" width="17.19921875" style="154" customWidth="1"/>
    <col min="11012" max="11012" width="19.19921875" style="154" customWidth="1"/>
    <col min="11013" max="11013" width="17.19921875" style="154" customWidth="1"/>
    <col min="11014" max="11014" width="9.296875" style="154"/>
    <col min="11015" max="11015" width="12.796875" style="154" bestFit="1" customWidth="1"/>
    <col min="11016" max="11264" width="9.296875" style="154"/>
    <col min="11265" max="11265" width="5" style="154" customWidth="1"/>
    <col min="11266" max="11266" width="76.296875" style="154" customWidth="1"/>
    <col min="11267" max="11267" width="17.19921875" style="154" customWidth="1"/>
    <col min="11268" max="11268" width="19.19921875" style="154" customWidth="1"/>
    <col min="11269" max="11269" width="17.19921875" style="154" customWidth="1"/>
    <col min="11270" max="11270" width="9.296875" style="154"/>
    <col min="11271" max="11271" width="12.796875" style="154" bestFit="1" customWidth="1"/>
    <col min="11272" max="11520" width="9.296875" style="154"/>
    <col min="11521" max="11521" width="5" style="154" customWidth="1"/>
    <col min="11522" max="11522" width="76.296875" style="154" customWidth="1"/>
    <col min="11523" max="11523" width="17.19921875" style="154" customWidth="1"/>
    <col min="11524" max="11524" width="19.19921875" style="154" customWidth="1"/>
    <col min="11525" max="11525" width="17.19921875" style="154" customWidth="1"/>
    <col min="11526" max="11526" width="9.296875" style="154"/>
    <col min="11527" max="11527" width="12.796875" style="154" bestFit="1" customWidth="1"/>
    <col min="11528" max="11776" width="9.296875" style="154"/>
    <col min="11777" max="11777" width="5" style="154" customWidth="1"/>
    <col min="11778" max="11778" width="76.296875" style="154" customWidth="1"/>
    <col min="11779" max="11779" width="17.19921875" style="154" customWidth="1"/>
    <col min="11780" max="11780" width="19.19921875" style="154" customWidth="1"/>
    <col min="11781" max="11781" width="17.19921875" style="154" customWidth="1"/>
    <col min="11782" max="11782" width="9.296875" style="154"/>
    <col min="11783" max="11783" width="12.796875" style="154" bestFit="1" customWidth="1"/>
    <col min="11784" max="12032" width="9.296875" style="154"/>
    <col min="12033" max="12033" width="5" style="154" customWidth="1"/>
    <col min="12034" max="12034" width="76.296875" style="154" customWidth="1"/>
    <col min="12035" max="12035" width="17.19921875" style="154" customWidth="1"/>
    <col min="12036" max="12036" width="19.19921875" style="154" customWidth="1"/>
    <col min="12037" max="12037" width="17.19921875" style="154" customWidth="1"/>
    <col min="12038" max="12038" width="9.296875" style="154"/>
    <col min="12039" max="12039" width="12.796875" style="154" bestFit="1" customWidth="1"/>
    <col min="12040" max="12288" width="9.296875" style="154"/>
    <col min="12289" max="12289" width="5" style="154" customWidth="1"/>
    <col min="12290" max="12290" width="76.296875" style="154" customWidth="1"/>
    <col min="12291" max="12291" width="17.19921875" style="154" customWidth="1"/>
    <col min="12292" max="12292" width="19.19921875" style="154" customWidth="1"/>
    <col min="12293" max="12293" width="17.19921875" style="154" customWidth="1"/>
    <col min="12294" max="12294" width="9.296875" style="154"/>
    <col min="12295" max="12295" width="12.796875" style="154" bestFit="1" customWidth="1"/>
    <col min="12296" max="12544" width="9.296875" style="154"/>
    <col min="12545" max="12545" width="5" style="154" customWidth="1"/>
    <col min="12546" max="12546" width="76.296875" style="154" customWidth="1"/>
    <col min="12547" max="12547" width="17.19921875" style="154" customWidth="1"/>
    <col min="12548" max="12548" width="19.19921875" style="154" customWidth="1"/>
    <col min="12549" max="12549" width="17.19921875" style="154" customWidth="1"/>
    <col min="12550" max="12550" width="9.296875" style="154"/>
    <col min="12551" max="12551" width="12.796875" style="154" bestFit="1" customWidth="1"/>
    <col min="12552" max="12800" width="9.296875" style="154"/>
    <col min="12801" max="12801" width="5" style="154" customWidth="1"/>
    <col min="12802" max="12802" width="76.296875" style="154" customWidth="1"/>
    <col min="12803" max="12803" width="17.19921875" style="154" customWidth="1"/>
    <col min="12804" max="12804" width="19.19921875" style="154" customWidth="1"/>
    <col min="12805" max="12805" width="17.19921875" style="154" customWidth="1"/>
    <col min="12806" max="12806" width="9.296875" style="154"/>
    <col min="12807" max="12807" width="12.796875" style="154" bestFit="1" customWidth="1"/>
    <col min="12808" max="13056" width="9.296875" style="154"/>
    <col min="13057" max="13057" width="5" style="154" customWidth="1"/>
    <col min="13058" max="13058" width="76.296875" style="154" customWidth="1"/>
    <col min="13059" max="13059" width="17.19921875" style="154" customWidth="1"/>
    <col min="13060" max="13060" width="19.19921875" style="154" customWidth="1"/>
    <col min="13061" max="13061" width="17.19921875" style="154" customWidth="1"/>
    <col min="13062" max="13062" width="9.296875" style="154"/>
    <col min="13063" max="13063" width="12.796875" style="154" bestFit="1" customWidth="1"/>
    <col min="13064" max="13312" width="9.296875" style="154"/>
    <col min="13313" max="13313" width="5" style="154" customWidth="1"/>
    <col min="13314" max="13314" width="76.296875" style="154" customWidth="1"/>
    <col min="13315" max="13315" width="17.19921875" style="154" customWidth="1"/>
    <col min="13316" max="13316" width="19.19921875" style="154" customWidth="1"/>
    <col min="13317" max="13317" width="17.19921875" style="154" customWidth="1"/>
    <col min="13318" max="13318" width="9.296875" style="154"/>
    <col min="13319" max="13319" width="12.796875" style="154" bestFit="1" customWidth="1"/>
    <col min="13320" max="13568" width="9.296875" style="154"/>
    <col min="13569" max="13569" width="5" style="154" customWidth="1"/>
    <col min="13570" max="13570" width="76.296875" style="154" customWidth="1"/>
    <col min="13571" max="13571" width="17.19921875" style="154" customWidth="1"/>
    <col min="13572" max="13572" width="19.19921875" style="154" customWidth="1"/>
    <col min="13573" max="13573" width="17.19921875" style="154" customWidth="1"/>
    <col min="13574" max="13574" width="9.296875" style="154"/>
    <col min="13575" max="13575" width="12.796875" style="154" bestFit="1" customWidth="1"/>
    <col min="13576" max="13824" width="9.296875" style="154"/>
    <col min="13825" max="13825" width="5" style="154" customWidth="1"/>
    <col min="13826" max="13826" width="76.296875" style="154" customWidth="1"/>
    <col min="13827" max="13827" width="17.19921875" style="154" customWidth="1"/>
    <col min="13828" max="13828" width="19.19921875" style="154" customWidth="1"/>
    <col min="13829" max="13829" width="17.19921875" style="154" customWidth="1"/>
    <col min="13830" max="13830" width="9.296875" style="154"/>
    <col min="13831" max="13831" width="12.796875" style="154" bestFit="1" customWidth="1"/>
    <col min="13832" max="14080" width="9.296875" style="154"/>
    <col min="14081" max="14081" width="5" style="154" customWidth="1"/>
    <col min="14082" max="14082" width="76.296875" style="154" customWidth="1"/>
    <col min="14083" max="14083" width="17.19921875" style="154" customWidth="1"/>
    <col min="14084" max="14084" width="19.19921875" style="154" customWidth="1"/>
    <col min="14085" max="14085" width="17.19921875" style="154" customWidth="1"/>
    <col min="14086" max="14086" width="9.296875" style="154"/>
    <col min="14087" max="14087" width="12.796875" style="154" bestFit="1" customWidth="1"/>
    <col min="14088" max="14336" width="9.296875" style="154"/>
    <col min="14337" max="14337" width="5" style="154" customWidth="1"/>
    <col min="14338" max="14338" width="76.296875" style="154" customWidth="1"/>
    <col min="14339" max="14339" width="17.19921875" style="154" customWidth="1"/>
    <col min="14340" max="14340" width="19.19921875" style="154" customWidth="1"/>
    <col min="14341" max="14341" width="17.19921875" style="154" customWidth="1"/>
    <col min="14342" max="14342" width="9.296875" style="154"/>
    <col min="14343" max="14343" width="12.796875" style="154" bestFit="1" customWidth="1"/>
    <col min="14344" max="14592" width="9.296875" style="154"/>
    <col min="14593" max="14593" width="5" style="154" customWidth="1"/>
    <col min="14594" max="14594" width="76.296875" style="154" customWidth="1"/>
    <col min="14595" max="14595" width="17.19921875" style="154" customWidth="1"/>
    <col min="14596" max="14596" width="19.19921875" style="154" customWidth="1"/>
    <col min="14597" max="14597" width="17.19921875" style="154" customWidth="1"/>
    <col min="14598" max="14598" width="9.296875" style="154"/>
    <col min="14599" max="14599" width="12.796875" style="154" bestFit="1" customWidth="1"/>
    <col min="14600" max="14848" width="9.296875" style="154"/>
    <col min="14849" max="14849" width="5" style="154" customWidth="1"/>
    <col min="14850" max="14850" width="76.296875" style="154" customWidth="1"/>
    <col min="14851" max="14851" width="17.19921875" style="154" customWidth="1"/>
    <col min="14852" max="14852" width="19.19921875" style="154" customWidth="1"/>
    <col min="14853" max="14853" width="17.19921875" style="154" customWidth="1"/>
    <col min="14854" max="14854" width="9.296875" style="154"/>
    <col min="14855" max="14855" width="12.796875" style="154" bestFit="1" customWidth="1"/>
    <col min="14856" max="15104" width="9.296875" style="154"/>
    <col min="15105" max="15105" width="5" style="154" customWidth="1"/>
    <col min="15106" max="15106" width="76.296875" style="154" customWidth="1"/>
    <col min="15107" max="15107" width="17.19921875" style="154" customWidth="1"/>
    <col min="15108" max="15108" width="19.19921875" style="154" customWidth="1"/>
    <col min="15109" max="15109" width="17.19921875" style="154" customWidth="1"/>
    <col min="15110" max="15110" width="9.296875" style="154"/>
    <col min="15111" max="15111" width="12.796875" style="154" bestFit="1" customWidth="1"/>
    <col min="15112" max="15360" width="9.296875" style="154"/>
    <col min="15361" max="15361" width="5" style="154" customWidth="1"/>
    <col min="15362" max="15362" width="76.296875" style="154" customWidth="1"/>
    <col min="15363" max="15363" width="17.19921875" style="154" customWidth="1"/>
    <col min="15364" max="15364" width="19.19921875" style="154" customWidth="1"/>
    <col min="15365" max="15365" width="17.19921875" style="154" customWidth="1"/>
    <col min="15366" max="15366" width="9.296875" style="154"/>
    <col min="15367" max="15367" width="12.796875" style="154" bestFit="1" customWidth="1"/>
    <col min="15368" max="15616" width="9.296875" style="154"/>
    <col min="15617" max="15617" width="5" style="154" customWidth="1"/>
    <col min="15618" max="15618" width="76.296875" style="154" customWidth="1"/>
    <col min="15619" max="15619" width="17.19921875" style="154" customWidth="1"/>
    <col min="15620" max="15620" width="19.19921875" style="154" customWidth="1"/>
    <col min="15621" max="15621" width="17.19921875" style="154" customWidth="1"/>
    <col min="15622" max="15622" width="9.296875" style="154"/>
    <col min="15623" max="15623" width="12.796875" style="154" bestFit="1" customWidth="1"/>
    <col min="15624" max="15872" width="9.296875" style="154"/>
    <col min="15873" max="15873" width="5" style="154" customWidth="1"/>
    <col min="15874" max="15874" width="76.296875" style="154" customWidth="1"/>
    <col min="15875" max="15875" width="17.19921875" style="154" customWidth="1"/>
    <col min="15876" max="15876" width="19.19921875" style="154" customWidth="1"/>
    <col min="15877" max="15877" width="17.19921875" style="154" customWidth="1"/>
    <col min="15878" max="15878" width="9.296875" style="154"/>
    <col min="15879" max="15879" width="12.796875" style="154" bestFit="1" customWidth="1"/>
    <col min="15880" max="16128" width="9.296875" style="154"/>
    <col min="16129" max="16129" width="5" style="154" customWidth="1"/>
    <col min="16130" max="16130" width="76.296875" style="154" customWidth="1"/>
    <col min="16131" max="16131" width="17.19921875" style="154" customWidth="1"/>
    <col min="16132" max="16132" width="19.19921875" style="154" customWidth="1"/>
    <col min="16133" max="16133" width="17.19921875" style="154" customWidth="1"/>
    <col min="16134" max="16134" width="9.296875" style="154"/>
    <col min="16135" max="16135" width="12.796875" style="154" bestFit="1" customWidth="1"/>
    <col min="16136" max="16384" width="9.296875" style="154"/>
  </cols>
  <sheetData>
    <row r="1" spans="1:7" ht="36.75" customHeight="1" x14ac:dyDescent="0.35">
      <c r="A1" s="914" t="s">
        <v>625</v>
      </c>
      <c r="B1" s="914"/>
      <c r="C1" s="914"/>
      <c r="D1" s="914"/>
      <c r="E1" s="914"/>
    </row>
    <row r="2" spans="1:7" ht="15" customHeight="1" x14ac:dyDescent="0.35">
      <c r="A2" s="151"/>
      <c r="B2" s="151"/>
      <c r="C2" s="151" t="s">
        <v>612</v>
      </c>
      <c r="D2" s="151"/>
      <c r="E2" s="151"/>
    </row>
    <row r="3" spans="1:7" x14ac:dyDescent="0.35">
      <c r="A3" s="35"/>
      <c r="B3" s="35"/>
      <c r="C3" s="155"/>
      <c r="D3" s="155"/>
      <c r="E3" s="162" t="s">
        <v>554</v>
      </c>
    </row>
    <row r="4" spans="1:7" s="156" customFormat="1" ht="56" x14ac:dyDescent="0.3">
      <c r="A4" s="509" t="s">
        <v>404</v>
      </c>
      <c r="B4" s="509" t="s">
        <v>603</v>
      </c>
      <c r="C4" s="510" t="s">
        <v>609</v>
      </c>
      <c r="D4" s="510" t="s">
        <v>610</v>
      </c>
      <c r="E4" s="510" t="s">
        <v>604</v>
      </c>
      <c r="G4" s="157"/>
    </row>
    <row r="5" spans="1:7" s="156" customFormat="1" ht="12" customHeight="1" x14ac:dyDescent="0.3">
      <c r="A5" s="511">
        <v>1</v>
      </c>
      <c r="B5" s="511">
        <v>2</v>
      </c>
      <c r="C5" s="512">
        <v>3</v>
      </c>
      <c r="D5" s="512">
        <v>4</v>
      </c>
      <c r="E5" s="512">
        <v>5</v>
      </c>
    </row>
    <row r="6" spans="1:7" s="156" customFormat="1" ht="18" customHeight="1" x14ac:dyDescent="0.3">
      <c r="A6" s="513" t="s">
        <v>10</v>
      </c>
      <c r="B6" s="514"/>
      <c r="C6" s="515">
        <v>0</v>
      </c>
      <c r="D6" s="515">
        <v>0</v>
      </c>
      <c r="E6" s="516"/>
    </row>
    <row r="7" spans="1:7" s="156" customFormat="1" ht="18" customHeight="1" x14ac:dyDescent="0.3">
      <c r="A7" s="513" t="s">
        <v>13</v>
      </c>
      <c r="B7" s="514"/>
      <c r="C7" s="515">
        <v>0</v>
      </c>
      <c r="D7" s="515">
        <v>0</v>
      </c>
      <c r="E7" s="516"/>
    </row>
    <row r="8" spans="1:7" s="156" customFormat="1" ht="18" customHeight="1" x14ac:dyDescent="0.3">
      <c r="A8" s="513" t="s">
        <v>16</v>
      </c>
      <c r="B8" s="517"/>
      <c r="C8" s="515"/>
      <c r="D8" s="515"/>
      <c r="E8" s="516"/>
    </row>
    <row r="9" spans="1:7" s="156" customFormat="1" ht="18" customHeight="1" x14ac:dyDescent="0.3">
      <c r="A9" s="513" t="s">
        <v>19</v>
      </c>
      <c r="B9" s="514"/>
      <c r="C9" s="518"/>
      <c r="D9" s="518"/>
      <c r="E9" s="516"/>
    </row>
    <row r="10" spans="1:7" s="156" customFormat="1" ht="18" customHeight="1" x14ac:dyDescent="0.3">
      <c r="A10" s="513" t="s">
        <v>22</v>
      </c>
      <c r="B10" s="519"/>
      <c r="C10" s="520"/>
      <c r="D10" s="520"/>
      <c r="E10" s="516"/>
    </row>
    <row r="11" spans="1:7" s="156" customFormat="1" ht="18" customHeight="1" x14ac:dyDescent="0.3">
      <c r="A11" s="513" t="s">
        <v>25</v>
      </c>
      <c r="B11" s="521"/>
      <c r="C11" s="518"/>
      <c r="D11" s="518"/>
      <c r="E11" s="516"/>
    </row>
    <row r="12" spans="1:7" s="156" customFormat="1" ht="18" customHeight="1" x14ac:dyDescent="0.3">
      <c r="A12" s="513" t="s">
        <v>28</v>
      </c>
      <c r="B12" s="521"/>
      <c r="C12" s="518"/>
      <c r="D12" s="518"/>
      <c r="E12" s="516"/>
    </row>
    <row r="13" spans="1:7" s="156" customFormat="1" ht="18" customHeight="1" x14ac:dyDescent="0.3">
      <c r="A13" s="513" t="s">
        <v>31</v>
      </c>
      <c r="B13" s="521"/>
      <c r="C13" s="518"/>
      <c r="D13" s="518"/>
      <c r="E13" s="516"/>
    </row>
    <row r="14" spans="1:7" s="156" customFormat="1" ht="18" customHeight="1" x14ac:dyDescent="0.3">
      <c r="A14" s="513" t="s">
        <v>34</v>
      </c>
      <c r="B14" s="521"/>
      <c r="C14" s="518"/>
      <c r="D14" s="518"/>
      <c r="E14" s="516"/>
    </row>
    <row r="15" spans="1:7" s="156" customFormat="1" ht="18" customHeight="1" x14ac:dyDescent="0.3">
      <c r="A15" s="513" t="s">
        <v>37</v>
      </c>
      <c r="B15" s="521"/>
      <c r="C15" s="518"/>
      <c r="D15" s="518"/>
      <c r="E15" s="516"/>
    </row>
    <row r="16" spans="1:7" s="156" customFormat="1" x14ac:dyDescent="0.3">
      <c r="A16" s="522" t="s">
        <v>39</v>
      </c>
      <c r="B16" s="523" t="s">
        <v>605</v>
      </c>
      <c r="C16" s="524">
        <f>SUM(C6:C15)</f>
        <v>0</v>
      </c>
      <c r="D16" s="524">
        <f>SUM(D6:D15)</f>
        <v>0</v>
      </c>
      <c r="E16" s="524">
        <f>SUM(E6:E15)</f>
        <v>0</v>
      </c>
    </row>
    <row r="17" spans="1:6" s="156" customFormat="1" x14ac:dyDescent="0.3">
      <c r="A17" s="513" t="s">
        <v>41</v>
      </c>
      <c r="B17" s="525"/>
      <c r="C17" s="526"/>
      <c r="D17" s="526"/>
      <c r="E17" s="516"/>
    </row>
    <row r="18" spans="1:6" s="156" customFormat="1" x14ac:dyDescent="0.3">
      <c r="A18" s="522" t="s">
        <v>43</v>
      </c>
      <c r="B18" s="523" t="s">
        <v>606</v>
      </c>
      <c r="C18" s="524">
        <f>SUM(C17:C17)</f>
        <v>0</v>
      </c>
      <c r="D18" s="524">
        <f>SUM(D17:D17)</f>
        <v>0</v>
      </c>
      <c r="E18" s="524">
        <f>SUM(E17:E17)</f>
        <v>0</v>
      </c>
    </row>
    <row r="19" spans="1:6" s="156" customFormat="1" x14ac:dyDescent="0.3">
      <c r="A19" s="513" t="s">
        <v>45</v>
      </c>
      <c r="B19" s="527"/>
      <c r="C19" s="526"/>
      <c r="D19" s="526"/>
      <c r="E19" s="516"/>
    </row>
    <row r="20" spans="1:6" s="156" customFormat="1" x14ac:dyDescent="0.3">
      <c r="A20" s="513" t="s">
        <v>47</v>
      </c>
      <c r="B20" s="527"/>
      <c r="C20" s="528"/>
      <c r="D20" s="528"/>
      <c r="E20" s="516"/>
    </row>
    <row r="21" spans="1:6" s="156" customFormat="1" x14ac:dyDescent="0.3">
      <c r="A21" s="513" t="s">
        <v>49</v>
      </c>
      <c r="B21" s="525"/>
      <c r="C21" s="526"/>
      <c r="D21" s="526"/>
      <c r="E21" s="516"/>
    </row>
    <row r="22" spans="1:6" s="156" customFormat="1" x14ac:dyDescent="0.3">
      <c r="A22" s="513" t="s">
        <v>51</v>
      </c>
      <c r="B22" s="525"/>
      <c r="C22" s="526"/>
      <c r="D22" s="526"/>
      <c r="E22" s="516"/>
    </row>
    <row r="23" spans="1:6" s="156" customFormat="1" x14ac:dyDescent="0.3">
      <c r="A23" s="513" t="s">
        <v>54</v>
      </c>
      <c r="B23" s="525"/>
      <c r="C23" s="529"/>
      <c r="D23" s="529"/>
      <c r="E23" s="516"/>
    </row>
    <row r="24" spans="1:6" s="156" customFormat="1" x14ac:dyDescent="0.3">
      <c r="A24" s="522" t="s">
        <v>57</v>
      </c>
      <c r="B24" s="523" t="s">
        <v>607</v>
      </c>
      <c r="C24" s="524">
        <f>SUM(C19:C23)</f>
        <v>0</v>
      </c>
      <c r="D24" s="524">
        <f>SUM(D19:D23)</f>
        <v>0</v>
      </c>
      <c r="E24" s="524">
        <f>SUM(E19:E23)</f>
        <v>0</v>
      </c>
    </row>
    <row r="25" spans="1:6" s="156" customFormat="1" ht="27" customHeight="1" x14ac:dyDescent="0.3">
      <c r="A25" s="522" t="s">
        <v>60</v>
      </c>
      <c r="B25" s="216" t="s">
        <v>608</v>
      </c>
      <c r="C25" s="530">
        <f>SUM(C24,C18,C16)</f>
        <v>0</v>
      </c>
      <c r="D25" s="530">
        <f>SUM(D24,D18,D16)</f>
        <v>0</v>
      </c>
      <c r="E25" s="530">
        <f>SUM(E24,E18,E16)</f>
        <v>0</v>
      </c>
    </row>
    <row r="28" spans="1:6" x14ac:dyDescent="0.35">
      <c r="A28" s="158"/>
      <c r="B28" s="159"/>
      <c r="C28" s="158"/>
      <c r="D28" s="158"/>
      <c r="E28" s="158"/>
    </row>
    <row r="29" spans="1:6" x14ac:dyDescent="0.35">
      <c r="A29" s="158"/>
      <c r="B29" s="159"/>
      <c r="C29" s="158"/>
      <c r="D29" s="158"/>
      <c r="E29" s="158"/>
    </row>
    <row r="30" spans="1:6" x14ac:dyDescent="0.35">
      <c r="A30" s="158"/>
      <c r="B30" s="159"/>
      <c r="C30" s="158"/>
      <c r="D30" s="158"/>
      <c r="E30" s="158"/>
      <c r="F30" s="160"/>
    </row>
    <row r="31" spans="1:6" x14ac:dyDescent="0.35">
      <c r="A31" s="158"/>
      <c r="B31" s="159"/>
      <c r="C31" s="158"/>
      <c r="D31" s="158"/>
      <c r="E31" s="158"/>
    </row>
    <row r="32" spans="1:6" x14ac:dyDescent="0.35">
      <c r="A32" s="158"/>
      <c r="B32" s="159"/>
      <c r="C32" s="158"/>
      <c r="D32" s="158"/>
      <c r="E32" s="158"/>
    </row>
    <row r="33" spans="1:5" x14ac:dyDescent="0.35">
      <c r="A33" s="158"/>
      <c r="B33" s="159"/>
      <c r="C33" s="158"/>
      <c r="D33" s="158"/>
      <c r="E33" s="158"/>
    </row>
    <row r="34" spans="1:5" x14ac:dyDescent="0.35">
      <c r="A34" s="158"/>
      <c r="B34" s="159"/>
      <c r="C34" s="158"/>
      <c r="D34" s="158"/>
      <c r="E34" s="158"/>
    </row>
    <row r="35" spans="1:5" x14ac:dyDescent="0.35">
      <c r="A35" s="158"/>
      <c r="B35" s="159"/>
      <c r="C35" s="158"/>
      <c r="D35" s="158"/>
      <c r="E35" s="158"/>
    </row>
    <row r="36" spans="1:5" x14ac:dyDescent="0.35">
      <c r="A36" s="158"/>
      <c r="B36" s="159"/>
      <c r="C36" s="158"/>
      <c r="D36" s="158"/>
      <c r="E36" s="158"/>
    </row>
    <row r="37" spans="1:5" x14ac:dyDescent="0.35">
      <c r="A37" s="158"/>
      <c r="B37" s="158"/>
      <c r="C37" s="158"/>
      <c r="D37" s="158"/>
      <c r="E37" s="158"/>
    </row>
    <row r="38" spans="1:5" x14ac:dyDescent="0.35">
      <c r="A38" s="158"/>
      <c r="B38" s="158"/>
      <c r="C38" s="158"/>
      <c r="D38" s="158"/>
      <c r="E38" s="158"/>
    </row>
    <row r="39" spans="1:5" x14ac:dyDescent="0.35">
      <c r="A39" s="158"/>
      <c r="B39" s="158"/>
      <c r="C39" s="158"/>
      <c r="D39" s="158"/>
      <c r="E39" s="158"/>
    </row>
    <row r="40" spans="1:5" x14ac:dyDescent="0.35">
      <c r="A40" s="158"/>
      <c r="B40" s="158"/>
      <c r="C40" s="158"/>
      <c r="D40" s="158"/>
      <c r="E40" s="158"/>
    </row>
    <row r="41" spans="1:5" x14ac:dyDescent="0.35">
      <c r="A41" s="158"/>
      <c r="B41" s="158"/>
      <c r="C41" s="158"/>
      <c r="D41" s="158"/>
      <c r="E41" s="158"/>
    </row>
    <row r="42" spans="1:5" x14ac:dyDescent="0.35">
      <c r="A42" s="158"/>
      <c r="B42" s="158"/>
      <c r="C42" s="158"/>
      <c r="D42" s="158"/>
      <c r="E42" s="158"/>
    </row>
    <row r="43" spans="1:5" x14ac:dyDescent="0.35">
      <c r="A43" s="158"/>
      <c r="B43" s="158"/>
      <c r="C43" s="158"/>
      <c r="D43" s="158"/>
      <c r="E43" s="158"/>
    </row>
    <row r="44" spans="1:5" x14ac:dyDescent="0.35">
      <c r="A44" s="158"/>
      <c r="B44" s="158"/>
      <c r="C44" s="158"/>
      <c r="D44" s="158"/>
      <c r="E44" s="158"/>
    </row>
  </sheetData>
  <mergeCells count="1"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3" firstPageNumber="53" fitToHeight="0" orientation="portrait" useFirstPageNumber="1" r:id="rId1"/>
  <headerFooter>
    <oddHeader>&amp;R&amp;"Times New Roman CE,Félkövér dőlt"&amp;11 19. melléklet a 4/2018. (III.19.)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" sqref="D4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view="pageLayout" topLeftCell="L1" zoomScaleNormal="100" zoomScaleSheetLayoutView="100" workbookViewId="0">
      <selection activeCell="J3" sqref="J3:Q3"/>
    </sheetView>
  </sheetViews>
  <sheetFormatPr defaultColWidth="9.296875" defaultRowHeight="13" x14ac:dyDescent="0.3"/>
  <cols>
    <col min="1" max="1" width="7" style="12" customWidth="1"/>
    <col min="2" max="2" width="58" style="13" customWidth="1"/>
    <col min="3" max="8" width="18.296875" style="12" customWidth="1"/>
    <col min="9" max="9" width="11.19921875" style="618" customWidth="1"/>
    <col min="10" max="10" width="56" style="12" customWidth="1"/>
    <col min="11" max="11" width="19.19921875" style="12" customWidth="1"/>
    <col min="12" max="12" width="15.19921875" style="581" bestFit="1" customWidth="1"/>
    <col min="13" max="14" width="15.19921875" style="12" customWidth="1"/>
    <col min="15" max="15" width="14.5" style="12" bestFit="1" customWidth="1"/>
    <col min="16" max="16" width="14.5" style="12" customWidth="1"/>
    <col min="17" max="17" width="15.296875" style="618" bestFit="1" customWidth="1"/>
    <col min="18" max="16384" width="9.296875" style="12"/>
  </cols>
  <sheetData>
    <row r="1" spans="1:17" ht="44.25" customHeight="1" x14ac:dyDescent="0.3">
      <c r="A1" s="834" t="s">
        <v>635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  <c r="Q1" s="834"/>
    </row>
    <row r="2" spans="1:17" x14ac:dyDescent="0.25">
      <c r="L2" s="578"/>
      <c r="M2" s="11"/>
      <c r="N2" s="11"/>
      <c r="O2" s="14"/>
      <c r="P2" s="557" t="s">
        <v>801</v>
      </c>
      <c r="Q2" s="621" t="s">
        <v>1</v>
      </c>
    </row>
    <row r="3" spans="1:17" ht="18" customHeight="1" x14ac:dyDescent="0.3">
      <c r="A3" s="830" t="s">
        <v>2</v>
      </c>
      <c r="B3" s="831" t="s">
        <v>265</v>
      </c>
      <c r="C3" s="832"/>
      <c r="D3" s="832"/>
      <c r="E3" s="832"/>
      <c r="F3" s="832"/>
      <c r="G3" s="832"/>
      <c r="H3" s="832"/>
      <c r="I3" s="833"/>
      <c r="J3" s="831" t="s">
        <v>266</v>
      </c>
      <c r="K3" s="832"/>
      <c r="L3" s="832"/>
      <c r="M3" s="832"/>
      <c r="N3" s="832"/>
      <c r="O3" s="832"/>
      <c r="P3" s="832"/>
      <c r="Q3" s="833"/>
    </row>
    <row r="4" spans="1:17" s="15" customFormat="1" ht="35.25" customHeight="1" x14ac:dyDescent="0.3">
      <c r="A4" s="830"/>
      <c r="B4" s="16" t="s">
        <v>267</v>
      </c>
      <c r="C4" s="16" t="s">
        <v>268</v>
      </c>
      <c r="D4" s="16" t="s">
        <v>824</v>
      </c>
      <c r="E4" s="545" t="s">
        <v>825</v>
      </c>
      <c r="F4" s="677" t="s">
        <v>856</v>
      </c>
      <c r="G4" s="16" t="s">
        <v>798</v>
      </c>
      <c r="H4" s="545" t="s">
        <v>826</v>
      </c>
      <c r="I4" s="619" t="s">
        <v>827</v>
      </c>
      <c r="J4" s="16" t="s">
        <v>267</v>
      </c>
      <c r="K4" s="16" t="str">
        <f>+C4</f>
        <v>2017. évi előirányzat</v>
      </c>
      <c r="L4" s="556" t="s">
        <v>824</v>
      </c>
      <c r="M4" s="545" t="s">
        <v>825</v>
      </c>
      <c r="N4" s="677" t="s">
        <v>856</v>
      </c>
      <c r="O4" s="16" t="s">
        <v>798</v>
      </c>
      <c r="P4" s="545" t="s">
        <v>826</v>
      </c>
      <c r="Q4" s="622" t="s">
        <v>827</v>
      </c>
    </row>
    <row r="5" spans="1:17" s="17" customFormat="1" ht="12" customHeight="1" x14ac:dyDescent="0.3">
      <c r="A5" s="16" t="s">
        <v>6</v>
      </c>
      <c r="B5" s="16" t="s">
        <v>7</v>
      </c>
      <c r="C5" s="16" t="s">
        <v>8</v>
      </c>
      <c r="D5" s="16" t="s">
        <v>9</v>
      </c>
      <c r="E5" s="545" t="s">
        <v>269</v>
      </c>
      <c r="F5" s="677" t="s">
        <v>472</v>
      </c>
      <c r="G5" s="677" t="s">
        <v>796</v>
      </c>
      <c r="H5" s="677" t="s">
        <v>799</v>
      </c>
      <c r="I5" s="619" t="s">
        <v>800</v>
      </c>
      <c r="J5" s="677" t="s">
        <v>828</v>
      </c>
      <c r="K5" s="677" t="s">
        <v>829</v>
      </c>
      <c r="L5" s="681" t="s">
        <v>830</v>
      </c>
      <c r="M5" s="681" t="s">
        <v>857</v>
      </c>
      <c r="N5" s="681" t="s">
        <v>831</v>
      </c>
      <c r="O5" s="20" t="s">
        <v>832</v>
      </c>
      <c r="P5" s="20" t="s">
        <v>858</v>
      </c>
      <c r="Q5" s="623" t="s">
        <v>859</v>
      </c>
    </row>
    <row r="6" spans="1:17" ht="15.75" customHeight="1" x14ac:dyDescent="0.3">
      <c r="A6" s="233" t="s">
        <v>10</v>
      </c>
      <c r="B6" s="225" t="s">
        <v>467</v>
      </c>
      <c r="C6" s="226">
        <f>'1.sz.mell.'!D12</f>
        <v>847167451</v>
      </c>
      <c r="D6" s="226">
        <v>31012643</v>
      </c>
      <c r="E6" s="226">
        <v>25044581</v>
      </c>
      <c r="F6" s="226">
        <f>G6-C6-D6-E6</f>
        <v>19472635</v>
      </c>
      <c r="G6" s="226">
        <v>922697310</v>
      </c>
      <c r="H6" s="226">
        <v>922697310</v>
      </c>
      <c r="I6" s="620">
        <f>H6/G6</f>
        <v>1</v>
      </c>
      <c r="J6" s="225" t="str">
        <f>'1.sz.mell.'!B82</f>
        <v>Személyi  juttatások</v>
      </c>
      <c r="K6" s="226">
        <f>'1.sz.mell.'!D82</f>
        <v>323812114</v>
      </c>
      <c r="L6" s="579">
        <v>179565122</v>
      </c>
      <c r="M6" s="237">
        <v>2656731</v>
      </c>
      <c r="N6" s="237">
        <f>O6-K6-L6-M6</f>
        <v>15440002</v>
      </c>
      <c r="O6" s="227">
        <v>521473969</v>
      </c>
      <c r="P6" s="227">
        <v>453688351</v>
      </c>
      <c r="Q6" s="624">
        <f>P6/O6</f>
        <v>0.87001150195476007</v>
      </c>
    </row>
    <row r="7" spans="1:17" ht="15.75" customHeight="1" x14ac:dyDescent="0.3">
      <c r="A7" s="233" t="s">
        <v>13</v>
      </c>
      <c r="B7" s="225" t="s">
        <v>567</v>
      </c>
      <c r="C7" s="226">
        <f>'1.sz.mell.'!D13+'1.sz.mell.'!D14</f>
        <v>110724067</v>
      </c>
      <c r="D7" s="226">
        <v>279338329</v>
      </c>
      <c r="E7" s="226">
        <v>14486590</v>
      </c>
      <c r="F7" s="226">
        <f t="shared" ref="F7:F17" si="0">G7-C7-D7-E7</f>
        <v>7880021</v>
      </c>
      <c r="G7" s="226">
        <v>412429007</v>
      </c>
      <c r="H7" s="226">
        <v>408902573</v>
      </c>
      <c r="I7" s="620">
        <f t="shared" ref="I7:I20" si="1">H7/G7</f>
        <v>0.99144959753036965</v>
      </c>
      <c r="J7" s="225" t="str">
        <f>'1.sz.mell.'!B83</f>
        <v>Munkaadókat terhelő járulékok és szociális hozzájárulási adó</v>
      </c>
      <c r="K7" s="226">
        <f>'1.sz.mell.'!D83</f>
        <v>73417889</v>
      </c>
      <c r="L7" s="579">
        <v>20323809</v>
      </c>
      <c r="M7" s="237">
        <v>389415</v>
      </c>
      <c r="N7" s="237">
        <f t="shared" ref="N7:N18" si="2">O7-K7-L7-M7</f>
        <v>1293083</v>
      </c>
      <c r="O7" s="227">
        <v>95424196</v>
      </c>
      <c r="P7" s="227">
        <v>81933305</v>
      </c>
      <c r="Q7" s="624">
        <f t="shared" ref="Q7:Q20" si="3">P7/O7</f>
        <v>0.85862190549658912</v>
      </c>
    </row>
    <row r="8" spans="1:17" ht="15.75" customHeight="1" x14ac:dyDescent="0.3">
      <c r="A8" s="233" t="s">
        <v>16</v>
      </c>
      <c r="B8" s="225" t="s">
        <v>108</v>
      </c>
      <c r="C8" s="226">
        <f>'1.sz.mell.'!D45</f>
        <v>751000000</v>
      </c>
      <c r="D8" s="226">
        <v>1263353</v>
      </c>
      <c r="E8" s="226">
        <v>528927</v>
      </c>
      <c r="F8" s="226">
        <f t="shared" si="0"/>
        <v>51730564</v>
      </c>
      <c r="G8" s="226">
        <v>804522844</v>
      </c>
      <c r="H8" s="226">
        <v>804118801</v>
      </c>
      <c r="I8" s="620">
        <f t="shared" si="1"/>
        <v>0.99949778554703161</v>
      </c>
      <c r="J8" s="225" t="str">
        <f>'1.sz.mell.'!B84</f>
        <v>Dologi  kiadások</v>
      </c>
      <c r="K8" s="226">
        <f>'1.sz.mell.'!D84</f>
        <v>574940083</v>
      </c>
      <c r="L8" s="579">
        <v>1231814034</v>
      </c>
      <c r="M8" s="237">
        <v>7040473</v>
      </c>
      <c r="N8" s="237">
        <f t="shared" si="2"/>
        <v>475960303</v>
      </c>
      <c r="O8" s="227">
        <v>2289754893</v>
      </c>
      <c r="P8" s="227">
        <v>617366654</v>
      </c>
      <c r="Q8" s="624">
        <f t="shared" si="3"/>
        <v>0.26962128387075357</v>
      </c>
    </row>
    <row r="9" spans="1:17" ht="15.75" customHeight="1" x14ac:dyDescent="0.3">
      <c r="A9" s="233" t="s">
        <v>19</v>
      </c>
      <c r="B9" s="225" t="s">
        <v>452</v>
      </c>
      <c r="C9" s="226">
        <f>'1.sz.mell.'!D57</f>
        <v>184636916</v>
      </c>
      <c r="D9" s="226">
        <v>5048495</v>
      </c>
      <c r="E9" s="226">
        <v>7264944</v>
      </c>
      <c r="F9" s="226">
        <f t="shared" si="0"/>
        <v>-5528957</v>
      </c>
      <c r="G9" s="226">
        <v>191421398</v>
      </c>
      <c r="H9" s="226">
        <v>186513974</v>
      </c>
      <c r="I9" s="620">
        <f t="shared" si="1"/>
        <v>0.97436324229540938</v>
      </c>
      <c r="J9" s="225" t="str">
        <f>'1.sz.mell.'!B85</f>
        <v>Ellátottak pénzbeli juttatásai</v>
      </c>
      <c r="K9" s="226">
        <f>'1.sz.mell.'!D85</f>
        <v>66820160</v>
      </c>
      <c r="L9" s="579">
        <v>-6650969</v>
      </c>
      <c r="M9" s="237">
        <v>5164840</v>
      </c>
      <c r="N9" s="237">
        <f t="shared" si="2"/>
        <v>21704063</v>
      </c>
      <c r="O9" s="227">
        <v>87038094</v>
      </c>
      <c r="P9" s="227">
        <v>86882306</v>
      </c>
      <c r="Q9" s="624">
        <f t="shared" si="3"/>
        <v>0.99821011705518281</v>
      </c>
    </row>
    <row r="10" spans="1:17" ht="15.75" customHeight="1" x14ac:dyDescent="0.3">
      <c r="A10" s="233" t="s">
        <v>22</v>
      </c>
      <c r="B10" s="225" t="s">
        <v>424</v>
      </c>
      <c r="C10" s="226">
        <f>'1.sz.mell.'!D66</f>
        <v>0</v>
      </c>
      <c r="D10" s="226">
        <v>2358497</v>
      </c>
      <c r="E10" s="226">
        <f t="shared" ref="E10:E12" si="4">G10-C10-D10</f>
        <v>0</v>
      </c>
      <c r="F10" s="226">
        <f t="shared" si="0"/>
        <v>0</v>
      </c>
      <c r="G10" s="226">
        <v>2358497</v>
      </c>
      <c r="H10" s="226">
        <v>2355997</v>
      </c>
      <c r="I10" s="620">
        <f t="shared" si="1"/>
        <v>0.99894000289167206</v>
      </c>
      <c r="J10" s="225" t="str">
        <f>'1.sz.mell.'!B86</f>
        <v>Egyéb működési célú kiadások</v>
      </c>
      <c r="K10" s="226">
        <v>965514977</v>
      </c>
      <c r="L10" s="579">
        <v>106055249</v>
      </c>
      <c r="M10" s="237">
        <v>12092987</v>
      </c>
      <c r="N10" s="237">
        <f t="shared" si="2"/>
        <v>18351287</v>
      </c>
      <c r="O10" s="227">
        <v>1102014500</v>
      </c>
      <c r="P10" s="227">
        <v>962359564</v>
      </c>
      <c r="Q10" s="624">
        <f t="shared" si="3"/>
        <v>0.87327305039997205</v>
      </c>
    </row>
    <row r="11" spans="1:17" ht="15.75" customHeight="1" x14ac:dyDescent="0.3">
      <c r="A11" s="233" t="s">
        <v>25</v>
      </c>
      <c r="B11" s="225"/>
      <c r="C11" s="226"/>
      <c r="D11" s="226">
        <f t="shared" ref="D11" si="5">G11-C11</f>
        <v>0</v>
      </c>
      <c r="E11" s="226">
        <f t="shared" si="4"/>
        <v>0</v>
      </c>
      <c r="F11" s="226">
        <f t="shared" si="0"/>
        <v>0</v>
      </c>
      <c r="G11" s="226"/>
      <c r="H11" s="226"/>
      <c r="I11" s="620"/>
      <c r="J11" s="801" t="s">
        <v>270</v>
      </c>
      <c r="K11" s="802">
        <v>70000000</v>
      </c>
      <c r="L11" s="803">
        <v>51623759</v>
      </c>
      <c r="M11" s="804">
        <v>-17146343</v>
      </c>
      <c r="N11" s="804">
        <f t="shared" si="2"/>
        <v>8529516</v>
      </c>
      <c r="O11" s="805">
        <v>113006932</v>
      </c>
      <c r="P11" s="805"/>
      <c r="Q11" s="806">
        <f t="shared" si="3"/>
        <v>0</v>
      </c>
    </row>
    <row r="12" spans="1:17" ht="15.75" customHeight="1" x14ac:dyDescent="0.3">
      <c r="A12" s="233" t="s">
        <v>28</v>
      </c>
      <c r="B12" s="233"/>
      <c r="C12" s="226"/>
      <c r="D12" s="226"/>
      <c r="E12" s="226">
        <f t="shared" si="4"/>
        <v>0</v>
      </c>
      <c r="F12" s="226">
        <f t="shared" si="0"/>
        <v>0</v>
      </c>
      <c r="G12" s="226"/>
      <c r="H12" s="226"/>
      <c r="I12" s="620"/>
      <c r="J12" s="807" t="s">
        <v>271</v>
      </c>
      <c r="K12" s="802">
        <v>17146343</v>
      </c>
      <c r="L12" s="803">
        <f t="shared" ref="L12" si="6">O12-K12</f>
        <v>-17146343</v>
      </c>
      <c r="M12" s="804">
        <v>0</v>
      </c>
      <c r="N12" s="804">
        <f t="shared" si="2"/>
        <v>0</v>
      </c>
      <c r="O12" s="805">
        <v>0</v>
      </c>
      <c r="P12" s="805"/>
      <c r="Q12" s="806"/>
    </row>
    <row r="13" spans="1:17" ht="15.75" customHeight="1" x14ac:dyDescent="0.3">
      <c r="A13" s="21" t="s">
        <v>31</v>
      </c>
      <c r="B13" s="201" t="s">
        <v>717</v>
      </c>
      <c r="C13" s="18">
        <f>SUM(C6:C12)</f>
        <v>1893528434</v>
      </c>
      <c r="D13" s="18">
        <f t="shared" ref="D13:F13" si="7">SUM(D6:D12)</f>
        <v>319021317</v>
      </c>
      <c r="E13" s="18">
        <f t="shared" si="7"/>
        <v>47325042</v>
      </c>
      <c r="F13" s="18">
        <f t="shared" si="7"/>
        <v>73554263</v>
      </c>
      <c r="G13" s="18">
        <f>SUM(G6:G12)</f>
        <v>2333429056</v>
      </c>
      <c r="H13" s="18">
        <f>SUM(H6:H12)</f>
        <v>2324588655</v>
      </c>
      <c r="I13" s="620">
        <f t="shared" si="1"/>
        <v>0.99621141213731423</v>
      </c>
      <c r="J13" s="201" t="s">
        <v>272</v>
      </c>
      <c r="K13" s="18">
        <f>SUM(K6:K10)</f>
        <v>2004505223</v>
      </c>
      <c r="L13" s="18">
        <f t="shared" ref="L13:P13" si="8">SUM(L6:L10)</f>
        <v>1531107245</v>
      </c>
      <c r="M13" s="18">
        <f t="shared" si="8"/>
        <v>27344446</v>
      </c>
      <c r="N13" s="18">
        <f t="shared" si="8"/>
        <v>532748738</v>
      </c>
      <c r="O13" s="18">
        <f t="shared" si="8"/>
        <v>4095705652</v>
      </c>
      <c r="P13" s="18">
        <f t="shared" si="8"/>
        <v>2202230180</v>
      </c>
      <c r="Q13" s="624">
        <f t="shared" si="3"/>
        <v>0.53769249236077676</v>
      </c>
    </row>
    <row r="14" spans="1:17" ht="15.75" customHeight="1" x14ac:dyDescent="0.3">
      <c r="A14" s="233" t="s">
        <v>34</v>
      </c>
      <c r="B14" s="232" t="str">
        <f>'1.sz.mell.'!B71</f>
        <v xml:space="preserve">Hitel-, kölcsönfelvétel államháztartáson kívülről </v>
      </c>
      <c r="C14" s="234">
        <f>'[15]1.1.sz.mell.'!D71</f>
        <v>0</v>
      </c>
      <c r="D14" s="234"/>
      <c r="E14" s="234"/>
      <c r="F14" s="226">
        <f t="shared" si="0"/>
        <v>0</v>
      </c>
      <c r="G14" s="234"/>
      <c r="H14" s="234"/>
      <c r="I14" s="620" t="s">
        <v>801</v>
      </c>
      <c r="J14" s="231" t="s">
        <v>251</v>
      </c>
      <c r="K14" s="226"/>
      <c r="L14" s="580"/>
      <c r="M14" s="224"/>
      <c r="N14" s="237">
        <f t="shared" si="2"/>
        <v>0</v>
      </c>
      <c r="O14" s="227"/>
      <c r="P14" s="227"/>
      <c r="Q14" s="624" t="s">
        <v>801</v>
      </c>
    </row>
    <row r="15" spans="1:17" ht="15.75" customHeight="1" x14ac:dyDescent="0.3">
      <c r="A15" s="233" t="s">
        <v>37</v>
      </c>
      <c r="B15" s="796" t="s">
        <v>189</v>
      </c>
      <c r="C15" s="797">
        <f>SUM(C16:C17)</f>
        <v>229723597</v>
      </c>
      <c r="D15" s="797">
        <v>107029296</v>
      </c>
      <c r="E15" s="797">
        <v>-5500000</v>
      </c>
      <c r="F15" s="798">
        <f t="shared" si="0"/>
        <v>5500000</v>
      </c>
      <c r="G15" s="797">
        <v>336752893</v>
      </c>
      <c r="H15" s="797">
        <v>336752893</v>
      </c>
      <c r="I15" s="620">
        <f t="shared" si="1"/>
        <v>1</v>
      </c>
      <c r="J15" s="232" t="s">
        <v>253</v>
      </c>
      <c r="K15" s="226"/>
      <c r="L15" s="580"/>
      <c r="M15" s="224"/>
      <c r="N15" s="237">
        <f t="shared" si="2"/>
        <v>0</v>
      </c>
      <c r="O15" s="227"/>
      <c r="P15" s="227"/>
      <c r="Q15" s="624" t="s">
        <v>801</v>
      </c>
    </row>
    <row r="16" spans="1:17" ht="15.75" customHeight="1" x14ac:dyDescent="0.3">
      <c r="A16" s="236" t="s">
        <v>273</v>
      </c>
      <c r="B16" s="799" t="str">
        <f>'1.sz.mell.'!B73</f>
        <v>Előző év költségvetési maradványának igénybevétele</v>
      </c>
      <c r="C16" s="800">
        <f>30364900+52858697+2000000+140000000</f>
        <v>225223597</v>
      </c>
      <c r="D16" s="797">
        <v>107029296</v>
      </c>
      <c r="E16" s="797">
        <f>G16-C16-D16</f>
        <v>-5500000</v>
      </c>
      <c r="F16" s="798">
        <f t="shared" si="0"/>
        <v>0</v>
      </c>
      <c r="G16" s="800">
        <v>326752893</v>
      </c>
      <c r="H16" s="800">
        <v>326178583</v>
      </c>
      <c r="I16" s="620">
        <f t="shared" si="1"/>
        <v>0.99824237210349653</v>
      </c>
      <c r="J16" s="232" t="s">
        <v>255</v>
      </c>
      <c r="K16" s="226">
        <f>'1.sz.mell.'!D110</f>
        <v>30364900</v>
      </c>
      <c r="L16" s="580">
        <f>O16-K16</f>
        <v>0</v>
      </c>
      <c r="M16" s="224">
        <f>O16-K16-L16</f>
        <v>0</v>
      </c>
      <c r="N16" s="237">
        <f t="shared" si="2"/>
        <v>0</v>
      </c>
      <c r="O16" s="227">
        <v>30364900</v>
      </c>
      <c r="P16" s="227">
        <v>30364900</v>
      </c>
      <c r="Q16" s="624">
        <f t="shared" si="3"/>
        <v>1</v>
      </c>
    </row>
    <row r="17" spans="1:17" ht="15.75" customHeight="1" x14ac:dyDescent="0.3">
      <c r="A17" s="236" t="s">
        <v>274</v>
      </c>
      <c r="B17" s="799" t="str">
        <f>'1.sz.mell.'!B74</f>
        <v>Előző év vállalkozási maradványának igénybevétele</v>
      </c>
      <c r="C17" s="800">
        <v>4500000</v>
      </c>
      <c r="D17" s="797">
        <v>0</v>
      </c>
      <c r="E17" s="797">
        <v>0</v>
      </c>
      <c r="F17" s="798">
        <f t="shared" si="0"/>
        <v>6074310</v>
      </c>
      <c r="G17" s="800">
        <v>10574310</v>
      </c>
      <c r="H17" s="800">
        <v>10574310</v>
      </c>
      <c r="I17" s="620">
        <f t="shared" si="1"/>
        <v>1</v>
      </c>
      <c r="J17" s="232" t="s">
        <v>257</v>
      </c>
      <c r="K17" s="226"/>
      <c r="L17" s="580"/>
      <c r="M17" s="224">
        <f t="shared" ref="M17:M18" si="9">O17-K17-L17</f>
        <v>0</v>
      </c>
      <c r="N17" s="237">
        <f t="shared" si="2"/>
        <v>0</v>
      </c>
      <c r="O17" s="227"/>
      <c r="P17" s="227"/>
      <c r="Q17" s="624" t="s">
        <v>801</v>
      </c>
    </row>
    <row r="18" spans="1:17" ht="15.75" customHeight="1" x14ac:dyDescent="0.3">
      <c r="A18" s="233" t="s">
        <v>39</v>
      </c>
      <c r="B18" s="815" t="s">
        <v>967</v>
      </c>
      <c r="C18" s="798">
        <f>'[15]1.1.sz.mell.'!D75</f>
        <v>0</v>
      </c>
      <c r="D18" s="798"/>
      <c r="E18" s="797"/>
      <c r="F18" s="798">
        <v>31792796</v>
      </c>
      <c r="G18" s="798">
        <v>31792796</v>
      </c>
      <c r="H18" s="798">
        <v>31792796</v>
      </c>
      <c r="I18" s="620" t="s">
        <v>801</v>
      </c>
      <c r="J18" s="233"/>
      <c r="K18" s="226"/>
      <c r="L18" s="580"/>
      <c r="M18" s="224">
        <f t="shared" si="9"/>
        <v>0</v>
      </c>
      <c r="N18" s="237">
        <f t="shared" si="2"/>
        <v>0</v>
      </c>
      <c r="O18" s="227"/>
      <c r="P18" s="227"/>
      <c r="Q18" s="624" t="s">
        <v>801</v>
      </c>
    </row>
    <row r="19" spans="1:17" ht="27" customHeight="1" x14ac:dyDescent="0.3">
      <c r="A19" s="233" t="s">
        <v>41</v>
      </c>
      <c r="B19" s="201" t="s">
        <v>275</v>
      </c>
      <c r="C19" s="18">
        <f>SUM(C14+C15+C18)</f>
        <v>229723597</v>
      </c>
      <c r="D19" s="18">
        <f t="shared" ref="D19:H19" si="10">SUM(D14+D15+D18)</f>
        <v>107029296</v>
      </c>
      <c r="E19" s="18">
        <f t="shared" si="10"/>
        <v>-5500000</v>
      </c>
      <c r="F19" s="18">
        <f t="shared" si="10"/>
        <v>37292796</v>
      </c>
      <c r="G19" s="18">
        <f t="shared" si="10"/>
        <v>368545689</v>
      </c>
      <c r="H19" s="18">
        <f t="shared" si="10"/>
        <v>368545689</v>
      </c>
      <c r="I19" s="620">
        <f t="shared" si="1"/>
        <v>1</v>
      </c>
      <c r="J19" s="201" t="s">
        <v>276</v>
      </c>
      <c r="K19" s="18">
        <f>SUM(K14:K18)</f>
        <v>30364900</v>
      </c>
      <c r="L19" s="18">
        <f t="shared" ref="L19:P19" si="11">SUM(L14:L18)</f>
        <v>0</v>
      </c>
      <c r="M19" s="18">
        <f t="shared" si="11"/>
        <v>0</v>
      </c>
      <c r="N19" s="18">
        <f t="shared" si="11"/>
        <v>0</v>
      </c>
      <c r="O19" s="18">
        <f t="shared" si="11"/>
        <v>30364900</v>
      </c>
      <c r="P19" s="18">
        <f t="shared" si="11"/>
        <v>30364900</v>
      </c>
      <c r="Q19" s="624">
        <f t="shared" si="3"/>
        <v>1</v>
      </c>
    </row>
    <row r="20" spans="1:17" ht="24" customHeight="1" x14ac:dyDescent="0.3">
      <c r="A20" s="233" t="s">
        <v>43</v>
      </c>
      <c r="B20" s="201" t="s">
        <v>277</v>
      </c>
      <c r="C20" s="18">
        <f>SUM(C13+C19)</f>
        <v>2123252031</v>
      </c>
      <c r="D20" s="18">
        <f t="shared" ref="D20:H20" si="12">SUM(D13+D19)</f>
        <v>426050613</v>
      </c>
      <c r="E20" s="18">
        <f t="shared" si="12"/>
        <v>41825042</v>
      </c>
      <c r="F20" s="18">
        <f t="shared" si="12"/>
        <v>110847059</v>
      </c>
      <c r="G20" s="18">
        <f t="shared" si="12"/>
        <v>2701974745</v>
      </c>
      <c r="H20" s="18">
        <f t="shared" si="12"/>
        <v>2693134344</v>
      </c>
      <c r="I20" s="620">
        <f t="shared" si="1"/>
        <v>0.996728170381178</v>
      </c>
      <c r="J20" s="201" t="s">
        <v>278</v>
      </c>
      <c r="K20" s="18">
        <f>SUM(K13+K19)</f>
        <v>2034870123</v>
      </c>
      <c r="L20" s="18">
        <f t="shared" ref="L20:P20" si="13">SUM(L13+L19)</f>
        <v>1531107245</v>
      </c>
      <c r="M20" s="18">
        <f t="shared" si="13"/>
        <v>27344446</v>
      </c>
      <c r="N20" s="18">
        <f t="shared" si="13"/>
        <v>532748738</v>
      </c>
      <c r="O20" s="18">
        <f t="shared" si="13"/>
        <v>4126070552</v>
      </c>
      <c r="P20" s="18">
        <f t="shared" si="13"/>
        <v>2232595080</v>
      </c>
      <c r="Q20" s="624">
        <f t="shared" si="3"/>
        <v>0.54109474180411443</v>
      </c>
    </row>
    <row r="21" spans="1:17" ht="18" customHeight="1" x14ac:dyDescent="0.3">
      <c r="A21" s="16" t="s">
        <v>45</v>
      </c>
      <c r="B21" s="201" t="s">
        <v>711</v>
      </c>
      <c r="C21" s="18">
        <f t="shared" ref="C21:H21" si="14">IF(C13-K13&lt;0,K13-C13,"-")</f>
        <v>110976789</v>
      </c>
      <c r="D21" s="18">
        <f t="shared" si="14"/>
        <v>1212085928</v>
      </c>
      <c r="E21" s="18" t="str">
        <f t="shared" si="14"/>
        <v>-</v>
      </c>
      <c r="F21" s="18">
        <f t="shared" si="14"/>
        <v>459194475</v>
      </c>
      <c r="G21" s="18">
        <f t="shared" si="14"/>
        <v>1762276596</v>
      </c>
      <c r="H21" s="18" t="str">
        <f t="shared" si="14"/>
        <v>-</v>
      </c>
      <c r="I21" s="620" t="s">
        <v>801</v>
      </c>
      <c r="J21" s="201" t="s">
        <v>712</v>
      </c>
      <c r="K21" s="18" t="str">
        <f t="shared" ref="K21:P21" si="15">IF(C13-K13&gt;0,C13-K13,"-")</f>
        <v>-</v>
      </c>
      <c r="L21" s="18" t="str">
        <f t="shared" si="15"/>
        <v>-</v>
      </c>
      <c r="M21" s="18">
        <f t="shared" si="15"/>
        <v>19980596</v>
      </c>
      <c r="N21" s="18" t="str">
        <f t="shared" si="15"/>
        <v>-</v>
      </c>
      <c r="O21" s="18" t="str">
        <f t="shared" si="15"/>
        <v>-</v>
      </c>
      <c r="P21" s="18">
        <f t="shared" si="15"/>
        <v>122358475</v>
      </c>
      <c r="Q21" s="624" t="s">
        <v>801</v>
      </c>
    </row>
    <row r="22" spans="1:17" ht="18" customHeight="1" x14ac:dyDescent="0.3">
      <c r="A22" s="16" t="s">
        <v>47</v>
      </c>
      <c r="B22" s="201" t="s">
        <v>713</v>
      </c>
      <c r="C22" s="18" t="str">
        <f>IF(C13+C19-K20&lt;0,K20-(C13+C19),"-")</f>
        <v>-</v>
      </c>
      <c r="D22" s="18">
        <f>IF(D13+D19-L20&lt;0,L20-(D13+D19),"-")</f>
        <v>1105056632</v>
      </c>
      <c r="E22" s="18" t="str">
        <f t="shared" ref="E22:H22" si="16">IF(E13+E19-M20&lt;0,M20-(E13+E19),"-")</f>
        <v>-</v>
      </c>
      <c r="F22" s="18">
        <f t="shared" si="16"/>
        <v>421901679</v>
      </c>
      <c r="G22" s="18">
        <f t="shared" si="16"/>
        <v>1424095807</v>
      </c>
      <c r="H22" s="18" t="str">
        <f t="shared" si="16"/>
        <v>-</v>
      </c>
      <c r="I22" s="620" t="s">
        <v>801</v>
      </c>
      <c r="J22" s="201" t="s">
        <v>714</v>
      </c>
      <c r="K22" s="18">
        <f t="shared" ref="K22:P22" si="17">IF(C13+C19-K20&gt;0,C13+C19-K20,"-")</f>
        <v>88381908</v>
      </c>
      <c r="L22" s="18" t="str">
        <f t="shared" si="17"/>
        <v>-</v>
      </c>
      <c r="M22" s="18">
        <f t="shared" si="17"/>
        <v>14480596</v>
      </c>
      <c r="N22" s="18" t="str">
        <f t="shared" si="17"/>
        <v>-</v>
      </c>
      <c r="O22" s="18" t="str">
        <f t="shared" si="17"/>
        <v>-</v>
      </c>
      <c r="P22" s="18">
        <f t="shared" si="17"/>
        <v>460539264</v>
      </c>
      <c r="Q22" s="624" t="s">
        <v>801</v>
      </c>
    </row>
    <row r="23" spans="1:17" ht="15" x14ac:dyDescent="0.3">
      <c r="B23" s="19"/>
    </row>
  </sheetData>
  <mergeCells count="4">
    <mergeCell ref="A3:A4"/>
    <mergeCell ref="B3:I3"/>
    <mergeCell ref="J3:Q3"/>
    <mergeCell ref="A1:Q1"/>
  </mergeCells>
  <printOptions horizontalCentered="1" verticalCentered="1"/>
  <pageMargins left="0.59055118110236227" right="0.59055118110236227" top="0.9055118110236221" bottom="0.78740157480314965" header="0.59055118110236227" footer="0.55118110236220474"/>
  <pageSetup paperSize="9" scale="42" orientation="landscape" r:id="rId1"/>
  <headerFooter>
    <oddHeader xml:space="preserve">&amp;R&amp;"Times New Roman CE,Félkövér dőlt"&amp;11 2.1. melléklet a 4/2018. (III.19.) önkormányzati rendelethez  </oddHeader>
  </headerFooter>
  <colBreaks count="1" manualBreakCount="1">
    <brk id="16" max="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view="pageLayout" topLeftCell="J1" zoomScaleNormal="100" zoomScaleSheetLayoutView="59" workbookViewId="0">
      <selection sqref="A1:Q1"/>
    </sheetView>
  </sheetViews>
  <sheetFormatPr defaultColWidth="9.296875" defaultRowHeight="13" x14ac:dyDescent="0.3"/>
  <cols>
    <col min="1" max="1" width="6.796875" style="12" customWidth="1"/>
    <col min="2" max="2" width="56.69921875" style="13" customWidth="1"/>
    <col min="3" max="8" width="16.69921875" style="12" customWidth="1"/>
    <col min="9" max="9" width="16.69921875" style="625" customWidth="1"/>
    <col min="10" max="10" width="55.19921875" style="12" customWidth="1"/>
    <col min="11" max="11" width="16.69921875" style="12" customWidth="1"/>
    <col min="12" max="12" width="16" style="240" bestFit="1" customWidth="1"/>
    <col min="13" max="13" width="14.296875" style="240" bestFit="1" customWidth="1"/>
    <col min="14" max="14" width="14.296875" style="240" customWidth="1"/>
    <col min="15" max="15" width="16" style="238" bestFit="1" customWidth="1"/>
    <col min="16" max="16" width="16" style="12" bestFit="1" customWidth="1"/>
    <col min="17" max="17" width="13.69921875" style="618" customWidth="1"/>
    <col min="18" max="16384" width="9.296875" style="12"/>
  </cols>
  <sheetData>
    <row r="1" spans="1:17" ht="44.25" customHeight="1" x14ac:dyDescent="0.3">
      <c r="A1" s="835" t="s">
        <v>636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  <c r="P1" s="835"/>
      <c r="Q1" s="835"/>
    </row>
    <row r="2" spans="1:17" x14ac:dyDescent="0.3">
      <c r="L2" s="239"/>
      <c r="M2" s="239"/>
      <c r="N2" s="239"/>
      <c r="O2" s="12"/>
      <c r="P2" s="14" t="s">
        <v>801</v>
      </c>
      <c r="Q2" s="630" t="s">
        <v>1</v>
      </c>
    </row>
    <row r="3" spans="1:17" ht="15.75" customHeight="1" x14ac:dyDescent="0.3">
      <c r="A3" s="830" t="s">
        <v>2</v>
      </c>
      <c r="B3" s="831" t="s">
        <v>265</v>
      </c>
      <c r="C3" s="832"/>
      <c r="D3" s="832"/>
      <c r="E3" s="832"/>
      <c r="F3" s="832"/>
      <c r="G3" s="832"/>
      <c r="H3" s="832"/>
      <c r="I3" s="833"/>
      <c r="J3" s="831" t="s">
        <v>266</v>
      </c>
      <c r="K3" s="832"/>
      <c r="L3" s="832"/>
      <c r="M3" s="832"/>
      <c r="N3" s="832"/>
      <c r="O3" s="832"/>
      <c r="P3" s="832"/>
      <c r="Q3" s="833"/>
    </row>
    <row r="4" spans="1:17" s="15" customFormat="1" ht="26" x14ac:dyDescent="0.3">
      <c r="A4" s="830"/>
      <c r="B4" s="266" t="s">
        <v>267</v>
      </c>
      <c r="C4" s="266" t="s">
        <v>268</v>
      </c>
      <c r="D4" s="266" t="s">
        <v>824</v>
      </c>
      <c r="E4" s="555" t="s">
        <v>825</v>
      </c>
      <c r="F4" s="677" t="s">
        <v>856</v>
      </c>
      <c r="G4" s="266" t="s">
        <v>798</v>
      </c>
      <c r="H4" s="555" t="s">
        <v>826</v>
      </c>
      <c r="I4" s="626" t="s">
        <v>827</v>
      </c>
      <c r="J4" s="266" t="s">
        <v>267</v>
      </c>
      <c r="K4" s="266" t="str">
        <f>+C4</f>
        <v>2017. évi előirányzat</v>
      </c>
      <c r="L4" s="242" t="s">
        <v>824</v>
      </c>
      <c r="M4" s="242" t="s">
        <v>825</v>
      </c>
      <c r="N4" s="677" t="s">
        <v>856</v>
      </c>
      <c r="O4" s="242" t="s">
        <v>798</v>
      </c>
      <c r="P4" s="546" t="s">
        <v>826</v>
      </c>
      <c r="Q4" s="622" t="s">
        <v>827</v>
      </c>
    </row>
    <row r="5" spans="1:17" s="15" customFormat="1" x14ac:dyDescent="0.3">
      <c r="A5" s="20" t="s">
        <v>6</v>
      </c>
      <c r="B5" s="20" t="s">
        <v>7</v>
      </c>
      <c r="C5" s="20" t="s">
        <v>8</v>
      </c>
      <c r="D5" s="20" t="s">
        <v>9</v>
      </c>
      <c r="E5" s="20" t="s">
        <v>269</v>
      </c>
      <c r="F5" s="20" t="s">
        <v>472</v>
      </c>
      <c r="G5" s="20" t="s">
        <v>796</v>
      </c>
      <c r="H5" s="20" t="s">
        <v>799</v>
      </c>
      <c r="I5" s="627" t="s">
        <v>800</v>
      </c>
      <c r="J5" s="20" t="s">
        <v>828</v>
      </c>
      <c r="K5" s="20" t="s">
        <v>829</v>
      </c>
      <c r="L5" s="682" t="s">
        <v>830</v>
      </c>
      <c r="M5" s="682" t="s">
        <v>833</v>
      </c>
      <c r="N5" s="682" t="s">
        <v>831</v>
      </c>
      <c r="O5" s="244" t="s">
        <v>832</v>
      </c>
      <c r="P5" s="546" t="s">
        <v>858</v>
      </c>
      <c r="Q5" s="622" t="s">
        <v>859</v>
      </c>
    </row>
    <row r="6" spans="1:17" ht="16.5" customHeight="1" x14ac:dyDescent="0.3">
      <c r="A6" s="319" t="s">
        <v>10</v>
      </c>
      <c r="B6" s="225" t="s">
        <v>568</v>
      </c>
      <c r="C6" s="226">
        <f>'1.sz.mell.'!D31</f>
        <v>50000000</v>
      </c>
      <c r="D6" s="226">
        <v>1157803187</v>
      </c>
      <c r="E6" s="226">
        <v>594482000</v>
      </c>
      <c r="F6" s="677">
        <f>G6-C6-D6-E6</f>
        <v>788134783</v>
      </c>
      <c r="G6" s="226">
        <v>2590419970</v>
      </c>
      <c r="H6" s="226">
        <v>2590419970</v>
      </c>
      <c r="I6" s="628">
        <f>H6/G6</f>
        <v>1</v>
      </c>
      <c r="J6" s="225" t="str">
        <f>'1.sz.mell.'!B97</f>
        <v>Beruházások</v>
      </c>
      <c r="K6" s="226">
        <f>'1.sz.mell.'!D97</f>
        <v>62504500</v>
      </c>
      <c r="L6" s="241">
        <v>27593139</v>
      </c>
      <c r="M6" s="241"/>
      <c r="N6" s="241">
        <f>O6-K6-L6-M6</f>
        <v>941075166</v>
      </c>
      <c r="O6" s="243">
        <v>1031172805</v>
      </c>
      <c r="P6" s="227">
        <v>75832435</v>
      </c>
      <c r="Q6" s="624">
        <f>P6/O6</f>
        <v>7.3539987315705047E-2</v>
      </c>
    </row>
    <row r="7" spans="1:17" ht="16.5" customHeight="1" x14ac:dyDescent="0.3">
      <c r="A7" s="319" t="s">
        <v>13</v>
      </c>
      <c r="B7" s="225" t="s">
        <v>715</v>
      </c>
      <c r="C7" s="226">
        <f>'1.sz.mell.'!D63</f>
        <v>2160072</v>
      </c>
      <c r="D7" s="226">
        <v>101065</v>
      </c>
      <c r="E7" s="226">
        <v>4889074</v>
      </c>
      <c r="F7" s="677">
        <f t="shared" ref="F7:F17" si="0">G7-C7-D7-E7</f>
        <v>12394110</v>
      </c>
      <c r="G7" s="226">
        <v>19544321</v>
      </c>
      <c r="H7" s="226">
        <v>19543577</v>
      </c>
      <c r="I7" s="628">
        <f t="shared" ref="I7:I19" si="1">H7/G7</f>
        <v>0.9999619326759932</v>
      </c>
      <c r="J7" s="225" t="str">
        <f>'1.sz.mell.'!B98</f>
        <v>Felújítások</v>
      </c>
      <c r="K7" s="226">
        <f>'1.sz.mell.'!D98</f>
        <v>123810571</v>
      </c>
      <c r="L7" s="241">
        <v>29261542</v>
      </c>
      <c r="M7" s="241"/>
      <c r="N7" s="241">
        <f t="shared" ref="N7:N18" si="2">O7-K7-L7-M7</f>
        <v>27877284</v>
      </c>
      <c r="O7" s="243">
        <v>180949397</v>
      </c>
      <c r="P7" s="227">
        <v>126942757</v>
      </c>
      <c r="Q7" s="624">
        <f t="shared" ref="Q7:Q19" si="3">P7/O7</f>
        <v>0.70153733090362269</v>
      </c>
    </row>
    <row r="8" spans="1:17" ht="16.5" customHeight="1" x14ac:dyDescent="0.3">
      <c r="A8" s="319" t="s">
        <v>16</v>
      </c>
      <c r="B8" s="225" t="s">
        <v>716</v>
      </c>
      <c r="C8" s="226">
        <f>'1.sz.mell.'!D69</f>
        <v>0</v>
      </c>
      <c r="D8" s="226">
        <v>926787</v>
      </c>
      <c r="E8" s="226">
        <v>644000</v>
      </c>
      <c r="F8" s="677">
        <f t="shared" si="0"/>
        <v>-259512</v>
      </c>
      <c r="G8" s="226">
        <v>1311275</v>
      </c>
      <c r="H8" s="226">
        <v>1303598</v>
      </c>
      <c r="I8" s="628">
        <f t="shared" si="1"/>
        <v>0.99414539284284376</v>
      </c>
      <c r="J8" s="225" t="str">
        <f>'1.sz.mell.'!B99</f>
        <v>Egyéb felhalmozási kiadások</v>
      </c>
      <c r="K8" s="226">
        <f>'1.sz.mell.'!D99+K9</f>
        <v>5000000</v>
      </c>
      <c r="L8" s="241">
        <v>1075000</v>
      </c>
      <c r="M8" s="241"/>
      <c r="N8" s="241">
        <f t="shared" si="2"/>
        <v>16655648</v>
      </c>
      <c r="O8" s="243">
        <v>22730648</v>
      </c>
      <c r="P8" s="227">
        <v>15424342</v>
      </c>
      <c r="Q8" s="624">
        <f t="shared" si="3"/>
        <v>0.67857027217173926</v>
      </c>
    </row>
    <row r="9" spans="1:17" ht="19.5" customHeight="1" x14ac:dyDescent="0.3">
      <c r="A9" s="319" t="s">
        <v>19</v>
      </c>
      <c r="B9" s="320" t="s">
        <v>801</v>
      </c>
      <c r="C9" s="229"/>
      <c r="D9" s="226" t="s">
        <v>801</v>
      </c>
      <c r="E9" s="226" t="s">
        <v>801</v>
      </c>
      <c r="F9" s="226" t="s">
        <v>801</v>
      </c>
      <c r="G9" s="229" t="s">
        <v>801</v>
      </c>
      <c r="H9" s="229" t="s">
        <v>801</v>
      </c>
      <c r="I9" s="628"/>
      <c r="J9" s="228"/>
      <c r="K9" s="229"/>
      <c r="L9" s="241">
        <f>O9-K9</f>
        <v>0</v>
      </c>
      <c r="M9" s="241"/>
      <c r="N9" s="241">
        <f t="shared" si="2"/>
        <v>0</v>
      </c>
      <c r="O9" s="243"/>
      <c r="P9" s="227"/>
      <c r="Q9" s="624"/>
    </row>
    <row r="10" spans="1:17" ht="16.5" customHeight="1" x14ac:dyDescent="0.3">
      <c r="A10" s="319" t="s">
        <v>22</v>
      </c>
      <c r="B10" s="225"/>
      <c r="C10" s="226"/>
      <c r="D10" s="226">
        <f t="shared" ref="D10:D11" si="4">G10-C10</f>
        <v>0</v>
      </c>
      <c r="E10" s="226">
        <f t="shared" ref="E10:E11" si="5">G10-C10-D10</f>
        <v>0</v>
      </c>
      <c r="F10" s="677">
        <f t="shared" si="0"/>
        <v>0</v>
      </c>
      <c r="G10" s="226"/>
      <c r="H10" s="226"/>
      <c r="I10" s="628"/>
      <c r="J10" s="230"/>
      <c r="K10" s="229"/>
      <c r="L10" s="241">
        <f>O10-K10</f>
        <v>0</v>
      </c>
      <c r="M10" s="241"/>
      <c r="N10" s="241">
        <f t="shared" si="2"/>
        <v>0</v>
      </c>
      <c r="O10" s="243"/>
      <c r="P10" s="227"/>
      <c r="Q10" s="624"/>
    </row>
    <row r="11" spans="1:17" ht="16.5" customHeight="1" x14ac:dyDescent="0.3">
      <c r="A11" s="319" t="s">
        <v>25</v>
      </c>
      <c r="B11" s="321"/>
      <c r="C11" s="226"/>
      <c r="D11" s="226">
        <f t="shared" si="4"/>
        <v>0</v>
      </c>
      <c r="E11" s="226">
        <f t="shared" si="5"/>
        <v>0</v>
      </c>
      <c r="F11" s="677">
        <f t="shared" si="0"/>
        <v>0</v>
      </c>
      <c r="G11" s="226"/>
      <c r="H11" s="226"/>
      <c r="I11" s="628"/>
      <c r="J11" s="230"/>
      <c r="K11" s="226"/>
      <c r="L11" s="241"/>
      <c r="M11" s="241"/>
      <c r="N11" s="241">
        <f t="shared" si="2"/>
        <v>0</v>
      </c>
      <c r="O11" s="243"/>
      <c r="P11" s="227"/>
      <c r="Q11" s="624"/>
    </row>
    <row r="12" spans="1:17" s="22" customFormat="1" ht="25.5" customHeight="1" x14ac:dyDescent="0.3">
      <c r="A12" s="266" t="s">
        <v>28</v>
      </c>
      <c r="B12" s="201" t="s">
        <v>961</v>
      </c>
      <c r="C12" s="18">
        <f>SUM(C6:C11)</f>
        <v>52160072</v>
      </c>
      <c r="D12" s="18">
        <f t="shared" ref="D12:H12" si="6">SUM(D6:D11)</f>
        <v>1158831039</v>
      </c>
      <c r="E12" s="18">
        <f t="shared" si="6"/>
        <v>600015074</v>
      </c>
      <c r="F12" s="18">
        <f t="shared" si="6"/>
        <v>800269381</v>
      </c>
      <c r="G12" s="18">
        <f t="shared" si="6"/>
        <v>2611275566</v>
      </c>
      <c r="H12" s="18">
        <f t="shared" si="6"/>
        <v>2611267145</v>
      </c>
      <c r="I12" s="628">
        <f t="shared" si="1"/>
        <v>0.99999677513928076</v>
      </c>
      <c r="J12" s="201" t="s">
        <v>962</v>
      </c>
      <c r="K12" s="18">
        <f>SUM(K6:K8)</f>
        <v>191315071</v>
      </c>
      <c r="L12" s="18">
        <f t="shared" ref="L12:P12" si="7">SUM(L6:L8)</f>
        <v>57929681</v>
      </c>
      <c r="M12" s="18">
        <f t="shared" si="7"/>
        <v>0</v>
      </c>
      <c r="N12" s="241">
        <f t="shared" si="2"/>
        <v>985608098</v>
      </c>
      <c r="O12" s="18">
        <f t="shared" si="7"/>
        <v>1234852850</v>
      </c>
      <c r="P12" s="18">
        <f t="shared" si="7"/>
        <v>218199534</v>
      </c>
      <c r="Q12" s="624">
        <f t="shared" si="3"/>
        <v>0.17670083848452064</v>
      </c>
    </row>
    <row r="13" spans="1:17" ht="16.5" customHeight="1" x14ac:dyDescent="0.3">
      <c r="A13" s="233" t="s">
        <v>31</v>
      </c>
      <c r="B13" s="231" t="s">
        <v>279</v>
      </c>
      <c r="C13" s="322"/>
      <c r="D13" s="322"/>
      <c r="E13" s="322"/>
      <c r="F13" s="677">
        <f t="shared" si="0"/>
        <v>0</v>
      </c>
      <c r="G13" s="322"/>
      <c r="H13" s="322"/>
      <c r="I13" s="628"/>
      <c r="J13" s="231" t="s">
        <v>251</v>
      </c>
      <c r="K13" s="212">
        <f>'1.sz.mell.'!D108</f>
        <v>23997938</v>
      </c>
      <c r="L13" s="241"/>
      <c r="M13" s="241"/>
      <c r="N13" s="241">
        <f t="shared" si="2"/>
        <v>3100000</v>
      </c>
      <c r="O13" s="243">
        <v>27097938</v>
      </c>
      <c r="P13" s="227">
        <v>27091108</v>
      </c>
      <c r="Q13" s="624">
        <f t="shared" si="3"/>
        <v>0.99974795130168204</v>
      </c>
    </row>
    <row r="14" spans="1:17" ht="16.5" customHeight="1" x14ac:dyDescent="0.3">
      <c r="A14" s="233" t="s">
        <v>34</v>
      </c>
      <c r="B14" s="796" t="s">
        <v>189</v>
      </c>
      <c r="C14" s="808">
        <f>SUM(C15:C16)</f>
        <v>74771029</v>
      </c>
      <c r="D14" s="808"/>
      <c r="E14" s="808">
        <f>G14-C14-D14</f>
        <v>0</v>
      </c>
      <c r="F14" s="809">
        <f t="shared" si="0"/>
        <v>0</v>
      </c>
      <c r="G14" s="808">
        <v>74771029</v>
      </c>
      <c r="H14" s="808">
        <v>74771029</v>
      </c>
      <c r="I14" s="628">
        <f t="shared" si="1"/>
        <v>1</v>
      </c>
      <c r="J14" s="232" t="s">
        <v>257</v>
      </c>
      <c r="K14" s="212"/>
      <c r="L14" s="241"/>
      <c r="M14" s="241"/>
      <c r="N14" s="241">
        <f t="shared" si="2"/>
        <v>0</v>
      </c>
      <c r="O14" s="243"/>
      <c r="P14" s="227"/>
      <c r="Q14" s="624"/>
    </row>
    <row r="15" spans="1:17" ht="16.5" customHeight="1" x14ac:dyDescent="0.3">
      <c r="A15" s="236" t="s">
        <v>280</v>
      </c>
      <c r="B15" s="810" t="s">
        <v>281</v>
      </c>
      <c r="C15" s="811">
        <f>32320000+16951029</f>
        <v>49271029</v>
      </c>
      <c r="D15" s="811"/>
      <c r="E15" s="808">
        <f t="shared" ref="E15:E16" si="8">G15-C15-D15</f>
        <v>0</v>
      </c>
      <c r="F15" s="809">
        <f t="shared" si="0"/>
        <v>0</v>
      </c>
      <c r="G15" s="811">
        <v>49271029</v>
      </c>
      <c r="H15" s="811">
        <v>49271029</v>
      </c>
      <c r="I15" s="628">
        <f t="shared" si="1"/>
        <v>1</v>
      </c>
      <c r="J15" s="225"/>
      <c r="K15" s="212"/>
      <c r="L15" s="241"/>
      <c r="M15" s="241"/>
      <c r="N15" s="241">
        <f t="shared" si="2"/>
        <v>0</v>
      </c>
      <c r="O15" s="243"/>
      <c r="P15" s="227"/>
      <c r="Q15" s="624"/>
    </row>
    <row r="16" spans="1:17" ht="16.5" customHeight="1" x14ac:dyDescent="0.3">
      <c r="A16" s="236" t="s">
        <v>282</v>
      </c>
      <c r="B16" s="810" t="s">
        <v>283</v>
      </c>
      <c r="C16" s="811">
        <v>25500000</v>
      </c>
      <c r="D16" s="811"/>
      <c r="E16" s="808">
        <f t="shared" si="8"/>
        <v>0</v>
      </c>
      <c r="F16" s="809">
        <f t="shared" si="0"/>
        <v>0</v>
      </c>
      <c r="G16" s="811">
        <v>25500000</v>
      </c>
      <c r="H16" s="811">
        <v>25500000</v>
      </c>
      <c r="I16" s="628">
        <f t="shared" si="1"/>
        <v>1</v>
      </c>
      <c r="J16" s="225"/>
      <c r="K16" s="212"/>
      <c r="L16" s="241"/>
      <c r="M16" s="241"/>
      <c r="N16" s="241">
        <f t="shared" si="2"/>
        <v>0</v>
      </c>
      <c r="O16" s="243"/>
      <c r="P16" s="227"/>
      <c r="Q16" s="624"/>
    </row>
    <row r="17" spans="1:17" ht="16.5" customHeight="1" x14ac:dyDescent="0.3">
      <c r="A17" s="21" t="s">
        <v>37</v>
      </c>
      <c r="B17" s="812" t="s">
        <v>284</v>
      </c>
      <c r="C17" s="813">
        <f>SUM(C13:C14)</f>
        <v>74771029</v>
      </c>
      <c r="D17" s="813">
        <f t="shared" ref="D17:H17" si="9">SUM(D13:D14)</f>
        <v>0</v>
      </c>
      <c r="E17" s="813">
        <f t="shared" si="9"/>
        <v>0</v>
      </c>
      <c r="F17" s="809">
        <f t="shared" si="0"/>
        <v>0</v>
      </c>
      <c r="G17" s="813">
        <f t="shared" si="9"/>
        <v>74771029</v>
      </c>
      <c r="H17" s="813">
        <f t="shared" si="9"/>
        <v>74771029</v>
      </c>
      <c r="I17" s="628">
        <f t="shared" si="1"/>
        <v>1</v>
      </c>
      <c r="J17" s="201" t="s">
        <v>285</v>
      </c>
      <c r="K17" s="323">
        <f>SUM(K13:K16)</f>
        <v>23997938</v>
      </c>
      <c r="L17" s="323">
        <f t="shared" ref="L17:P17" si="10">SUM(L13:L16)</f>
        <v>0</v>
      </c>
      <c r="M17" s="323">
        <f t="shared" si="10"/>
        <v>0</v>
      </c>
      <c r="N17" s="241">
        <f t="shared" si="2"/>
        <v>3100000</v>
      </c>
      <c r="O17" s="323">
        <f t="shared" si="10"/>
        <v>27097938</v>
      </c>
      <c r="P17" s="323">
        <f t="shared" si="10"/>
        <v>27091108</v>
      </c>
      <c r="Q17" s="624">
        <f t="shared" si="3"/>
        <v>0.99974795130168204</v>
      </c>
    </row>
    <row r="18" spans="1:17" ht="22.5" customHeight="1" x14ac:dyDescent="0.3">
      <c r="A18" s="21" t="s">
        <v>39</v>
      </c>
      <c r="B18" s="201" t="s">
        <v>963</v>
      </c>
      <c r="C18" s="18">
        <f>+C12+C17</f>
        <v>126931101</v>
      </c>
      <c r="D18" s="18">
        <f t="shared" ref="D18:H18" si="11">+D12+D17</f>
        <v>1158831039</v>
      </c>
      <c r="E18" s="18">
        <f t="shared" si="11"/>
        <v>600015074</v>
      </c>
      <c r="F18" s="18">
        <f t="shared" si="11"/>
        <v>800269381</v>
      </c>
      <c r="G18" s="18">
        <f t="shared" si="11"/>
        <v>2686046595</v>
      </c>
      <c r="H18" s="18">
        <f t="shared" si="11"/>
        <v>2686038174</v>
      </c>
      <c r="I18" s="628">
        <f t="shared" si="1"/>
        <v>0.99999686490918827</v>
      </c>
      <c r="J18" s="201" t="s">
        <v>964</v>
      </c>
      <c r="K18" s="18">
        <f>SUM(K12+K17)</f>
        <v>215313009</v>
      </c>
      <c r="L18" s="18">
        <f t="shared" ref="L18:P18" si="12">SUM(L12+L17)</f>
        <v>57929681</v>
      </c>
      <c r="M18" s="18">
        <f t="shared" si="12"/>
        <v>0</v>
      </c>
      <c r="N18" s="241">
        <f t="shared" si="2"/>
        <v>988708098</v>
      </c>
      <c r="O18" s="18">
        <f t="shared" si="12"/>
        <v>1261950788</v>
      </c>
      <c r="P18" s="18">
        <f t="shared" si="12"/>
        <v>245290642</v>
      </c>
      <c r="Q18" s="624">
        <f t="shared" si="3"/>
        <v>0.19437417396343035</v>
      </c>
    </row>
    <row r="19" spans="1:17" ht="22.5" customHeight="1" x14ac:dyDescent="0.3">
      <c r="A19" s="21" t="s">
        <v>41</v>
      </c>
      <c r="B19" s="201" t="s">
        <v>965</v>
      </c>
      <c r="C19" s="18">
        <f>C18+'2.1.sz.mell  '!C20</f>
        <v>2250183132</v>
      </c>
      <c r="D19" s="18">
        <f>D18+'2.1.sz.mell  '!D20</f>
        <v>1584881652</v>
      </c>
      <c r="E19" s="18">
        <f>E18+'2.1.sz.mell  '!E20</f>
        <v>641840116</v>
      </c>
      <c r="F19" s="18">
        <f>F18+'2.1.sz.mell  '!F20</f>
        <v>911116440</v>
      </c>
      <c r="G19" s="18">
        <f>G18+'2.1.sz.mell  '!G20</f>
        <v>5388021340</v>
      </c>
      <c r="H19" s="18">
        <f>H18+'2.1.sz.mell  '!H20</f>
        <v>5379172518</v>
      </c>
      <c r="I19" s="628">
        <f t="shared" si="1"/>
        <v>0.99835768616313614</v>
      </c>
      <c r="J19" s="201" t="s">
        <v>966</v>
      </c>
      <c r="K19" s="18">
        <f>K18+'2.1.sz.mell  '!K20</f>
        <v>2250183132</v>
      </c>
      <c r="L19" s="18">
        <f>L18+'2.1.sz.mell  '!L20</f>
        <v>1589036926</v>
      </c>
      <c r="M19" s="18">
        <f>M18+'2.1.sz.mell  '!M20</f>
        <v>27344446</v>
      </c>
      <c r="N19" s="18">
        <f>N18+'2.1.sz.mell  '!N20</f>
        <v>1521456836</v>
      </c>
      <c r="O19" s="18">
        <f>O18+'2.1.sz.mell  '!O20</f>
        <v>5388021340</v>
      </c>
      <c r="P19" s="18">
        <f>P18+'2.1.sz.mell  '!P20</f>
        <v>2477885722</v>
      </c>
      <c r="Q19" s="624">
        <f t="shared" si="3"/>
        <v>0.4598878819585373</v>
      </c>
    </row>
    <row r="20" spans="1:17" ht="18" customHeight="1" x14ac:dyDescent="0.3">
      <c r="A20" s="266" t="s">
        <v>43</v>
      </c>
      <c r="B20" s="201" t="s">
        <v>711</v>
      </c>
      <c r="C20" s="18">
        <f t="shared" ref="C20" si="13">IF(C12-K12&lt;0,K12-C12,"-")</f>
        <v>139154999</v>
      </c>
      <c r="D20" s="18" t="str">
        <f t="shared" ref="D20" si="14">IF(D12-L12&lt;0,L12-D12,"-")</f>
        <v>-</v>
      </c>
      <c r="E20" s="18" t="str">
        <f t="shared" ref="E20" si="15">IF(E12-M12&lt;0,M12-E12,"-")</f>
        <v>-</v>
      </c>
      <c r="F20" s="18">
        <f t="shared" ref="F20" si="16">IF(F12-N12&lt;0,N12-F12,"-")</f>
        <v>185338717</v>
      </c>
      <c r="G20" s="18" t="str">
        <f t="shared" ref="G20" si="17">IF(G12-O12&lt;0,O12-G12,"-")</f>
        <v>-</v>
      </c>
      <c r="H20" s="18" t="str">
        <f t="shared" ref="H20" si="18">IF(H12-P12&lt;0,P12-H12,"-")</f>
        <v>-</v>
      </c>
      <c r="I20" s="629"/>
      <c r="J20" s="201" t="s">
        <v>712</v>
      </c>
      <c r="K20" s="202" t="str">
        <f>IF(C12-K12&gt;0,C12-K12,"-")</f>
        <v>-</v>
      </c>
      <c r="L20" s="202">
        <f t="shared" ref="L20:P20" si="19">IF(D12-L12&gt;0,D12-L12,"-")</f>
        <v>1100901358</v>
      </c>
      <c r="M20" s="202">
        <f t="shared" si="19"/>
        <v>600015074</v>
      </c>
      <c r="N20" s="202" t="str">
        <f t="shared" si="19"/>
        <v>-</v>
      </c>
      <c r="O20" s="202">
        <f t="shared" si="19"/>
        <v>1376422716</v>
      </c>
      <c r="P20" s="202">
        <f t="shared" si="19"/>
        <v>2393067611</v>
      </c>
      <c r="Q20" s="624"/>
    </row>
    <row r="21" spans="1:17" ht="18" customHeight="1" x14ac:dyDescent="0.3">
      <c r="A21" s="266" t="s">
        <v>45</v>
      </c>
      <c r="B21" s="201" t="s">
        <v>713</v>
      </c>
      <c r="C21" s="18">
        <f t="shared" ref="C21" si="20">IF(C12+C17-K18&lt;0,K18-(C12+C17),"-")</f>
        <v>88381908</v>
      </c>
      <c r="D21" s="18" t="str">
        <f t="shared" ref="D21" si="21">IF(D12+D17-L18&lt;0,L18-(D12+D17),"-")</f>
        <v>-</v>
      </c>
      <c r="E21" s="18" t="str">
        <f t="shared" ref="E21" si="22">IF(E12+E17-M18&lt;0,M18-(E12+E17),"-")</f>
        <v>-</v>
      </c>
      <c r="F21" s="18">
        <f t="shared" ref="F21" si="23">IF(F12+F17-N18&lt;0,N18-(F12+F17),"-")</f>
        <v>188438717</v>
      </c>
      <c r="G21" s="18" t="str">
        <f t="shared" ref="G21" si="24">IF(G12+G17-O18&lt;0,O18-(G12+G17),"-")</f>
        <v>-</v>
      </c>
      <c r="H21" s="18" t="str">
        <f t="shared" ref="H21" si="25">IF(H12+H17-P18&lt;0,P18-(H12+H17),"-")</f>
        <v>-</v>
      </c>
      <c r="I21" s="629"/>
      <c r="J21" s="201" t="s">
        <v>714</v>
      </c>
      <c r="K21" s="202" t="str">
        <f>IF(C12+C17-K18&gt;0,C12+C17-K18,"-")</f>
        <v>-</v>
      </c>
      <c r="L21" s="202">
        <f t="shared" ref="L21:P21" si="26">IF(D12+D17-L18&gt;0,D12+D17-L18,"-")</f>
        <v>1100901358</v>
      </c>
      <c r="M21" s="202">
        <f t="shared" si="26"/>
        <v>600015074</v>
      </c>
      <c r="N21" s="202" t="str">
        <f t="shared" si="26"/>
        <v>-</v>
      </c>
      <c r="O21" s="202">
        <f t="shared" si="26"/>
        <v>1424095807</v>
      </c>
      <c r="P21" s="202">
        <f t="shared" si="26"/>
        <v>2440747532</v>
      </c>
      <c r="Q21" s="624"/>
    </row>
  </sheetData>
  <mergeCells count="4">
    <mergeCell ref="A3:A4"/>
    <mergeCell ref="B3:I3"/>
    <mergeCell ref="J3:Q3"/>
    <mergeCell ref="A1:Q1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42" orientation="landscape" verticalDpi="300" r:id="rId1"/>
  <headerFooter alignWithMargins="0">
    <oddHeader>&amp;R&amp;"Times New Roman CE,Félkövér dőlt"&amp;12 2.2. melléklet a 4/2018. (III.19.)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view="pageLayout" topLeftCell="D1" zoomScaleNormal="100" workbookViewId="0">
      <selection activeCell="D4" sqref="D4"/>
    </sheetView>
  </sheetViews>
  <sheetFormatPr defaultColWidth="18.296875" defaultRowHeight="13" x14ac:dyDescent="0.3"/>
  <cols>
    <col min="1" max="1" width="9.296875" style="23" customWidth="1"/>
    <col min="2" max="2" width="61" style="24" customWidth="1"/>
    <col min="3" max="3" width="16" style="23" customWidth="1"/>
    <col min="4" max="5" width="13.796875" style="25" customWidth="1"/>
    <col min="6" max="6" width="13.796875" style="24" customWidth="1"/>
    <col min="7" max="10" width="18.296875" style="544"/>
    <col min="11" max="11" width="18.296875" style="24"/>
    <col min="12" max="12" width="13.5" style="635" customWidth="1"/>
    <col min="13" max="16384" width="18.296875" style="24"/>
  </cols>
  <sheetData>
    <row r="1" spans="1:12" ht="43.5" customHeight="1" x14ac:dyDescent="0.3">
      <c r="A1" s="839" t="s">
        <v>403</v>
      </c>
      <c r="B1" s="839"/>
      <c r="C1" s="839"/>
      <c r="D1" s="839"/>
      <c r="E1" s="839"/>
      <c r="F1" s="839"/>
      <c r="G1" s="839"/>
      <c r="H1" s="839"/>
      <c r="I1" s="839"/>
      <c r="J1" s="839"/>
      <c r="K1" s="839"/>
      <c r="L1" s="839"/>
    </row>
    <row r="2" spans="1:12" ht="15.75" customHeight="1" x14ac:dyDescent="0.3">
      <c r="A2" s="562"/>
      <c r="B2" s="562"/>
      <c r="C2" s="562"/>
      <c r="D2" s="562"/>
      <c r="E2" s="562"/>
      <c r="F2" s="562"/>
      <c r="G2" s="562"/>
      <c r="H2" s="562"/>
      <c r="I2" s="683"/>
      <c r="J2" s="24"/>
      <c r="K2" s="562" t="s">
        <v>801</v>
      </c>
      <c r="L2" s="631" t="s">
        <v>1</v>
      </c>
    </row>
    <row r="3" spans="1:12" s="28" customFormat="1" ht="22.5" customHeight="1" x14ac:dyDescent="0.3">
      <c r="A3" s="836" t="s">
        <v>286</v>
      </c>
      <c r="B3" s="836" t="s">
        <v>287</v>
      </c>
      <c r="C3" s="324"/>
      <c r="D3" s="837" t="s">
        <v>402</v>
      </c>
      <c r="E3" s="838"/>
      <c r="F3" s="838"/>
      <c r="G3" s="838"/>
      <c r="H3" s="838"/>
      <c r="I3" s="838"/>
      <c r="J3" s="838"/>
      <c r="K3" s="561"/>
      <c r="L3" s="632"/>
    </row>
    <row r="4" spans="1:12" s="29" customFormat="1" ht="25.5" customHeight="1" x14ac:dyDescent="0.3">
      <c r="A4" s="836"/>
      <c r="B4" s="836"/>
      <c r="C4" s="325" t="s">
        <v>288</v>
      </c>
      <c r="D4" s="324" t="s">
        <v>289</v>
      </c>
      <c r="E4" s="325" t="s">
        <v>290</v>
      </c>
      <c r="F4" s="324" t="s">
        <v>407</v>
      </c>
      <c r="G4" s="540" t="s">
        <v>824</v>
      </c>
      <c r="H4" s="540" t="s">
        <v>825</v>
      </c>
      <c r="I4" s="558" t="s">
        <v>856</v>
      </c>
      <c r="J4" s="558" t="s">
        <v>809</v>
      </c>
      <c r="K4" s="324" t="s">
        <v>826</v>
      </c>
      <c r="L4" s="633" t="s">
        <v>827</v>
      </c>
    </row>
    <row r="5" spans="1:12" ht="28.5" customHeight="1" x14ac:dyDescent="0.3">
      <c r="A5" s="326" t="s">
        <v>291</v>
      </c>
      <c r="B5" s="327" t="s">
        <v>292</v>
      </c>
      <c r="C5" s="328" t="s">
        <v>293</v>
      </c>
      <c r="D5" s="329">
        <v>44.75</v>
      </c>
      <c r="E5" s="330">
        <v>4580000</v>
      </c>
      <c r="F5" s="331">
        <f>D5*E5</f>
        <v>204955000</v>
      </c>
      <c r="G5" s="542">
        <f>J5-F5</f>
        <v>0</v>
      </c>
      <c r="H5" s="542">
        <v>0</v>
      </c>
      <c r="I5" s="559">
        <f>J5-F5-G5-H5</f>
        <v>0</v>
      </c>
      <c r="J5" s="559">
        <v>204955000</v>
      </c>
      <c r="K5" s="559">
        <v>204955000</v>
      </c>
      <c r="L5" s="634"/>
    </row>
    <row r="6" spans="1:12" ht="29.25" customHeight="1" x14ac:dyDescent="0.3">
      <c r="A6" s="328" t="s">
        <v>294</v>
      </c>
      <c r="B6" s="327" t="s">
        <v>295</v>
      </c>
      <c r="C6" s="326"/>
      <c r="D6" s="332"/>
      <c r="E6" s="332"/>
      <c r="F6" s="331">
        <f>SUM(F7:F10)</f>
        <v>43969616</v>
      </c>
      <c r="G6" s="542">
        <f t="shared" ref="G6:G56" si="0">J6-F6</f>
        <v>0</v>
      </c>
      <c r="H6" s="542">
        <v>0</v>
      </c>
      <c r="I6" s="559">
        <f t="shared" ref="I6:I58" si="1">J6-F6-G6-H6</f>
        <v>0</v>
      </c>
      <c r="J6" s="559">
        <v>43969616</v>
      </c>
      <c r="K6" s="559">
        <v>43969616</v>
      </c>
      <c r="L6" s="634"/>
    </row>
    <row r="7" spans="1:12" ht="28.5" customHeight="1" x14ac:dyDescent="0.3">
      <c r="A7" s="333" t="s">
        <v>296</v>
      </c>
      <c r="B7" s="334" t="s">
        <v>297</v>
      </c>
      <c r="C7" s="333" t="s">
        <v>298</v>
      </c>
      <c r="D7" s="335"/>
      <c r="E7" s="336">
        <v>22300</v>
      </c>
      <c r="F7" s="336">
        <v>0</v>
      </c>
      <c r="G7" s="542">
        <v>0</v>
      </c>
      <c r="H7" s="542">
        <v>0</v>
      </c>
      <c r="I7" s="559">
        <f t="shared" si="1"/>
        <v>22337910</v>
      </c>
      <c r="J7" s="559">
        <v>22337910</v>
      </c>
      <c r="K7" s="559">
        <v>22337910</v>
      </c>
      <c r="L7" s="634"/>
    </row>
    <row r="8" spans="1:12" ht="29.25" customHeight="1" x14ac:dyDescent="0.3">
      <c r="A8" s="333" t="s">
        <v>299</v>
      </c>
      <c r="B8" s="334" t="s">
        <v>300</v>
      </c>
      <c r="C8" s="333" t="s">
        <v>301</v>
      </c>
      <c r="D8" s="335"/>
      <c r="E8" s="335"/>
      <c r="F8" s="336">
        <v>15582166</v>
      </c>
      <c r="G8" s="542">
        <v>0</v>
      </c>
      <c r="H8" s="542">
        <v>0</v>
      </c>
      <c r="I8" s="559">
        <f t="shared" si="1"/>
        <v>0</v>
      </c>
      <c r="J8" s="559">
        <v>15582166</v>
      </c>
      <c r="K8" s="559">
        <v>15582166</v>
      </c>
      <c r="L8" s="634"/>
    </row>
    <row r="9" spans="1:12" ht="23.25" customHeight="1" x14ac:dyDescent="0.3">
      <c r="A9" s="333" t="s">
        <v>302</v>
      </c>
      <c r="B9" s="334" t="s">
        <v>303</v>
      </c>
      <c r="C9" s="333" t="s">
        <v>304</v>
      </c>
      <c r="D9" s="335"/>
      <c r="E9" s="335"/>
      <c r="F9" s="336">
        <v>524700</v>
      </c>
      <c r="G9" s="542">
        <v>0</v>
      </c>
      <c r="H9" s="542">
        <v>0</v>
      </c>
      <c r="I9" s="559">
        <f t="shared" si="1"/>
        <v>0</v>
      </c>
      <c r="J9" s="559">
        <v>524700</v>
      </c>
      <c r="K9" s="559">
        <v>524700</v>
      </c>
      <c r="L9" s="634"/>
    </row>
    <row r="10" spans="1:12" ht="18.75" customHeight="1" x14ac:dyDescent="0.3">
      <c r="A10" s="333" t="s">
        <v>305</v>
      </c>
      <c r="B10" s="334" t="s">
        <v>306</v>
      </c>
      <c r="C10" s="333" t="s">
        <v>301</v>
      </c>
      <c r="D10" s="335"/>
      <c r="E10" s="335"/>
      <c r="F10" s="336">
        <v>27862750</v>
      </c>
      <c r="G10" s="542">
        <v>0</v>
      </c>
      <c r="H10" s="542">
        <v>0</v>
      </c>
      <c r="I10" s="559">
        <f t="shared" si="1"/>
        <v>0</v>
      </c>
      <c r="J10" s="559">
        <v>27862750</v>
      </c>
      <c r="K10" s="559">
        <v>27862750</v>
      </c>
      <c r="L10" s="634"/>
    </row>
    <row r="11" spans="1:12" ht="24" customHeight="1" x14ac:dyDescent="0.3">
      <c r="A11" s="326" t="s">
        <v>307</v>
      </c>
      <c r="B11" s="327" t="s">
        <v>308</v>
      </c>
      <c r="C11" s="326" t="s">
        <v>309</v>
      </c>
      <c r="D11" s="332"/>
      <c r="E11" s="330">
        <v>2700</v>
      </c>
      <c r="F11" s="330">
        <v>47055600</v>
      </c>
      <c r="G11" s="542">
        <v>0</v>
      </c>
      <c r="H11" s="542">
        <v>0</v>
      </c>
      <c r="I11" s="559">
        <f t="shared" si="1"/>
        <v>0</v>
      </c>
      <c r="J11" s="559">
        <v>47055600</v>
      </c>
      <c r="K11" s="559">
        <v>47055600</v>
      </c>
      <c r="L11" s="634"/>
    </row>
    <row r="12" spans="1:12" ht="35.25" customHeight="1" x14ac:dyDescent="0.3">
      <c r="A12" s="326" t="s">
        <v>310</v>
      </c>
      <c r="B12" s="327" t="s">
        <v>311</v>
      </c>
      <c r="C12" s="328" t="s">
        <v>312</v>
      </c>
      <c r="D12" s="332"/>
      <c r="E12" s="330">
        <v>2550</v>
      </c>
      <c r="F12" s="330">
        <v>2144550</v>
      </c>
      <c r="G12" s="542">
        <v>0</v>
      </c>
      <c r="H12" s="542">
        <v>0</v>
      </c>
      <c r="I12" s="559">
        <f t="shared" si="1"/>
        <v>0</v>
      </c>
      <c r="J12" s="559">
        <v>2144550</v>
      </c>
      <c r="K12" s="559">
        <v>2144550</v>
      </c>
      <c r="L12" s="634"/>
    </row>
    <row r="13" spans="1:12" ht="24.75" customHeight="1" x14ac:dyDescent="0.3">
      <c r="A13" s="326" t="s">
        <v>313</v>
      </c>
      <c r="B13" s="327" t="s">
        <v>314</v>
      </c>
      <c r="C13" s="328" t="s">
        <v>315</v>
      </c>
      <c r="D13" s="332"/>
      <c r="E13" s="329">
        <v>1</v>
      </c>
      <c r="F13" s="331">
        <v>1078000</v>
      </c>
      <c r="G13" s="542">
        <v>0</v>
      </c>
      <c r="H13" s="542">
        <v>0</v>
      </c>
      <c r="I13" s="559">
        <f t="shared" si="1"/>
        <v>0</v>
      </c>
      <c r="J13" s="559">
        <v>1078000</v>
      </c>
      <c r="K13" s="559">
        <v>1078000</v>
      </c>
      <c r="L13" s="634"/>
    </row>
    <row r="14" spans="1:12" ht="24.75" customHeight="1" x14ac:dyDescent="0.3">
      <c r="A14" s="326"/>
      <c r="B14" s="327" t="s">
        <v>406</v>
      </c>
      <c r="C14" s="328"/>
      <c r="D14" s="332"/>
      <c r="E14" s="329"/>
      <c r="F14" s="330">
        <v>119555894</v>
      </c>
      <c r="G14" s="542">
        <v>0</v>
      </c>
      <c r="H14" s="542">
        <v>0</v>
      </c>
      <c r="I14" s="559">
        <f t="shared" si="1"/>
        <v>0</v>
      </c>
      <c r="J14" s="559">
        <v>119555894</v>
      </c>
      <c r="K14" s="559">
        <v>119555894</v>
      </c>
      <c r="L14" s="634"/>
    </row>
    <row r="15" spans="1:12" s="28" customFormat="1" ht="31.5" customHeight="1" x14ac:dyDescent="0.3">
      <c r="A15" s="337" t="s">
        <v>316</v>
      </c>
      <c r="B15" s="338" t="s">
        <v>317</v>
      </c>
      <c r="C15" s="337" t="s">
        <v>318</v>
      </c>
      <c r="D15" s="339"/>
      <c r="E15" s="339"/>
      <c r="F15" s="340">
        <f>SUM(F5+F6+F13)</f>
        <v>250002616</v>
      </c>
      <c r="G15" s="676">
        <f t="shared" ref="G15:J15" si="2">SUM(G5+G6+G13)</f>
        <v>0</v>
      </c>
      <c r="H15" s="676">
        <f t="shared" si="2"/>
        <v>0</v>
      </c>
      <c r="I15" s="676">
        <f t="shared" si="2"/>
        <v>0</v>
      </c>
      <c r="J15" s="676">
        <f t="shared" si="2"/>
        <v>250002616</v>
      </c>
      <c r="K15" s="676">
        <f t="shared" ref="K15" si="3">SUM(K5+K6+K13)</f>
        <v>250002616</v>
      </c>
      <c r="L15" s="632"/>
    </row>
    <row r="16" spans="1:12" s="28" customFormat="1" ht="18.75" customHeight="1" x14ac:dyDescent="0.3">
      <c r="A16" s="337" t="s">
        <v>319</v>
      </c>
      <c r="B16" s="339" t="s">
        <v>401</v>
      </c>
      <c r="C16" s="337" t="s">
        <v>318</v>
      </c>
      <c r="D16" s="339" t="s">
        <v>320</v>
      </c>
      <c r="E16" s="339" t="s">
        <v>320</v>
      </c>
      <c r="F16" s="341">
        <v>948944</v>
      </c>
      <c r="G16" s="542">
        <f t="shared" si="0"/>
        <v>0</v>
      </c>
      <c r="H16" s="542">
        <f t="shared" ref="H16:I60" si="4">J16-F16-G16</f>
        <v>0</v>
      </c>
      <c r="I16" s="542">
        <f t="shared" si="4"/>
        <v>948945</v>
      </c>
      <c r="J16" s="560">
        <v>948944</v>
      </c>
      <c r="K16" s="560">
        <v>948945</v>
      </c>
      <c r="L16" s="632"/>
    </row>
    <row r="17" spans="1:12" s="541" customFormat="1" ht="30" customHeight="1" x14ac:dyDescent="0.3">
      <c r="A17" s="337" t="s">
        <v>321</v>
      </c>
      <c r="B17" s="338" t="s">
        <v>322</v>
      </c>
      <c r="C17" s="337" t="s">
        <v>318</v>
      </c>
      <c r="D17" s="339"/>
      <c r="E17" s="339"/>
      <c r="F17" s="341">
        <f>SUM(F15:F16)</f>
        <v>250951560</v>
      </c>
      <c r="G17" s="543">
        <f t="shared" ref="G17:J17" si="5">SUM(G15:G16)</f>
        <v>0</v>
      </c>
      <c r="H17" s="543">
        <f t="shared" si="5"/>
        <v>0</v>
      </c>
      <c r="I17" s="543">
        <f t="shared" si="5"/>
        <v>948945</v>
      </c>
      <c r="J17" s="543">
        <f t="shared" si="5"/>
        <v>250951560</v>
      </c>
      <c r="K17" s="341">
        <v>250951560</v>
      </c>
      <c r="L17" s="646">
        <f>K17/J17</f>
        <v>1</v>
      </c>
    </row>
    <row r="18" spans="1:12" ht="34.5" customHeight="1" x14ac:dyDescent="0.3">
      <c r="A18" s="326" t="s">
        <v>323</v>
      </c>
      <c r="B18" s="327" t="s">
        <v>324</v>
      </c>
      <c r="C18" s="326"/>
      <c r="D18" s="332"/>
      <c r="E18" s="332"/>
      <c r="F18" s="675">
        <f>SUM(F19:F25)</f>
        <v>211844783.33333337</v>
      </c>
      <c r="G18" s="675">
        <f t="shared" ref="G18:H18" si="6">SUM(G19:G25)</f>
        <v>0</v>
      </c>
      <c r="H18" s="675">
        <f t="shared" si="6"/>
        <v>8194488</v>
      </c>
      <c r="I18" s="559">
        <f t="shared" si="1"/>
        <v>-5198904.3333333731</v>
      </c>
      <c r="J18" s="675">
        <f>SUM(J19:J26)</f>
        <v>214840367</v>
      </c>
      <c r="K18" s="675">
        <f>SUM(K19:K26)</f>
        <v>214840367</v>
      </c>
      <c r="L18" s="634"/>
    </row>
    <row r="19" spans="1:12" ht="18.75" customHeight="1" x14ac:dyDescent="0.3">
      <c r="A19" s="333" t="s">
        <v>325</v>
      </c>
      <c r="B19" s="335" t="s">
        <v>326</v>
      </c>
      <c r="C19" s="333" t="s">
        <v>309</v>
      </c>
      <c r="D19" s="342">
        <v>36.5</v>
      </c>
      <c r="E19" s="336">
        <v>4469900</v>
      </c>
      <c r="F19" s="336">
        <f>D19*E19/12*8</f>
        <v>108767566.66666667</v>
      </c>
      <c r="G19" s="542">
        <v>0</v>
      </c>
      <c r="H19" s="542">
        <v>0</v>
      </c>
      <c r="I19" s="559">
        <f t="shared" si="1"/>
        <v>0.3333333283662796</v>
      </c>
      <c r="J19" s="559">
        <v>108767567</v>
      </c>
      <c r="K19" s="559">
        <v>108767567</v>
      </c>
      <c r="L19" s="634"/>
    </row>
    <row r="20" spans="1:12" ht="49.5" customHeight="1" x14ac:dyDescent="0.3">
      <c r="A20" s="333" t="s">
        <v>327</v>
      </c>
      <c r="B20" s="334" t="s">
        <v>328</v>
      </c>
      <c r="C20" s="333" t="s">
        <v>309</v>
      </c>
      <c r="D20" s="342">
        <v>24</v>
      </c>
      <c r="E20" s="336">
        <v>1800000</v>
      </c>
      <c r="F20" s="336">
        <f>D20*E20/12*8</f>
        <v>28800000</v>
      </c>
      <c r="G20" s="542">
        <v>0</v>
      </c>
      <c r="H20" s="542">
        <v>0</v>
      </c>
      <c r="I20" s="559">
        <f t="shared" si="1"/>
        <v>0</v>
      </c>
      <c r="J20" s="559">
        <v>28800000</v>
      </c>
      <c r="K20" s="559">
        <v>28800000</v>
      </c>
      <c r="L20" s="634"/>
    </row>
    <row r="21" spans="1:12" ht="45.75" customHeight="1" x14ac:dyDescent="0.3">
      <c r="A21" s="333" t="s">
        <v>329</v>
      </c>
      <c r="B21" s="334" t="s">
        <v>330</v>
      </c>
      <c r="C21" s="333" t="s">
        <v>309</v>
      </c>
      <c r="D21" s="342">
        <v>1</v>
      </c>
      <c r="E21" s="336">
        <v>4469900</v>
      </c>
      <c r="F21" s="336">
        <f>D21*E21/12*8</f>
        <v>2979933.3333333335</v>
      </c>
      <c r="G21" s="542">
        <v>0</v>
      </c>
      <c r="H21" s="542">
        <v>1489967</v>
      </c>
      <c r="I21" s="559">
        <f t="shared" si="1"/>
        <v>-1489967.3333333335</v>
      </c>
      <c r="J21" s="559">
        <v>2979933</v>
      </c>
      <c r="K21" s="559">
        <v>2979933</v>
      </c>
      <c r="L21" s="634"/>
    </row>
    <row r="22" spans="1:12" ht="18.75" customHeight="1" x14ac:dyDescent="0.3">
      <c r="A22" s="333" t="s">
        <v>331</v>
      </c>
      <c r="B22" s="335" t="s">
        <v>326</v>
      </c>
      <c r="C22" s="333" t="s">
        <v>309</v>
      </c>
      <c r="D22" s="342">
        <v>34.700000000000003</v>
      </c>
      <c r="E22" s="336">
        <v>4469900</v>
      </c>
      <c r="F22" s="336">
        <f>D22*E22/12*4</f>
        <v>51701843.333333336</v>
      </c>
      <c r="G22" s="542">
        <v>0</v>
      </c>
      <c r="H22" s="542">
        <v>5989921</v>
      </c>
      <c r="I22" s="559">
        <f t="shared" si="1"/>
        <v>-1371024.3333333358</v>
      </c>
      <c r="J22" s="559">
        <v>56320740</v>
      </c>
      <c r="K22" s="559">
        <v>56320740</v>
      </c>
      <c r="L22" s="634"/>
    </row>
    <row r="23" spans="1:12" ht="45" customHeight="1" x14ac:dyDescent="0.3">
      <c r="A23" s="333" t="s">
        <v>332</v>
      </c>
      <c r="B23" s="334" t="s">
        <v>328</v>
      </c>
      <c r="C23" s="333" t="s">
        <v>309</v>
      </c>
      <c r="D23" s="342">
        <v>23</v>
      </c>
      <c r="E23" s="336">
        <v>1800000</v>
      </c>
      <c r="F23" s="336">
        <f>D23*E23/12*4</f>
        <v>13800000</v>
      </c>
      <c r="G23" s="542">
        <v>0</v>
      </c>
      <c r="H23" s="542">
        <v>600000</v>
      </c>
      <c r="I23" s="559">
        <f t="shared" si="1"/>
        <v>600000</v>
      </c>
      <c r="J23" s="559">
        <v>15000000</v>
      </c>
      <c r="K23" s="559">
        <v>15000000</v>
      </c>
      <c r="L23" s="634"/>
    </row>
    <row r="24" spans="1:12" ht="45" customHeight="1" x14ac:dyDescent="0.3">
      <c r="A24" s="333" t="s">
        <v>928</v>
      </c>
      <c r="B24" s="334" t="s">
        <v>330</v>
      </c>
      <c r="C24" s="333" t="s">
        <v>309</v>
      </c>
      <c r="D24" s="342"/>
      <c r="E24" s="336">
        <v>4469900</v>
      </c>
      <c r="F24" s="336">
        <v>4469900</v>
      </c>
      <c r="G24" s="542"/>
      <c r="H24" s="542"/>
      <c r="I24" s="559"/>
      <c r="J24" s="559">
        <v>1489967</v>
      </c>
      <c r="K24" s="559">
        <v>1489967</v>
      </c>
      <c r="L24" s="634"/>
    </row>
    <row r="25" spans="1:12" ht="24.75" customHeight="1" x14ac:dyDescent="0.3">
      <c r="A25" s="333" t="s">
        <v>333</v>
      </c>
      <c r="B25" s="334" t="s">
        <v>334</v>
      </c>
      <c r="C25" s="333" t="s">
        <v>309</v>
      </c>
      <c r="D25" s="342">
        <v>34.700000000000003</v>
      </c>
      <c r="E25" s="336">
        <v>38200</v>
      </c>
      <c r="F25" s="336">
        <f>D25*E25</f>
        <v>1325540</v>
      </c>
      <c r="G25" s="542">
        <v>0</v>
      </c>
      <c r="H25" s="542">
        <f>76400+38200</f>
        <v>114600</v>
      </c>
      <c r="I25" s="559">
        <f t="shared" si="1"/>
        <v>3820</v>
      </c>
      <c r="J25" s="559">
        <v>1443960</v>
      </c>
      <c r="K25" s="559">
        <v>1443960</v>
      </c>
      <c r="L25" s="634"/>
    </row>
    <row r="26" spans="1:12" ht="26" x14ac:dyDescent="0.3">
      <c r="A26" s="333" t="s">
        <v>929</v>
      </c>
      <c r="B26" s="334" t="s">
        <v>930</v>
      </c>
      <c r="C26" s="333" t="s">
        <v>309</v>
      </c>
      <c r="D26" s="342"/>
      <c r="E26" s="336"/>
      <c r="F26" s="336"/>
      <c r="G26" s="542"/>
      <c r="H26" s="542"/>
      <c r="I26" s="559">
        <f t="shared" si="1"/>
        <v>38200</v>
      </c>
      <c r="J26" s="559">
        <v>38200</v>
      </c>
      <c r="K26" s="559">
        <v>38200</v>
      </c>
      <c r="L26" s="634"/>
    </row>
    <row r="27" spans="1:12" ht="18.75" customHeight="1" x14ac:dyDescent="0.3">
      <c r="A27" s="326" t="s">
        <v>335</v>
      </c>
      <c r="B27" s="327" t="s">
        <v>336</v>
      </c>
      <c r="C27" s="326" t="s">
        <v>309</v>
      </c>
      <c r="D27" s="330"/>
      <c r="E27" s="330">
        <v>80000</v>
      </c>
      <c r="F27" s="330"/>
      <c r="G27" s="542">
        <v>0</v>
      </c>
      <c r="H27" s="542">
        <v>0</v>
      </c>
      <c r="I27" s="559">
        <f t="shared" si="1"/>
        <v>0</v>
      </c>
      <c r="J27" s="559"/>
      <c r="K27" s="559"/>
      <c r="L27" s="634"/>
    </row>
    <row r="28" spans="1:12" ht="18.75" customHeight="1" x14ac:dyDescent="0.3">
      <c r="A28" s="326" t="s">
        <v>337</v>
      </c>
      <c r="B28" s="327" t="s">
        <v>338</v>
      </c>
      <c r="C28" s="326" t="s">
        <v>309</v>
      </c>
      <c r="D28" s="330">
        <v>403</v>
      </c>
      <c r="E28" s="330">
        <v>81700</v>
      </c>
      <c r="F28" s="330">
        <f>D28*E28/12*8</f>
        <v>21950066.666666668</v>
      </c>
      <c r="G28" s="542">
        <v>0</v>
      </c>
      <c r="H28" s="542">
        <v>0</v>
      </c>
      <c r="I28" s="559">
        <f t="shared" si="1"/>
        <v>0.3333333320915699</v>
      </c>
      <c r="J28" s="559">
        <v>21950067</v>
      </c>
      <c r="K28" s="559">
        <v>21950067</v>
      </c>
      <c r="L28" s="634"/>
    </row>
    <row r="29" spans="1:12" ht="18.75" customHeight="1" x14ac:dyDescent="0.3">
      <c r="A29" s="326" t="s">
        <v>339</v>
      </c>
      <c r="B29" s="327" t="s">
        <v>336</v>
      </c>
      <c r="C29" s="326" t="s">
        <v>309</v>
      </c>
      <c r="D29" s="330"/>
      <c r="E29" s="330">
        <v>80000</v>
      </c>
      <c r="F29" s="330"/>
      <c r="G29" s="542">
        <v>0</v>
      </c>
      <c r="H29" s="542">
        <v>0</v>
      </c>
      <c r="I29" s="559">
        <f t="shared" si="1"/>
        <v>0</v>
      </c>
      <c r="J29" s="559"/>
      <c r="K29" s="559"/>
      <c r="L29" s="634"/>
    </row>
    <row r="30" spans="1:12" ht="18.75" customHeight="1" x14ac:dyDescent="0.3">
      <c r="A30" s="326" t="s">
        <v>340</v>
      </c>
      <c r="B30" s="327" t="s">
        <v>338</v>
      </c>
      <c r="C30" s="326" t="s">
        <v>309</v>
      </c>
      <c r="D30" s="330">
        <v>383</v>
      </c>
      <c r="E30" s="330">
        <v>81700</v>
      </c>
      <c r="F30" s="330">
        <f>D30*E30/12*4</f>
        <v>10430366.666666666</v>
      </c>
      <c r="G30" s="542">
        <v>0</v>
      </c>
      <c r="H30" s="542">
        <v>626366</v>
      </c>
      <c r="I30" s="559">
        <f t="shared" si="1"/>
        <v>354034.33333333395</v>
      </c>
      <c r="J30" s="559">
        <v>11410767</v>
      </c>
      <c r="K30" s="559">
        <v>11410767</v>
      </c>
      <c r="L30" s="634"/>
    </row>
    <row r="31" spans="1:12" ht="18.75" customHeight="1" x14ac:dyDescent="0.3">
      <c r="A31" s="337" t="s">
        <v>341</v>
      </c>
      <c r="B31" s="338" t="s">
        <v>342</v>
      </c>
      <c r="C31" s="337" t="s">
        <v>318</v>
      </c>
      <c r="D31" s="330"/>
      <c r="E31" s="330"/>
      <c r="F31" s="330"/>
      <c r="G31" s="542">
        <f t="shared" si="0"/>
        <v>0</v>
      </c>
      <c r="H31" s="542">
        <f t="shared" si="4"/>
        <v>0</v>
      </c>
      <c r="I31" s="542">
        <f t="shared" si="4"/>
        <v>0</v>
      </c>
      <c r="J31" s="559"/>
      <c r="K31" s="559"/>
      <c r="L31" s="634"/>
    </row>
    <row r="32" spans="1:12" ht="33.75" customHeight="1" x14ac:dyDescent="0.3">
      <c r="A32" s="328" t="s">
        <v>341</v>
      </c>
      <c r="B32" s="327" t="s">
        <v>343</v>
      </c>
      <c r="C32" s="337"/>
      <c r="D32" s="339"/>
      <c r="E32" s="339"/>
      <c r="F32" s="341">
        <f>SUM(F33:F34)</f>
        <v>2932300</v>
      </c>
      <c r="G32" s="543">
        <f t="shared" ref="G32:J32" si="7">SUM(G33:G34)</f>
        <v>0</v>
      </c>
      <c r="H32" s="543">
        <f>SUM(H33:H34)</f>
        <v>1284628</v>
      </c>
      <c r="I32" s="559">
        <f t="shared" si="1"/>
        <v>0</v>
      </c>
      <c r="J32" s="543">
        <f t="shared" si="7"/>
        <v>4216928</v>
      </c>
      <c r="K32" s="543">
        <f t="shared" ref="K32" si="8">SUM(K33:K34)</f>
        <v>4216928</v>
      </c>
      <c r="L32" s="634"/>
    </row>
    <row r="33" spans="1:12" ht="37.5" customHeight="1" x14ac:dyDescent="0.3">
      <c r="A33" s="326" t="s">
        <v>344</v>
      </c>
      <c r="B33" s="327" t="s">
        <v>345</v>
      </c>
      <c r="C33" s="326" t="s">
        <v>309</v>
      </c>
      <c r="D33" s="330">
        <v>7</v>
      </c>
      <c r="E33" s="330">
        <v>418900</v>
      </c>
      <c r="F33" s="330">
        <f>D33*E33</f>
        <v>2932300</v>
      </c>
      <c r="G33" s="542">
        <v>0</v>
      </c>
      <c r="H33" s="542">
        <v>-251340</v>
      </c>
      <c r="I33" s="559">
        <f t="shared" si="1"/>
        <v>0</v>
      </c>
      <c r="J33" s="559">
        <v>2680960</v>
      </c>
      <c r="K33" s="559">
        <v>2680960</v>
      </c>
      <c r="L33" s="634"/>
    </row>
    <row r="34" spans="1:12" ht="44.25" customHeight="1" x14ac:dyDescent="0.3">
      <c r="A34" s="326" t="s">
        <v>346</v>
      </c>
      <c r="B34" s="327" t="s">
        <v>347</v>
      </c>
      <c r="C34" s="326" t="s">
        <v>309</v>
      </c>
      <c r="D34" s="330"/>
      <c r="E34" s="330">
        <v>383992</v>
      </c>
      <c r="F34" s="330"/>
      <c r="G34" s="542">
        <v>0</v>
      </c>
      <c r="H34" s="542">
        <f t="shared" si="4"/>
        <v>1535968</v>
      </c>
      <c r="I34" s="559">
        <f t="shared" si="1"/>
        <v>0</v>
      </c>
      <c r="J34" s="559">
        <v>1535968</v>
      </c>
      <c r="K34" s="559">
        <v>1535968</v>
      </c>
      <c r="L34" s="634"/>
    </row>
    <row r="35" spans="1:12" s="28" customFormat="1" ht="30.75" customHeight="1" x14ac:dyDescent="0.3">
      <c r="A35" s="337" t="s">
        <v>348</v>
      </c>
      <c r="B35" s="338" t="s">
        <v>349</v>
      </c>
      <c r="C35" s="337" t="s">
        <v>318</v>
      </c>
      <c r="D35" s="339"/>
      <c r="E35" s="339"/>
      <c r="F35" s="341">
        <f>SUM(F18+F27+F28+F29+F30+F32)</f>
        <v>247157516.66666669</v>
      </c>
      <c r="G35" s="543">
        <v>0</v>
      </c>
      <c r="H35" s="543">
        <f t="shared" ref="H35:I35" si="9">SUM(H18+H27+H28+H29+H30+H32)</f>
        <v>10105482</v>
      </c>
      <c r="I35" s="543">
        <f t="shared" si="9"/>
        <v>-4844869.666666707</v>
      </c>
      <c r="J35" s="543">
        <f>SUM(J18+J27+J28+J29+J30+J32)</f>
        <v>252418129</v>
      </c>
      <c r="K35" s="543">
        <v>252418129</v>
      </c>
      <c r="L35" s="633">
        <f>K35/J35</f>
        <v>1</v>
      </c>
    </row>
    <row r="36" spans="1:12" s="28" customFormat="1" ht="29.25" customHeight="1" x14ac:dyDescent="0.3">
      <c r="A36" s="337" t="s">
        <v>350</v>
      </c>
      <c r="B36" s="338" t="s">
        <v>351</v>
      </c>
      <c r="C36" s="337" t="s">
        <v>318</v>
      </c>
      <c r="D36" s="339"/>
      <c r="E36" s="339"/>
      <c r="F36" s="341">
        <v>71143000</v>
      </c>
      <c r="G36" s="542">
        <f t="shared" si="0"/>
        <v>0</v>
      </c>
      <c r="H36" s="542">
        <f t="shared" si="4"/>
        <v>0</v>
      </c>
      <c r="I36" s="559">
        <f t="shared" si="1"/>
        <v>0</v>
      </c>
      <c r="J36" s="560">
        <v>71143000</v>
      </c>
      <c r="K36" s="560">
        <v>71143000</v>
      </c>
      <c r="L36" s="632"/>
    </row>
    <row r="37" spans="1:12" ht="22.5" customHeight="1" x14ac:dyDescent="0.3">
      <c r="A37" s="326" t="s">
        <v>352</v>
      </c>
      <c r="B37" s="327" t="s">
        <v>353</v>
      </c>
      <c r="C37" s="328" t="s">
        <v>354</v>
      </c>
      <c r="D37" s="332"/>
      <c r="E37" s="330">
        <v>3000000</v>
      </c>
      <c r="F37" s="330">
        <f>E37*4.2</f>
        <v>12600000</v>
      </c>
      <c r="G37" s="542">
        <f t="shared" si="0"/>
        <v>0</v>
      </c>
      <c r="H37" s="542">
        <f t="shared" si="4"/>
        <v>0</v>
      </c>
      <c r="I37" s="559">
        <f t="shared" si="1"/>
        <v>0</v>
      </c>
      <c r="J37" s="559">
        <v>12600000</v>
      </c>
      <c r="K37" s="559">
        <v>12600000</v>
      </c>
      <c r="L37" s="634"/>
    </row>
    <row r="38" spans="1:12" ht="22.5" customHeight="1" x14ac:dyDescent="0.3">
      <c r="A38" s="326" t="s">
        <v>355</v>
      </c>
      <c r="B38" s="327" t="s">
        <v>356</v>
      </c>
      <c r="C38" s="328" t="s">
        <v>354</v>
      </c>
      <c r="D38" s="332"/>
      <c r="E38" s="330">
        <v>3000000</v>
      </c>
      <c r="F38" s="330">
        <f>E38*4.4</f>
        <v>13200000.000000002</v>
      </c>
      <c r="G38" s="542">
        <f t="shared" si="0"/>
        <v>0</v>
      </c>
      <c r="H38" s="542">
        <f t="shared" si="4"/>
        <v>-1.862645149230957E-9</v>
      </c>
      <c r="I38" s="559">
        <f t="shared" si="1"/>
        <v>0</v>
      </c>
      <c r="J38" s="559">
        <v>13200000</v>
      </c>
      <c r="K38" s="559">
        <v>13200000</v>
      </c>
      <c r="L38" s="634"/>
    </row>
    <row r="39" spans="1:12" ht="18.75" customHeight="1" x14ac:dyDescent="0.3">
      <c r="A39" s="326" t="s">
        <v>357</v>
      </c>
      <c r="B39" s="327" t="s">
        <v>358</v>
      </c>
      <c r="C39" s="326" t="s">
        <v>309</v>
      </c>
      <c r="D39" s="330"/>
      <c r="E39" s="330">
        <v>55360</v>
      </c>
      <c r="F39" s="330"/>
      <c r="G39" s="542">
        <f t="shared" si="0"/>
        <v>0</v>
      </c>
      <c r="H39" s="542">
        <f t="shared" si="4"/>
        <v>0</v>
      </c>
      <c r="I39" s="559">
        <f t="shared" si="1"/>
        <v>0</v>
      </c>
      <c r="J39" s="559"/>
      <c r="K39" s="559"/>
      <c r="L39" s="634"/>
    </row>
    <row r="40" spans="1:12" ht="18.75" customHeight="1" x14ac:dyDescent="0.3">
      <c r="A40" s="326" t="s">
        <v>359</v>
      </c>
      <c r="B40" s="327" t="s">
        <v>360</v>
      </c>
      <c r="C40" s="326" t="s">
        <v>309</v>
      </c>
      <c r="D40" s="330">
        <v>208</v>
      </c>
      <c r="E40" s="330">
        <v>60896</v>
      </c>
      <c r="F40" s="330">
        <f>D40*E40</f>
        <v>12666368</v>
      </c>
      <c r="G40" s="542">
        <v>60896</v>
      </c>
      <c r="H40" s="542">
        <f>J40-F40-G40</f>
        <v>182688</v>
      </c>
      <c r="I40" s="559">
        <f t="shared" si="1"/>
        <v>0</v>
      </c>
      <c r="J40" s="559">
        <v>12909952</v>
      </c>
      <c r="K40" s="559">
        <v>12909952</v>
      </c>
      <c r="L40" s="634"/>
    </row>
    <row r="41" spans="1:12" ht="18.75" customHeight="1" x14ac:dyDescent="0.3">
      <c r="A41" s="326" t="s">
        <v>361</v>
      </c>
      <c r="B41" s="327" t="s">
        <v>362</v>
      </c>
      <c r="C41" s="326" t="s">
        <v>309</v>
      </c>
      <c r="D41" s="330"/>
      <c r="E41" s="330"/>
      <c r="F41" s="330"/>
      <c r="G41" s="542">
        <f t="shared" si="0"/>
        <v>0</v>
      </c>
      <c r="H41" s="542">
        <f t="shared" si="4"/>
        <v>0</v>
      </c>
      <c r="I41" s="559">
        <f t="shared" si="1"/>
        <v>0</v>
      </c>
      <c r="J41" s="559"/>
      <c r="K41" s="559"/>
      <c r="L41" s="634"/>
    </row>
    <row r="42" spans="1:12" ht="18.75" customHeight="1" x14ac:dyDescent="0.3">
      <c r="A42" s="326" t="s">
        <v>363</v>
      </c>
      <c r="B42" s="327" t="s">
        <v>364</v>
      </c>
      <c r="C42" s="326" t="s">
        <v>309</v>
      </c>
      <c r="D42" s="330"/>
      <c r="E42" s="330"/>
      <c r="F42" s="330"/>
      <c r="G42" s="542">
        <f t="shared" si="0"/>
        <v>0</v>
      </c>
      <c r="H42" s="542">
        <f t="shared" si="4"/>
        <v>0</v>
      </c>
      <c r="I42" s="559">
        <f t="shared" si="1"/>
        <v>0</v>
      </c>
      <c r="J42" s="559"/>
      <c r="K42" s="559"/>
      <c r="L42" s="634"/>
    </row>
    <row r="43" spans="1:12" ht="18.75" customHeight="1" x14ac:dyDescent="0.3">
      <c r="A43" s="326" t="s">
        <v>365</v>
      </c>
      <c r="B43" s="327" t="s">
        <v>366</v>
      </c>
      <c r="C43" s="326" t="s">
        <v>309</v>
      </c>
      <c r="D43" s="330">
        <v>4</v>
      </c>
      <c r="E43" s="330">
        <v>25000</v>
      </c>
      <c r="F43" s="330">
        <f>D43*E43</f>
        <v>100000</v>
      </c>
      <c r="G43" s="542">
        <v>25000</v>
      </c>
      <c r="H43" s="542">
        <f t="shared" si="4"/>
        <v>-25000</v>
      </c>
      <c r="I43" s="559">
        <f t="shared" si="1"/>
        <v>0</v>
      </c>
      <c r="J43" s="559">
        <v>100000</v>
      </c>
      <c r="K43" s="559">
        <v>100000</v>
      </c>
      <c r="L43" s="634"/>
    </row>
    <row r="44" spans="1:12" ht="18.75" customHeight="1" x14ac:dyDescent="0.3">
      <c r="A44" s="326" t="s">
        <v>367</v>
      </c>
      <c r="B44" s="327" t="s">
        <v>368</v>
      </c>
      <c r="C44" s="326" t="s">
        <v>309</v>
      </c>
      <c r="D44" s="330"/>
      <c r="E44" s="330">
        <v>210000</v>
      </c>
      <c r="F44" s="330"/>
      <c r="G44" s="542">
        <f t="shared" si="0"/>
        <v>0</v>
      </c>
      <c r="H44" s="542">
        <f t="shared" si="4"/>
        <v>0</v>
      </c>
      <c r="I44" s="559">
        <f t="shared" si="1"/>
        <v>0</v>
      </c>
      <c r="J44" s="559"/>
      <c r="K44" s="559"/>
      <c r="L44" s="634"/>
    </row>
    <row r="45" spans="1:12" ht="25.5" customHeight="1" x14ac:dyDescent="0.3">
      <c r="A45" s="326" t="s">
        <v>369</v>
      </c>
      <c r="B45" s="327" t="s">
        <v>370</v>
      </c>
      <c r="C45" s="326" t="s">
        <v>309</v>
      </c>
      <c r="D45" s="330">
        <v>67</v>
      </c>
      <c r="E45" s="330">
        <v>273000</v>
      </c>
      <c r="F45" s="330">
        <f>D45*E45</f>
        <v>18291000</v>
      </c>
      <c r="G45" s="542">
        <v>-1365000</v>
      </c>
      <c r="H45" s="542">
        <f t="shared" si="4"/>
        <v>-273000</v>
      </c>
      <c r="I45" s="559">
        <f t="shared" si="1"/>
        <v>0</v>
      </c>
      <c r="J45" s="559">
        <v>16653000</v>
      </c>
      <c r="K45" s="559">
        <v>16653000</v>
      </c>
      <c r="L45" s="634"/>
    </row>
    <row r="46" spans="1:12" ht="30" customHeight="1" x14ac:dyDescent="0.3">
      <c r="A46" s="326" t="s">
        <v>371</v>
      </c>
      <c r="B46" s="327" t="s">
        <v>372</v>
      </c>
      <c r="C46" s="326" t="s">
        <v>309</v>
      </c>
      <c r="D46" s="330">
        <v>100</v>
      </c>
      <c r="E46" s="330">
        <v>163500</v>
      </c>
      <c r="F46" s="330">
        <f>D46*E46</f>
        <v>16350000</v>
      </c>
      <c r="G46" s="542">
        <v>0</v>
      </c>
      <c r="H46" s="542">
        <v>0</v>
      </c>
      <c r="I46" s="559">
        <f t="shared" si="1"/>
        <v>-163500</v>
      </c>
      <c r="J46" s="559">
        <v>16186500</v>
      </c>
      <c r="K46" s="559">
        <v>16186500</v>
      </c>
      <c r="L46" s="634"/>
    </row>
    <row r="47" spans="1:12" ht="22.5" customHeight="1" x14ac:dyDescent="0.3">
      <c r="A47" s="326" t="s">
        <v>373</v>
      </c>
      <c r="B47" s="327" t="s">
        <v>374</v>
      </c>
      <c r="C47" s="326" t="s">
        <v>309</v>
      </c>
      <c r="D47" s="330"/>
      <c r="E47" s="330">
        <v>500000</v>
      </c>
      <c r="F47" s="330"/>
      <c r="G47" s="542">
        <f t="shared" si="0"/>
        <v>0</v>
      </c>
      <c r="H47" s="542">
        <f t="shared" si="4"/>
        <v>0</v>
      </c>
      <c r="I47" s="559">
        <f t="shared" si="1"/>
        <v>0</v>
      </c>
      <c r="J47" s="559"/>
      <c r="K47" s="559"/>
      <c r="L47" s="634"/>
    </row>
    <row r="48" spans="1:12" ht="33.75" customHeight="1" x14ac:dyDescent="0.3">
      <c r="A48" s="326" t="s">
        <v>375</v>
      </c>
      <c r="B48" s="327" t="s">
        <v>376</v>
      </c>
      <c r="C48" s="326" t="s">
        <v>309</v>
      </c>
      <c r="D48" s="330">
        <v>10</v>
      </c>
      <c r="E48" s="330">
        <v>550000</v>
      </c>
      <c r="F48" s="330">
        <f>D48*E48</f>
        <v>5500000</v>
      </c>
      <c r="G48" s="542">
        <v>0</v>
      </c>
      <c r="H48" s="542">
        <v>0</v>
      </c>
      <c r="I48" s="559">
        <f t="shared" si="1"/>
        <v>550000</v>
      </c>
      <c r="J48" s="559">
        <v>6050000</v>
      </c>
      <c r="K48" s="559">
        <v>6050000</v>
      </c>
      <c r="L48" s="634"/>
    </row>
    <row r="49" spans="1:12" ht="33.75" customHeight="1" x14ac:dyDescent="0.3">
      <c r="A49" s="326" t="s">
        <v>377</v>
      </c>
      <c r="B49" s="327" t="s">
        <v>378</v>
      </c>
      <c r="C49" s="326" t="s">
        <v>309</v>
      </c>
      <c r="D49" s="329">
        <v>15</v>
      </c>
      <c r="E49" s="330">
        <v>2606400</v>
      </c>
      <c r="F49" s="330">
        <v>39090600</v>
      </c>
      <c r="G49" s="542">
        <f t="shared" si="0"/>
        <v>0</v>
      </c>
      <c r="H49" s="542">
        <f t="shared" si="4"/>
        <v>0</v>
      </c>
      <c r="I49" s="559">
        <f t="shared" si="1"/>
        <v>0</v>
      </c>
      <c r="J49" s="559">
        <v>39090600</v>
      </c>
      <c r="K49" s="559">
        <v>39090600</v>
      </c>
      <c r="L49" s="634"/>
    </row>
    <row r="50" spans="1:12" ht="18.75" customHeight="1" x14ac:dyDescent="0.3">
      <c r="A50" s="326" t="s">
        <v>379</v>
      </c>
      <c r="B50" s="327" t="s">
        <v>380</v>
      </c>
      <c r="C50" s="326" t="s">
        <v>318</v>
      </c>
      <c r="D50" s="332" t="s">
        <v>320</v>
      </c>
      <c r="E50" s="330"/>
      <c r="F50" s="330">
        <v>17270000</v>
      </c>
      <c r="G50" s="542">
        <v>0</v>
      </c>
      <c r="H50" s="542">
        <f>J50-F50-G50</f>
        <v>-1957000</v>
      </c>
      <c r="I50" s="559">
        <f t="shared" si="1"/>
        <v>0</v>
      </c>
      <c r="J50" s="559">
        <v>15313000</v>
      </c>
      <c r="K50" s="559">
        <v>15313000</v>
      </c>
      <c r="L50" s="634"/>
    </row>
    <row r="51" spans="1:12" ht="27" customHeight="1" x14ac:dyDescent="0.3">
      <c r="A51" s="326" t="s">
        <v>382</v>
      </c>
      <c r="B51" s="327" t="s">
        <v>383</v>
      </c>
      <c r="C51" s="326" t="s">
        <v>309</v>
      </c>
      <c r="D51" s="329">
        <v>27.17</v>
      </c>
      <c r="E51" s="330">
        <v>1632000</v>
      </c>
      <c r="F51" s="330">
        <f>D51*E51</f>
        <v>44341440</v>
      </c>
      <c r="G51" s="542">
        <v>2660160</v>
      </c>
      <c r="H51" s="542">
        <v>16149105</v>
      </c>
      <c r="I51" s="559">
        <f t="shared" si="1"/>
        <v>-22726065</v>
      </c>
      <c r="J51" s="559">
        <v>40424640</v>
      </c>
      <c r="K51" s="559">
        <v>40424640</v>
      </c>
      <c r="L51" s="634"/>
    </row>
    <row r="52" spans="1:12" ht="18.75" customHeight="1" x14ac:dyDescent="0.3">
      <c r="A52" s="326" t="s">
        <v>384</v>
      </c>
      <c r="B52" s="327" t="s">
        <v>385</v>
      </c>
      <c r="C52" s="326" t="s">
        <v>318</v>
      </c>
      <c r="D52" s="330">
        <v>1106</v>
      </c>
      <c r="E52" s="332"/>
      <c r="F52" s="330">
        <v>67864670</v>
      </c>
      <c r="G52" s="542">
        <v>0</v>
      </c>
      <c r="H52" s="542">
        <f t="shared" si="4"/>
        <v>4817794</v>
      </c>
      <c r="I52" s="559">
        <f t="shared" si="1"/>
        <v>0</v>
      </c>
      <c r="J52" s="559">
        <v>72682464</v>
      </c>
      <c r="K52" s="559">
        <v>72682464</v>
      </c>
      <c r="L52" s="634"/>
    </row>
    <row r="53" spans="1:12" ht="29.25" customHeight="1" x14ac:dyDescent="0.3">
      <c r="A53" s="326" t="s">
        <v>386</v>
      </c>
      <c r="B53" s="327" t="s">
        <v>387</v>
      </c>
      <c r="C53" s="326" t="s">
        <v>318</v>
      </c>
      <c r="D53" s="330">
        <v>16252</v>
      </c>
      <c r="E53" s="330">
        <v>513</v>
      </c>
      <c r="F53" s="330">
        <f>D53*E53</f>
        <v>8337276</v>
      </c>
      <c r="G53" s="542">
        <v>-149796</v>
      </c>
      <c r="H53" s="542">
        <f t="shared" si="4"/>
        <v>-3250881</v>
      </c>
      <c r="I53" s="559">
        <f t="shared" si="1"/>
        <v>0</v>
      </c>
      <c r="J53" s="559">
        <v>4936599</v>
      </c>
      <c r="K53" s="559">
        <v>4936599</v>
      </c>
      <c r="L53" s="634"/>
    </row>
    <row r="54" spans="1:12" s="28" customFormat="1" ht="31.5" customHeight="1" x14ac:dyDescent="0.3">
      <c r="A54" s="337" t="s">
        <v>388</v>
      </c>
      <c r="B54" s="338" t="s">
        <v>389</v>
      </c>
      <c r="C54" s="337" t="s">
        <v>318</v>
      </c>
      <c r="D54" s="339"/>
      <c r="E54" s="339"/>
      <c r="F54" s="543">
        <f>SUM(F36:F53)</f>
        <v>326754354</v>
      </c>
      <c r="G54" s="543">
        <f t="shared" ref="G54:J54" si="10">SUM(G36:G53)</f>
        <v>1231260</v>
      </c>
      <c r="H54" s="543">
        <f t="shared" si="10"/>
        <v>15643706</v>
      </c>
      <c r="I54" s="543">
        <f t="shared" si="10"/>
        <v>-22339565</v>
      </c>
      <c r="J54" s="543">
        <f t="shared" si="10"/>
        <v>321289755</v>
      </c>
      <c r="K54" s="341">
        <v>321289755</v>
      </c>
      <c r="L54" s="633">
        <f>K54/J54</f>
        <v>1</v>
      </c>
    </row>
    <row r="55" spans="1:12" ht="38.25" customHeight="1" x14ac:dyDescent="0.3">
      <c r="A55" s="326" t="s">
        <v>390</v>
      </c>
      <c r="B55" s="327" t="s">
        <v>391</v>
      </c>
      <c r="C55" s="326" t="s">
        <v>392</v>
      </c>
      <c r="D55" s="330">
        <v>17428</v>
      </c>
      <c r="E55" s="330">
        <v>1140</v>
      </c>
      <c r="F55" s="330">
        <f>D55*E55</f>
        <v>19867920</v>
      </c>
      <c r="G55" s="542">
        <f t="shared" si="0"/>
        <v>0</v>
      </c>
      <c r="H55" s="542">
        <f t="shared" si="4"/>
        <v>0</v>
      </c>
      <c r="I55" s="559">
        <f t="shared" si="1"/>
        <v>0</v>
      </c>
      <c r="J55" s="559">
        <v>19867920</v>
      </c>
      <c r="K55" s="559">
        <v>19867920</v>
      </c>
      <c r="L55" s="648"/>
    </row>
    <row r="56" spans="1:12" ht="37.5" customHeight="1" x14ac:dyDescent="0.3">
      <c r="A56" s="326" t="s">
        <v>393</v>
      </c>
      <c r="B56" s="327" t="s">
        <v>394</v>
      </c>
      <c r="C56" s="326" t="s">
        <v>392</v>
      </c>
      <c r="D56" s="332"/>
      <c r="E56" s="332"/>
      <c r="F56" s="330">
        <v>6906000</v>
      </c>
      <c r="G56" s="542">
        <f t="shared" si="0"/>
        <v>0</v>
      </c>
      <c r="H56" s="542">
        <f t="shared" si="4"/>
        <v>0</v>
      </c>
      <c r="I56" s="559">
        <f t="shared" si="1"/>
        <v>0</v>
      </c>
      <c r="J56" s="559">
        <v>6906000</v>
      </c>
      <c r="K56" s="559">
        <v>6906000</v>
      </c>
      <c r="L56" s="634"/>
    </row>
    <row r="57" spans="1:12" ht="37.5" customHeight="1" x14ac:dyDescent="0.3">
      <c r="A57" s="326" t="s">
        <v>843</v>
      </c>
      <c r="B57" s="327" t="s">
        <v>844</v>
      </c>
      <c r="C57" s="326" t="s">
        <v>392</v>
      </c>
      <c r="D57" s="332"/>
      <c r="E57" s="332"/>
      <c r="F57" s="675">
        <v>0</v>
      </c>
      <c r="G57" s="542">
        <v>0</v>
      </c>
      <c r="H57" s="542">
        <v>2450621</v>
      </c>
      <c r="I57" s="559">
        <f t="shared" si="1"/>
        <v>-1239667</v>
      </c>
      <c r="J57" s="559">
        <v>1210954</v>
      </c>
      <c r="K57" s="559">
        <v>1210954</v>
      </c>
      <c r="L57" s="634"/>
    </row>
    <row r="58" spans="1:12" ht="39" customHeight="1" x14ac:dyDescent="0.3">
      <c r="A58" s="326" t="s">
        <v>395</v>
      </c>
      <c r="B58" s="327" t="s">
        <v>396</v>
      </c>
      <c r="C58" s="326" t="s">
        <v>392</v>
      </c>
      <c r="D58" s="332"/>
      <c r="E58" s="332"/>
      <c r="F58" s="675">
        <f>SUM(F55:F57)</f>
        <v>26773920</v>
      </c>
      <c r="G58" s="675">
        <f t="shared" ref="G58:H58" si="11">SUM(G55:G57)</f>
        <v>0</v>
      </c>
      <c r="H58" s="675">
        <f t="shared" si="11"/>
        <v>2450621</v>
      </c>
      <c r="I58" s="559">
        <f t="shared" si="1"/>
        <v>-1239667</v>
      </c>
      <c r="J58" s="675">
        <v>27984874</v>
      </c>
      <c r="K58" s="675">
        <v>27984874</v>
      </c>
      <c r="L58" s="634"/>
    </row>
    <row r="59" spans="1:12" s="28" customFormat="1" ht="18" customHeight="1" x14ac:dyDescent="0.3">
      <c r="A59" s="337" t="s">
        <v>397</v>
      </c>
      <c r="B59" s="338" t="s">
        <v>398</v>
      </c>
      <c r="C59" s="337" t="s">
        <v>392</v>
      </c>
      <c r="D59" s="339"/>
      <c r="E59" s="339"/>
      <c r="F59" s="341">
        <f>F58</f>
        <v>26773920</v>
      </c>
      <c r="G59" s="341">
        <f t="shared" ref="G59:J59" si="12">G58</f>
        <v>0</v>
      </c>
      <c r="H59" s="341">
        <f t="shared" si="12"/>
        <v>2450621</v>
      </c>
      <c r="I59" s="341">
        <f t="shared" si="12"/>
        <v>-1239667</v>
      </c>
      <c r="J59" s="341">
        <f t="shared" si="12"/>
        <v>27984874</v>
      </c>
      <c r="K59" s="341">
        <v>27984874</v>
      </c>
      <c r="L59" s="633">
        <f>K59/J59</f>
        <v>1</v>
      </c>
    </row>
    <row r="60" spans="1:12" s="28" customFormat="1" ht="18" customHeight="1" x14ac:dyDescent="0.3">
      <c r="A60" s="337" t="s">
        <v>810</v>
      </c>
      <c r="B60" s="338" t="s">
        <v>811</v>
      </c>
      <c r="C60" s="337" t="s">
        <v>392</v>
      </c>
      <c r="D60" s="339"/>
      <c r="E60" s="339"/>
      <c r="F60" s="341"/>
      <c r="G60" s="542">
        <v>28245415</v>
      </c>
      <c r="H60" s="542">
        <f t="shared" si="4"/>
        <v>41807577</v>
      </c>
      <c r="I60" s="542">
        <f t="shared" si="4"/>
        <v>0</v>
      </c>
      <c r="J60" s="647">
        <v>70052992</v>
      </c>
      <c r="K60" s="647">
        <v>70052992</v>
      </c>
      <c r="L60" s="633">
        <f>K60/J60</f>
        <v>1</v>
      </c>
    </row>
    <row r="61" spans="1:12" s="28" customFormat="1" ht="21.75" customHeight="1" x14ac:dyDescent="0.3">
      <c r="A61" s="337"/>
      <c r="B61" s="339" t="s">
        <v>399</v>
      </c>
      <c r="C61" s="343"/>
      <c r="D61" s="344"/>
      <c r="E61" s="344"/>
      <c r="F61" s="341">
        <f>F17+F35+F54+F59+F60</f>
        <v>851637350.66666675</v>
      </c>
      <c r="G61" s="341">
        <f t="shared" ref="G61:K61" si="13">G17+G35+G54+G59+G60</f>
        <v>29476675</v>
      </c>
      <c r="H61" s="341">
        <f t="shared" si="13"/>
        <v>70007386</v>
      </c>
      <c r="I61" s="341">
        <f t="shared" si="13"/>
        <v>-27475156.666666709</v>
      </c>
      <c r="J61" s="341">
        <f t="shared" si="13"/>
        <v>922697310</v>
      </c>
      <c r="K61" s="341">
        <f t="shared" si="13"/>
        <v>922697310</v>
      </c>
      <c r="L61" s="632"/>
    </row>
    <row r="65" spans="1:6" ht="18.75" customHeight="1" x14ac:dyDescent="0.3">
      <c r="C65" s="203"/>
      <c r="D65" s="203"/>
      <c r="E65" s="203"/>
      <c r="F65" s="26"/>
    </row>
    <row r="66" spans="1:6" ht="18.75" customHeight="1" x14ac:dyDescent="0.3">
      <c r="C66" s="204"/>
      <c r="D66" s="204"/>
      <c r="E66" s="204"/>
      <c r="F66" s="27"/>
    </row>
    <row r="67" spans="1:6" ht="18.75" customHeight="1" x14ac:dyDescent="0.3">
      <c r="C67" s="203"/>
      <c r="D67" s="203"/>
      <c r="E67" s="203"/>
      <c r="F67" s="26"/>
    </row>
    <row r="68" spans="1:6" ht="18.75" customHeight="1" x14ac:dyDescent="0.3">
      <c r="A68" s="24"/>
      <c r="C68" s="203"/>
      <c r="D68" s="203"/>
      <c r="E68" s="203"/>
      <c r="F68" s="26"/>
    </row>
    <row r="69" spans="1:6" ht="18.75" customHeight="1" x14ac:dyDescent="0.3">
      <c r="A69" s="24"/>
      <c r="C69" s="203"/>
      <c r="D69" s="203"/>
      <c r="E69" s="203"/>
      <c r="F69" s="26"/>
    </row>
    <row r="70" spans="1:6" ht="18.75" customHeight="1" x14ac:dyDescent="0.3">
      <c r="A70" s="24"/>
      <c r="C70" s="205"/>
      <c r="D70" s="205"/>
      <c r="E70" s="205"/>
      <c r="F70" s="27"/>
    </row>
    <row r="71" spans="1:6" x14ac:dyDescent="0.3">
      <c r="A71" s="24"/>
      <c r="D71" s="23"/>
    </row>
  </sheetData>
  <mergeCells count="4">
    <mergeCell ref="A3:A4"/>
    <mergeCell ref="B3:B4"/>
    <mergeCell ref="D3:J3"/>
    <mergeCell ref="A1:L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3" orientation="portrait" r:id="rId1"/>
  <headerFooter>
    <oddHeader>&amp;R&amp;"Times New Roman CE,Félkövér dőlt"&amp;11 3. melléklet a 4/2018.(III.19.)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view="pageLayout" topLeftCell="E1" zoomScaleNormal="100" workbookViewId="0">
      <selection activeCell="D3" sqref="D3:D5"/>
    </sheetView>
  </sheetViews>
  <sheetFormatPr defaultColWidth="9.296875" defaultRowHeight="13" x14ac:dyDescent="0.3"/>
  <cols>
    <col min="1" max="1" width="6.796875" style="148" customWidth="1"/>
    <col min="2" max="2" width="32" style="148" customWidth="1"/>
    <col min="3" max="3" width="10.296875" style="149" customWidth="1"/>
    <col min="4" max="4" width="10.296875" style="148" customWidth="1"/>
    <col min="5" max="5" width="17.19921875" style="148" customWidth="1"/>
    <col min="6" max="6" width="12.796875" style="148" customWidth="1"/>
    <col min="7" max="7" width="14.296875" style="148" customWidth="1"/>
    <col min="8" max="8" width="13.19921875" style="148" customWidth="1"/>
    <col min="9" max="9" width="14.5" style="148" bestFit="1" customWidth="1"/>
    <col min="10" max="11" width="13.19921875" style="148" customWidth="1"/>
    <col min="12" max="12" width="16.5" style="148" customWidth="1"/>
    <col min="13" max="13" width="14.19921875" style="148" customWidth="1"/>
    <col min="14" max="14" width="16.796875" style="148" customWidth="1"/>
    <col min="15" max="16384" width="9.296875" style="148"/>
  </cols>
  <sheetData>
    <row r="1" spans="1:14" ht="37.5" customHeight="1" x14ac:dyDescent="0.3">
      <c r="A1" s="841" t="s">
        <v>666</v>
      </c>
      <c r="B1" s="841"/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</row>
    <row r="2" spans="1:14" ht="15.75" customHeight="1" x14ac:dyDescent="0.3">
      <c r="M2" s="842" t="s">
        <v>1</v>
      </c>
      <c r="N2" s="842"/>
    </row>
    <row r="3" spans="1:14" ht="18" customHeight="1" x14ac:dyDescent="0.3">
      <c r="A3" s="840" t="s">
        <v>404</v>
      </c>
      <c r="B3" s="840" t="s">
        <v>267</v>
      </c>
      <c r="C3" s="840" t="s">
        <v>652</v>
      </c>
      <c r="D3" s="840" t="s">
        <v>653</v>
      </c>
      <c r="E3" s="840" t="s">
        <v>654</v>
      </c>
      <c r="F3" s="840" t="s">
        <v>655</v>
      </c>
      <c r="G3" s="840"/>
      <c r="H3" s="840"/>
      <c r="I3" s="843" t="s">
        <v>656</v>
      </c>
      <c r="J3" s="843"/>
      <c r="K3" s="843"/>
      <c r="L3" s="843"/>
      <c r="M3" s="843"/>
      <c r="N3" s="843"/>
    </row>
    <row r="4" spans="1:14" ht="18" customHeight="1" x14ac:dyDescent="0.3">
      <c r="A4" s="840"/>
      <c r="B4" s="840"/>
      <c r="C4" s="840"/>
      <c r="D4" s="840"/>
      <c r="E4" s="840"/>
      <c r="F4" s="840"/>
      <c r="G4" s="840"/>
      <c r="H4" s="840"/>
      <c r="I4" s="840" t="s">
        <v>657</v>
      </c>
      <c r="J4" s="840"/>
      <c r="K4" s="840"/>
      <c r="L4" s="840"/>
      <c r="M4" s="840" t="s">
        <v>658</v>
      </c>
      <c r="N4" s="840"/>
    </row>
    <row r="5" spans="1:14" ht="18.75" customHeight="1" x14ac:dyDescent="0.3">
      <c r="A5" s="840"/>
      <c r="B5" s="840"/>
      <c r="C5" s="840"/>
      <c r="D5" s="840"/>
      <c r="E5" s="840"/>
      <c r="F5" s="840" t="s">
        <v>659</v>
      </c>
      <c r="G5" s="840" t="s">
        <v>434</v>
      </c>
      <c r="H5" s="840" t="s">
        <v>660</v>
      </c>
      <c r="I5" s="840" t="s">
        <v>661</v>
      </c>
      <c r="J5" s="840"/>
      <c r="K5" s="840" t="s">
        <v>725</v>
      </c>
      <c r="L5" s="840" t="s">
        <v>662</v>
      </c>
      <c r="M5" s="840" t="s">
        <v>661</v>
      </c>
      <c r="N5" s="840" t="s">
        <v>662</v>
      </c>
    </row>
    <row r="6" spans="1:14" ht="58.5" customHeight="1" x14ac:dyDescent="0.3">
      <c r="A6" s="840"/>
      <c r="B6" s="840"/>
      <c r="C6" s="840" t="s">
        <v>663</v>
      </c>
      <c r="D6" s="840"/>
      <c r="E6" s="840"/>
      <c r="F6" s="840"/>
      <c r="G6" s="840"/>
      <c r="H6" s="840"/>
      <c r="I6" s="345" t="s">
        <v>405</v>
      </c>
      <c r="J6" s="345" t="s">
        <v>664</v>
      </c>
      <c r="K6" s="840"/>
      <c r="L6" s="840"/>
      <c r="M6" s="840"/>
      <c r="N6" s="840"/>
    </row>
    <row r="7" spans="1:14" ht="25.5" customHeight="1" x14ac:dyDescent="0.3">
      <c r="A7" s="346" t="s">
        <v>10</v>
      </c>
      <c r="B7" s="347" t="s">
        <v>594</v>
      </c>
      <c r="C7" s="348" t="s">
        <v>723</v>
      </c>
      <c r="D7" s="348" t="s">
        <v>722</v>
      </c>
      <c r="E7" s="349">
        <v>32320000</v>
      </c>
      <c r="F7" s="349"/>
      <c r="G7" s="349">
        <v>32320000</v>
      </c>
      <c r="H7" s="349"/>
      <c r="J7" s="349">
        <v>32320000</v>
      </c>
      <c r="K7" s="349">
        <v>32320000</v>
      </c>
      <c r="L7" s="349"/>
      <c r="M7" s="349"/>
      <c r="N7" s="349"/>
    </row>
    <row r="8" spans="1:14" ht="25.5" customHeight="1" x14ac:dyDescent="0.3">
      <c r="A8" s="346" t="s">
        <v>13</v>
      </c>
      <c r="B8" s="350" t="s">
        <v>650</v>
      </c>
      <c r="C8" s="348" t="s">
        <v>722</v>
      </c>
      <c r="D8" s="348" t="s">
        <v>722</v>
      </c>
      <c r="E8" s="349">
        <v>3000000</v>
      </c>
      <c r="F8" s="349"/>
      <c r="G8" s="349">
        <v>3000000</v>
      </c>
      <c r="H8" s="349"/>
      <c r="I8" s="349">
        <v>3000000</v>
      </c>
      <c r="J8" s="349"/>
      <c r="K8" s="349"/>
      <c r="L8" s="349">
        <v>3000000</v>
      </c>
      <c r="M8" s="349"/>
      <c r="N8" s="349"/>
    </row>
    <row r="9" spans="1:14" ht="25.5" customHeight="1" x14ac:dyDescent="0.3">
      <c r="A9" s="346" t="s">
        <v>16</v>
      </c>
      <c r="B9" s="350" t="s">
        <v>651</v>
      </c>
      <c r="C9" s="348">
        <v>2017</v>
      </c>
      <c r="D9" s="348">
        <v>2017</v>
      </c>
      <c r="E9" s="349">
        <v>10000000</v>
      </c>
      <c r="F9" s="349"/>
      <c r="G9" s="349">
        <v>10000000</v>
      </c>
      <c r="H9" s="349"/>
      <c r="I9" s="349">
        <v>10000000</v>
      </c>
      <c r="J9" s="349"/>
      <c r="K9" s="349"/>
      <c r="L9" s="349">
        <v>10000000</v>
      </c>
      <c r="M9" s="349"/>
      <c r="N9" s="349"/>
    </row>
    <row r="10" spans="1:14" ht="25.5" customHeight="1" x14ac:dyDescent="0.3">
      <c r="A10" s="346" t="s">
        <v>19</v>
      </c>
      <c r="B10" s="350" t="s">
        <v>738</v>
      </c>
      <c r="C10" s="348">
        <v>2017</v>
      </c>
      <c r="D10" s="348">
        <v>2017</v>
      </c>
      <c r="E10" s="349">
        <v>8000000</v>
      </c>
      <c r="F10" s="349"/>
      <c r="G10" s="349">
        <v>8000000</v>
      </c>
      <c r="H10" s="349"/>
      <c r="I10" s="349">
        <v>8000000</v>
      </c>
      <c r="J10" s="349"/>
      <c r="K10" s="349"/>
      <c r="L10" s="349">
        <v>8000000</v>
      </c>
      <c r="M10" s="349"/>
      <c r="N10" s="349"/>
    </row>
    <row r="11" spans="1:14" ht="25.5" customHeight="1" x14ac:dyDescent="0.3">
      <c r="A11" s="346" t="s">
        <v>22</v>
      </c>
      <c r="B11" s="350" t="s">
        <v>739</v>
      </c>
      <c r="C11" s="348">
        <v>2017</v>
      </c>
      <c r="D11" s="348">
        <v>2017</v>
      </c>
      <c r="E11" s="349">
        <v>4000000</v>
      </c>
      <c r="F11" s="349"/>
      <c r="G11" s="349">
        <v>4000000</v>
      </c>
      <c r="H11" s="349"/>
      <c r="I11" s="349">
        <v>4000000</v>
      </c>
      <c r="J11" s="349"/>
      <c r="K11" s="349"/>
      <c r="L11" s="349">
        <v>4000000</v>
      </c>
      <c r="M11" s="349"/>
      <c r="N11" s="349"/>
    </row>
    <row r="12" spans="1:14" ht="38.25" customHeight="1" x14ac:dyDescent="0.3">
      <c r="A12" s="346" t="s">
        <v>25</v>
      </c>
      <c r="B12" s="349" t="s">
        <v>737</v>
      </c>
      <c r="C12" s="348" t="s">
        <v>722</v>
      </c>
      <c r="D12" s="348" t="s">
        <v>736</v>
      </c>
      <c r="E12" s="349">
        <v>1120500</v>
      </c>
      <c r="F12" s="349"/>
      <c r="G12" s="349">
        <v>1120500</v>
      </c>
      <c r="H12" s="349"/>
      <c r="I12" s="349">
        <v>1120500</v>
      </c>
      <c r="J12" s="349">
        <v>1120500</v>
      </c>
      <c r="K12" s="349"/>
      <c r="L12" s="349"/>
      <c r="M12" s="349"/>
      <c r="N12" s="349"/>
    </row>
    <row r="13" spans="1:14" ht="38.25" customHeight="1" x14ac:dyDescent="0.3">
      <c r="A13" s="346" t="s">
        <v>28</v>
      </c>
      <c r="B13" s="349" t="s">
        <v>849</v>
      </c>
      <c r="C13" s="348" t="s">
        <v>722</v>
      </c>
      <c r="D13" s="348" t="s">
        <v>724</v>
      </c>
      <c r="E13" s="349">
        <v>2476500</v>
      </c>
      <c r="F13" s="349"/>
      <c r="G13" s="349">
        <v>2476500</v>
      </c>
      <c r="H13" s="349"/>
      <c r="I13" s="349">
        <v>2476500</v>
      </c>
      <c r="J13" s="349">
        <v>2476500</v>
      </c>
      <c r="K13" s="349"/>
      <c r="L13" s="349"/>
      <c r="M13" s="349"/>
      <c r="N13" s="349"/>
    </row>
    <row r="14" spans="1:14" ht="38.25" customHeight="1" x14ac:dyDescent="0.3">
      <c r="A14" s="346" t="s">
        <v>31</v>
      </c>
      <c r="B14" s="349" t="s">
        <v>851</v>
      </c>
      <c r="C14" s="348" t="s">
        <v>722</v>
      </c>
      <c r="D14" s="348" t="s">
        <v>724</v>
      </c>
      <c r="E14" s="349">
        <v>13445514</v>
      </c>
      <c r="F14" s="349"/>
      <c r="G14" s="349">
        <v>13445514</v>
      </c>
      <c r="H14" s="349"/>
      <c r="I14" s="349">
        <v>13445514</v>
      </c>
      <c r="J14" s="349">
        <v>13445514</v>
      </c>
      <c r="K14" s="349"/>
      <c r="L14" s="349"/>
      <c r="M14" s="349"/>
      <c r="N14" s="349"/>
    </row>
    <row r="15" spans="1:14" ht="38.25" customHeight="1" x14ac:dyDescent="0.3">
      <c r="A15" s="346" t="s">
        <v>34</v>
      </c>
      <c r="B15" s="349" t="s">
        <v>852</v>
      </c>
      <c r="C15" s="348" t="s">
        <v>722</v>
      </c>
      <c r="D15" s="348"/>
      <c r="E15" s="349">
        <v>2581770675</v>
      </c>
      <c r="F15" s="349"/>
      <c r="G15" s="349">
        <v>2581770675</v>
      </c>
      <c r="H15" s="349"/>
      <c r="I15" s="349">
        <v>2581770675</v>
      </c>
      <c r="J15" s="349">
        <v>610102278</v>
      </c>
      <c r="K15" s="349"/>
      <c r="L15" s="349"/>
      <c r="M15" s="349"/>
      <c r="N15" s="349"/>
    </row>
    <row r="16" spans="1:14" ht="25.5" customHeight="1" x14ac:dyDescent="0.3">
      <c r="A16" s="208" t="s">
        <v>37</v>
      </c>
      <c r="B16" s="351" t="s">
        <v>665</v>
      </c>
      <c r="C16" s="352"/>
      <c r="D16" s="353"/>
      <c r="E16" s="351">
        <f>SUM(E7:E15)</f>
        <v>2656133189</v>
      </c>
      <c r="F16" s="351">
        <f>SUM(F7:F12)</f>
        <v>0</v>
      </c>
      <c r="G16" s="351">
        <f>SUM(G7:G15)</f>
        <v>2656133189</v>
      </c>
      <c r="H16" s="351">
        <f>SUM(H7:H12)</f>
        <v>0</v>
      </c>
      <c r="I16" s="351">
        <f>SUM(I7:I15)</f>
        <v>2623813189</v>
      </c>
      <c r="J16" s="351">
        <f>SUM(J7:J12)</f>
        <v>33440500</v>
      </c>
      <c r="K16" s="351">
        <f>SUM(K7:K12)</f>
        <v>32320000</v>
      </c>
      <c r="L16" s="351">
        <f>SUM(L7:L12)</f>
        <v>25000000</v>
      </c>
      <c r="M16" s="351">
        <f>SUM(M7:M12)</f>
        <v>0</v>
      </c>
      <c r="N16" s="351">
        <f>SUM(N7:N12)</f>
        <v>0</v>
      </c>
    </row>
    <row r="17" spans="1:14" ht="25.5" customHeight="1" x14ac:dyDescent="0.3">
      <c r="A17" s="346" t="s">
        <v>39</v>
      </c>
      <c r="B17" s="350" t="s">
        <v>735</v>
      </c>
      <c r="C17" s="348">
        <v>2017</v>
      </c>
      <c r="D17" s="348" t="s">
        <v>724</v>
      </c>
      <c r="E17" s="349">
        <v>50000000</v>
      </c>
      <c r="F17" s="349"/>
      <c r="G17" s="349">
        <v>50000000</v>
      </c>
      <c r="H17" s="349"/>
      <c r="I17" s="349">
        <v>50000000</v>
      </c>
      <c r="J17" s="349">
        <v>50000000</v>
      </c>
      <c r="K17" s="349"/>
      <c r="L17" s="349"/>
      <c r="M17" s="349"/>
      <c r="N17" s="349"/>
    </row>
    <row r="18" spans="1:14" ht="25.5" customHeight="1" x14ac:dyDescent="0.3">
      <c r="A18" s="346" t="s">
        <v>41</v>
      </c>
      <c r="B18" s="350" t="s">
        <v>595</v>
      </c>
      <c r="C18" s="348" t="s">
        <v>722</v>
      </c>
      <c r="D18" s="348" t="s">
        <v>724</v>
      </c>
      <c r="E18" s="349">
        <v>25500000</v>
      </c>
      <c r="F18" s="349"/>
      <c r="G18" s="349">
        <v>25500000</v>
      </c>
      <c r="H18" s="349"/>
      <c r="I18" s="349">
        <v>25500000</v>
      </c>
      <c r="J18" s="349"/>
      <c r="K18" s="349">
        <v>25500000</v>
      </c>
      <c r="L18" s="349"/>
      <c r="M18" s="349"/>
      <c r="N18" s="349"/>
    </row>
    <row r="19" spans="1:14" ht="25.5" customHeight="1" x14ac:dyDescent="0.3">
      <c r="A19" s="346" t="s">
        <v>43</v>
      </c>
      <c r="B19" s="350" t="s">
        <v>596</v>
      </c>
      <c r="C19" s="348" t="s">
        <v>723</v>
      </c>
      <c r="D19" s="348" t="s">
        <v>722</v>
      </c>
      <c r="E19" s="349">
        <v>16951029</v>
      </c>
      <c r="F19" s="349"/>
      <c r="G19" s="349">
        <v>16951029</v>
      </c>
      <c r="H19" s="349"/>
      <c r="I19" s="349">
        <v>16951029</v>
      </c>
      <c r="J19" s="349"/>
      <c r="K19" s="349">
        <v>16951029</v>
      </c>
      <c r="L19" s="349"/>
      <c r="M19" s="349"/>
      <c r="N19" s="349"/>
    </row>
    <row r="20" spans="1:14" ht="25.5" customHeight="1" x14ac:dyDescent="0.3">
      <c r="A20" s="346" t="s">
        <v>45</v>
      </c>
      <c r="B20" s="350" t="s">
        <v>596</v>
      </c>
      <c r="C20" s="348" t="s">
        <v>722</v>
      </c>
      <c r="D20" s="348" t="s">
        <v>724</v>
      </c>
      <c r="E20" s="349">
        <v>5578475</v>
      </c>
      <c r="F20" s="349"/>
      <c r="G20" s="349">
        <v>5578475</v>
      </c>
      <c r="H20" s="349"/>
      <c r="I20" s="349">
        <v>5578475</v>
      </c>
      <c r="J20" s="349"/>
      <c r="K20" s="349">
        <v>5578475</v>
      </c>
      <c r="L20" s="349"/>
      <c r="M20" s="349"/>
      <c r="N20" s="349"/>
    </row>
    <row r="21" spans="1:14" ht="25.5" customHeight="1" x14ac:dyDescent="0.3">
      <c r="A21" s="346" t="s">
        <v>47</v>
      </c>
      <c r="B21" s="350" t="s">
        <v>648</v>
      </c>
      <c r="C21" s="348" t="s">
        <v>722</v>
      </c>
      <c r="D21" s="348" t="s">
        <v>722</v>
      </c>
      <c r="E21" s="349">
        <v>1800000</v>
      </c>
      <c r="F21" s="349"/>
      <c r="G21" s="349">
        <v>1800000</v>
      </c>
      <c r="H21" s="349"/>
      <c r="I21" s="349">
        <v>1800000</v>
      </c>
      <c r="J21" s="349"/>
      <c r="K21" s="349"/>
      <c r="L21" s="349">
        <v>1800000</v>
      </c>
      <c r="M21" s="349"/>
      <c r="N21" s="349"/>
    </row>
    <row r="22" spans="1:14" ht="25.5" customHeight="1" x14ac:dyDescent="0.3">
      <c r="A22" s="346" t="s">
        <v>49</v>
      </c>
      <c r="B22" s="350" t="s">
        <v>740</v>
      </c>
      <c r="C22" s="348" t="s">
        <v>722</v>
      </c>
      <c r="D22" s="348" t="s">
        <v>722</v>
      </c>
      <c r="E22" s="349">
        <v>29559542</v>
      </c>
      <c r="F22" s="351"/>
      <c r="G22" s="349">
        <v>29559542</v>
      </c>
      <c r="H22" s="351"/>
      <c r="I22" s="351">
        <v>29559542</v>
      </c>
      <c r="J22" s="351"/>
      <c r="K22" s="351"/>
      <c r="L22" s="349">
        <v>29559542</v>
      </c>
      <c r="M22" s="351"/>
      <c r="N22" s="351"/>
    </row>
    <row r="23" spans="1:14" ht="25.5" customHeight="1" x14ac:dyDescent="0.3">
      <c r="A23" s="346" t="s">
        <v>51</v>
      </c>
      <c r="B23" s="350" t="s">
        <v>854</v>
      </c>
      <c r="C23" s="348" t="s">
        <v>722</v>
      </c>
      <c r="D23" s="348" t="s">
        <v>722</v>
      </c>
      <c r="E23" s="349">
        <v>6460000</v>
      </c>
      <c r="F23" s="351"/>
      <c r="G23" s="349">
        <v>6460000</v>
      </c>
      <c r="H23" s="351"/>
      <c r="I23" s="349">
        <v>6460000</v>
      </c>
      <c r="J23" s="351"/>
      <c r="K23" s="351"/>
      <c r="L23" s="349"/>
      <c r="M23" s="351"/>
      <c r="N23" s="351"/>
    </row>
    <row r="24" spans="1:14" ht="25.5" customHeight="1" x14ac:dyDescent="0.3">
      <c r="A24" s="346" t="s">
        <v>54</v>
      </c>
      <c r="B24" s="350" t="s">
        <v>855</v>
      </c>
      <c r="C24" s="348" t="s">
        <v>722</v>
      </c>
      <c r="D24" s="348" t="s">
        <v>722</v>
      </c>
      <c r="E24" s="349">
        <v>8307637</v>
      </c>
      <c r="F24" s="351"/>
      <c r="G24" s="349">
        <v>8307637</v>
      </c>
      <c r="H24" s="351"/>
      <c r="I24" s="349">
        <v>8307637</v>
      </c>
      <c r="J24" s="351"/>
      <c r="K24" s="351"/>
      <c r="L24" s="349"/>
      <c r="M24" s="351"/>
      <c r="N24" s="351"/>
    </row>
    <row r="25" spans="1:14" ht="25.5" customHeight="1" x14ac:dyDescent="0.3">
      <c r="A25" s="346" t="s">
        <v>57</v>
      </c>
      <c r="B25" s="350" t="s">
        <v>853</v>
      </c>
      <c r="C25" s="348" t="s">
        <v>722</v>
      </c>
      <c r="D25" s="348" t="s">
        <v>722</v>
      </c>
      <c r="E25" s="349">
        <v>13856025</v>
      </c>
      <c r="F25" s="351"/>
      <c r="G25" s="349">
        <v>13856025</v>
      </c>
      <c r="H25" s="351"/>
      <c r="I25" s="349">
        <v>13856025</v>
      </c>
      <c r="J25" s="351"/>
      <c r="K25" s="351"/>
      <c r="L25" s="349"/>
      <c r="M25" s="351"/>
      <c r="N25" s="351"/>
    </row>
    <row r="26" spans="1:14" ht="25.5" customHeight="1" x14ac:dyDescent="0.3">
      <c r="A26" s="208" t="s">
        <v>60</v>
      </c>
      <c r="B26" s="351" t="s">
        <v>850</v>
      </c>
      <c r="C26" s="352"/>
      <c r="D26" s="353"/>
      <c r="E26" s="351">
        <f>SUM(E17:E25)</f>
        <v>158012708</v>
      </c>
      <c r="F26" s="351">
        <f t="shared" ref="F26:N26" si="0">SUM(F17:F22)</f>
        <v>0</v>
      </c>
      <c r="G26" s="351">
        <f t="shared" si="0"/>
        <v>129389046</v>
      </c>
      <c r="H26" s="351">
        <f t="shared" si="0"/>
        <v>0</v>
      </c>
      <c r="I26" s="351">
        <f t="shared" si="0"/>
        <v>129389046</v>
      </c>
      <c r="J26" s="351">
        <f t="shared" si="0"/>
        <v>50000000</v>
      </c>
      <c r="K26" s="351">
        <f t="shared" si="0"/>
        <v>48029504</v>
      </c>
      <c r="L26" s="351">
        <f t="shared" si="0"/>
        <v>31359542</v>
      </c>
      <c r="M26" s="351">
        <f t="shared" si="0"/>
        <v>0</v>
      </c>
      <c r="N26" s="351">
        <f t="shared" si="0"/>
        <v>0</v>
      </c>
    </row>
    <row r="27" spans="1:14" ht="25.5" customHeight="1" x14ac:dyDescent="0.3">
      <c r="A27" s="208" t="s">
        <v>62</v>
      </c>
      <c r="B27" s="351" t="s">
        <v>399</v>
      </c>
      <c r="C27" s="352"/>
      <c r="D27" s="353"/>
      <c r="E27" s="351">
        <f>SUM(E16+E26)</f>
        <v>2814145897</v>
      </c>
      <c r="F27" s="351">
        <f t="shared" ref="F27:N27" si="1">SUM(F16+F26)</f>
        <v>0</v>
      </c>
      <c r="G27" s="351">
        <f t="shared" si="1"/>
        <v>2785522235</v>
      </c>
      <c r="H27" s="351">
        <f t="shared" si="1"/>
        <v>0</v>
      </c>
      <c r="I27" s="351">
        <f t="shared" si="1"/>
        <v>2753202235</v>
      </c>
      <c r="J27" s="351">
        <f t="shared" si="1"/>
        <v>83440500</v>
      </c>
      <c r="K27" s="351">
        <f t="shared" si="1"/>
        <v>80349504</v>
      </c>
      <c r="L27" s="351">
        <f t="shared" si="1"/>
        <v>56359542</v>
      </c>
      <c r="M27" s="351">
        <f t="shared" si="1"/>
        <v>0</v>
      </c>
      <c r="N27" s="351">
        <f t="shared" si="1"/>
        <v>0</v>
      </c>
    </row>
    <row r="28" spans="1:14" ht="17.25" customHeight="1" x14ac:dyDescent="0.3">
      <c r="A28" s="149"/>
    </row>
    <row r="29" spans="1:14" ht="17.25" customHeight="1" x14ac:dyDescent="0.3">
      <c r="A29" s="149"/>
    </row>
  </sheetData>
  <mergeCells count="20">
    <mergeCell ref="N5:N6"/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C6:D6"/>
    <mergeCell ref="I4:L4"/>
    <mergeCell ref="M4:N4"/>
    <mergeCell ref="F5:F6"/>
    <mergeCell ref="G5:G6"/>
    <mergeCell ref="H5:H6"/>
    <mergeCell ref="I5:J5"/>
    <mergeCell ref="K5:K6"/>
    <mergeCell ref="L5:L6"/>
    <mergeCell ref="M5:M6"/>
  </mergeCells>
  <printOptions horizontalCentered="1"/>
  <pageMargins left="0.59055118110236227" right="0.59055118110236227" top="1.1811023622047245" bottom="0.98425196850393704" header="0.78740157480314965" footer="0.78740157480314965"/>
  <pageSetup paperSize="9" scale="54" orientation="landscape" horizontalDpi="300" verticalDpi="300" r:id="rId1"/>
  <headerFooter alignWithMargins="0">
    <oddHeader>&amp;C4. sz. melléklet a 4/2018.(III.19.) önkormányzati rendelethez&amp;R&amp;"Times New Roman CE,Félkövér dőlt"&amp;11 4. melléklet a ....../2018. (......)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view="pageLayout" topLeftCell="C1" zoomScaleNormal="100" workbookViewId="0">
      <selection activeCell="G4" sqref="G4"/>
    </sheetView>
  </sheetViews>
  <sheetFormatPr defaultColWidth="9.296875" defaultRowHeight="14" x14ac:dyDescent="0.3"/>
  <cols>
    <col min="1" max="1" width="8.5" style="30" customWidth="1"/>
    <col min="2" max="2" width="9.296875" style="30"/>
    <col min="3" max="3" width="22.19921875" style="30" customWidth="1"/>
    <col min="4" max="4" width="44.796875" style="30" customWidth="1"/>
    <col min="5" max="5" width="26" style="32" customWidth="1"/>
    <col min="6" max="8" width="19.5" style="32" customWidth="1"/>
    <col min="9" max="9" width="19.5" style="178" bestFit="1" customWidth="1"/>
    <col min="10" max="16384" width="9.296875" style="30"/>
  </cols>
  <sheetData>
    <row r="1" spans="1:9" ht="41.25" customHeight="1" x14ac:dyDescent="0.3">
      <c r="A1" s="844" t="s">
        <v>794</v>
      </c>
      <c r="B1" s="844"/>
      <c r="C1" s="844"/>
      <c r="D1" s="844"/>
      <c r="E1" s="844"/>
      <c r="F1" s="844"/>
      <c r="G1" s="844"/>
      <c r="H1" s="844"/>
      <c r="I1" s="844"/>
    </row>
    <row r="2" spans="1:9" x14ac:dyDescent="0.3">
      <c r="A2" s="31"/>
      <c r="B2" s="31"/>
      <c r="C2" s="31"/>
      <c r="D2" s="31"/>
    </row>
    <row r="3" spans="1:9" x14ac:dyDescent="0.3">
      <c r="A3" s="31"/>
      <c r="B3" s="31"/>
      <c r="C3" s="31"/>
      <c r="D3" s="31"/>
      <c r="I3" s="531" t="s">
        <v>801</v>
      </c>
    </row>
    <row r="4" spans="1:9" s="414" customFormat="1" ht="33" customHeight="1" x14ac:dyDescent="0.3">
      <c r="A4" s="354" t="s">
        <v>404</v>
      </c>
      <c r="B4" s="846" t="s">
        <v>408</v>
      </c>
      <c r="C4" s="846"/>
      <c r="D4" s="846"/>
      <c r="E4" s="355" t="s">
        <v>409</v>
      </c>
      <c r="F4" s="355" t="s">
        <v>824</v>
      </c>
      <c r="G4" s="355" t="s">
        <v>825</v>
      </c>
      <c r="H4" s="355" t="s">
        <v>856</v>
      </c>
      <c r="I4" s="415" t="s">
        <v>798</v>
      </c>
    </row>
    <row r="5" spans="1:9" ht="21.75" customHeight="1" x14ac:dyDescent="0.3">
      <c r="A5" s="356" t="s">
        <v>10</v>
      </c>
      <c r="B5" s="845" t="s">
        <v>410</v>
      </c>
      <c r="C5" s="845"/>
      <c r="D5" s="845"/>
      <c r="E5" s="357">
        <v>10000000</v>
      </c>
      <c r="F5" s="357">
        <v>0</v>
      </c>
      <c r="G5" s="357">
        <v>2120631</v>
      </c>
      <c r="H5" s="357">
        <f>I5-E5-F5-G5</f>
        <v>0</v>
      </c>
      <c r="I5" s="416">
        <f>E5+G5</f>
        <v>12120631</v>
      </c>
    </row>
    <row r="6" spans="1:9" ht="21.75" customHeight="1" x14ac:dyDescent="0.3">
      <c r="A6" s="356" t="s">
        <v>13</v>
      </c>
      <c r="B6" s="845" t="s">
        <v>411</v>
      </c>
      <c r="C6" s="845"/>
      <c r="D6" s="845"/>
      <c r="E6" s="357">
        <v>1500000</v>
      </c>
      <c r="F6" s="357">
        <f t="shared" ref="F6:F19" si="0">I6-E6</f>
        <v>0</v>
      </c>
      <c r="G6" s="357">
        <f t="shared" ref="G6:G25" si="1">I6-E6-F6</f>
        <v>0</v>
      </c>
      <c r="H6" s="357">
        <f t="shared" ref="H6:H25" si="2">I6-E6-F6-G6</f>
        <v>0</v>
      </c>
      <c r="I6" s="416">
        <v>1500000</v>
      </c>
    </row>
    <row r="7" spans="1:9" ht="21.75" customHeight="1" x14ac:dyDescent="0.3">
      <c r="A7" s="356" t="s">
        <v>16</v>
      </c>
      <c r="B7" s="845" t="s">
        <v>412</v>
      </c>
      <c r="C7" s="845"/>
      <c r="D7" s="845"/>
      <c r="E7" s="357">
        <v>900000</v>
      </c>
      <c r="F7" s="357">
        <f t="shared" si="0"/>
        <v>0</v>
      </c>
      <c r="G7" s="357">
        <f t="shared" si="1"/>
        <v>0</v>
      </c>
      <c r="H7" s="357">
        <f t="shared" si="2"/>
        <v>0</v>
      </c>
      <c r="I7" s="416">
        <v>900000</v>
      </c>
    </row>
    <row r="8" spans="1:9" ht="21.75" customHeight="1" x14ac:dyDescent="0.3">
      <c r="A8" s="356" t="s">
        <v>19</v>
      </c>
      <c r="B8" s="845" t="s">
        <v>413</v>
      </c>
      <c r="C8" s="845"/>
      <c r="D8" s="845"/>
      <c r="E8" s="357">
        <v>3000000</v>
      </c>
      <c r="F8" s="357">
        <f t="shared" si="0"/>
        <v>0</v>
      </c>
      <c r="G8" s="357">
        <f t="shared" si="1"/>
        <v>0</v>
      </c>
      <c r="H8" s="357">
        <f t="shared" si="2"/>
        <v>0</v>
      </c>
      <c r="I8" s="416">
        <v>3000000</v>
      </c>
    </row>
    <row r="9" spans="1:9" ht="21.75" customHeight="1" x14ac:dyDescent="0.3">
      <c r="A9" s="356" t="s">
        <v>22</v>
      </c>
      <c r="B9" s="847" t="s">
        <v>414</v>
      </c>
      <c r="C9" s="847"/>
      <c r="D9" s="847"/>
      <c r="E9" s="358">
        <v>500000</v>
      </c>
      <c r="F9" s="357">
        <f t="shared" si="0"/>
        <v>0</v>
      </c>
      <c r="G9" s="357">
        <f t="shared" si="1"/>
        <v>0</v>
      </c>
      <c r="H9" s="357">
        <f t="shared" si="2"/>
        <v>0</v>
      </c>
      <c r="I9" s="416">
        <v>500000</v>
      </c>
    </row>
    <row r="10" spans="1:9" ht="29.25" customHeight="1" x14ac:dyDescent="0.3">
      <c r="A10" s="356" t="s">
        <v>25</v>
      </c>
      <c r="B10" s="847" t="s">
        <v>415</v>
      </c>
      <c r="C10" s="847"/>
      <c r="D10" s="847"/>
      <c r="E10" s="358">
        <v>600000</v>
      </c>
      <c r="F10" s="357">
        <f t="shared" si="0"/>
        <v>0</v>
      </c>
      <c r="G10" s="357">
        <f t="shared" si="1"/>
        <v>0</v>
      </c>
      <c r="H10" s="357">
        <f t="shared" si="2"/>
        <v>0</v>
      </c>
      <c r="I10" s="416">
        <v>600000</v>
      </c>
    </row>
    <row r="11" spans="1:9" ht="21.75" customHeight="1" x14ac:dyDescent="0.3">
      <c r="A11" s="356" t="s">
        <v>28</v>
      </c>
      <c r="B11" s="847" t="s">
        <v>416</v>
      </c>
      <c r="C11" s="847"/>
      <c r="D11" s="847"/>
      <c r="E11" s="358">
        <v>300000</v>
      </c>
      <c r="F11" s="357">
        <f t="shared" si="0"/>
        <v>0</v>
      </c>
      <c r="G11" s="357">
        <f t="shared" si="1"/>
        <v>0</v>
      </c>
      <c r="H11" s="357">
        <f t="shared" si="2"/>
        <v>0</v>
      </c>
      <c r="I11" s="416">
        <v>300000</v>
      </c>
    </row>
    <row r="12" spans="1:9" ht="21.75" customHeight="1" x14ac:dyDescent="0.3">
      <c r="A12" s="356" t="s">
        <v>31</v>
      </c>
      <c r="B12" s="845" t="s">
        <v>649</v>
      </c>
      <c r="C12" s="845"/>
      <c r="D12" s="845"/>
      <c r="E12" s="357">
        <v>50000</v>
      </c>
      <c r="F12" s="357">
        <f t="shared" si="0"/>
        <v>0</v>
      </c>
      <c r="G12" s="357">
        <f t="shared" si="1"/>
        <v>0</v>
      </c>
      <c r="H12" s="357">
        <f t="shared" si="2"/>
        <v>0</v>
      </c>
      <c r="I12" s="416">
        <v>50000</v>
      </c>
    </row>
    <row r="13" spans="1:9" ht="21.75" customHeight="1" x14ac:dyDescent="0.3">
      <c r="A13" s="356" t="s">
        <v>34</v>
      </c>
      <c r="B13" s="845" t="s">
        <v>417</v>
      </c>
      <c r="C13" s="845"/>
      <c r="D13" s="845"/>
      <c r="E13" s="357">
        <v>5000000</v>
      </c>
      <c r="F13" s="357">
        <v>25000000</v>
      </c>
      <c r="G13" s="357">
        <f t="shared" si="1"/>
        <v>0</v>
      </c>
      <c r="H13" s="357">
        <f t="shared" si="2"/>
        <v>0</v>
      </c>
      <c r="I13" s="416">
        <v>30000000</v>
      </c>
    </row>
    <row r="14" spans="1:9" ht="21.75" customHeight="1" x14ac:dyDescent="0.3">
      <c r="A14" s="356" t="s">
        <v>37</v>
      </c>
      <c r="B14" s="845" t="s">
        <v>418</v>
      </c>
      <c r="C14" s="845"/>
      <c r="D14" s="845"/>
      <c r="E14" s="357">
        <v>1300000</v>
      </c>
      <c r="F14" s="357">
        <f t="shared" si="0"/>
        <v>0</v>
      </c>
      <c r="G14" s="357">
        <f t="shared" si="1"/>
        <v>0</v>
      </c>
      <c r="H14" s="357">
        <f t="shared" si="2"/>
        <v>0</v>
      </c>
      <c r="I14" s="416">
        <v>1300000</v>
      </c>
    </row>
    <row r="15" spans="1:9" ht="30" customHeight="1" x14ac:dyDescent="0.3">
      <c r="A15" s="356" t="s">
        <v>39</v>
      </c>
      <c r="B15" s="845" t="s">
        <v>642</v>
      </c>
      <c r="C15" s="845"/>
      <c r="D15" s="845"/>
      <c r="E15" s="359">
        <v>231022279</v>
      </c>
      <c r="F15" s="357">
        <v>0</v>
      </c>
      <c r="G15" s="357">
        <v>3542729</v>
      </c>
      <c r="H15" s="357">
        <f t="shared" si="2"/>
        <v>0</v>
      </c>
      <c r="I15" s="416">
        <f>E15+G15</f>
        <v>234565008</v>
      </c>
    </row>
    <row r="16" spans="1:9" ht="30" customHeight="1" x14ac:dyDescent="0.3">
      <c r="A16" s="356" t="s">
        <v>41</v>
      </c>
      <c r="B16" s="845" t="s">
        <v>643</v>
      </c>
      <c r="C16" s="845"/>
      <c r="D16" s="845"/>
      <c r="E16" s="359">
        <v>132069000</v>
      </c>
      <c r="F16" s="357">
        <v>700000</v>
      </c>
      <c r="G16" s="357"/>
      <c r="H16" s="357">
        <f>I16-E16-F16-G16</f>
        <v>-1400000</v>
      </c>
      <c r="I16" s="416">
        <v>131369000</v>
      </c>
    </row>
    <row r="17" spans="1:10" ht="21.75" customHeight="1" x14ac:dyDescent="0.3">
      <c r="A17" s="356" t="s">
        <v>43</v>
      </c>
      <c r="B17" s="845" t="s">
        <v>644</v>
      </c>
      <c r="C17" s="845"/>
      <c r="D17" s="845"/>
      <c r="E17" s="359">
        <v>11944525</v>
      </c>
      <c r="F17" s="357">
        <f t="shared" si="0"/>
        <v>0</v>
      </c>
      <c r="G17" s="357">
        <f t="shared" si="1"/>
        <v>0</v>
      </c>
      <c r="H17" s="357">
        <f t="shared" si="2"/>
        <v>0</v>
      </c>
      <c r="I17" s="416">
        <v>11944525</v>
      </c>
    </row>
    <row r="18" spans="1:10" ht="21.75" customHeight="1" x14ac:dyDescent="0.3">
      <c r="A18" s="356" t="s">
        <v>45</v>
      </c>
      <c r="B18" s="852" t="s">
        <v>645</v>
      </c>
      <c r="C18" s="852"/>
      <c r="D18" s="852"/>
      <c r="E18" s="359">
        <v>26162980</v>
      </c>
      <c r="F18" s="357">
        <f t="shared" si="0"/>
        <v>0</v>
      </c>
      <c r="G18" s="357">
        <f t="shared" si="1"/>
        <v>0</v>
      </c>
      <c r="H18" s="357">
        <f t="shared" si="2"/>
        <v>0</v>
      </c>
      <c r="I18" s="416">
        <v>26162980</v>
      </c>
    </row>
    <row r="19" spans="1:10" ht="21.75" customHeight="1" x14ac:dyDescent="0.3">
      <c r="A19" s="356" t="s">
        <v>47</v>
      </c>
      <c r="B19" s="852" t="s">
        <v>646</v>
      </c>
      <c r="C19" s="852"/>
      <c r="D19" s="852"/>
      <c r="E19" s="359">
        <v>8348400</v>
      </c>
      <c r="F19" s="357">
        <f t="shared" si="0"/>
        <v>681314</v>
      </c>
      <c r="G19" s="357">
        <f t="shared" si="1"/>
        <v>0</v>
      </c>
      <c r="H19" s="357">
        <v>681314</v>
      </c>
      <c r="I19" s="416">
        <f>8348400+681314</f>
        <v>9029714</v>
      </c>
    </row>
    <row r="20" spans="1:10" ht="21.75" customHeight="1" x14ac:dyDescent="0.3">
      <c r="A20" s="356" t="s">
        <v>49</v>
      </c>
      <c r="B20" s="852" t="s">
        <v>845</v>
      </c>
      <c r="C20" s="852"/>
      <c r="D20" s="852"/>
      <c r="E20" s="359"/>
      <c r="F20" s="357"/>
      <c r="G20" s="357">
        <v>200000</v>
      </c>
      <c r="H20" s="357"/>
      <c r="I20" s="416">
        <v>200000</v>
      </c>
    </row>
    <row r="21" spans="1:10" ht="21.75" customHeight="1" x14ac:dyDescent="0.3">
      <c r="A21" s="356" t="s">
        <v>51</v>
      </c>
      <c r="B21" s="852" t="s">
        <v>846</v>
      </c>
      <c r="C21" s="852"/>
      <c r="D21" s="852"/>
      <c r="E21" s="359"/>
      <c r="F21" s="357"/>
      <c r="G21" s="357">
        <v>6536420</v>
      </c>
      <c r="H21" s="357">
        <f t="shared" si="2"/>
        <v>0</v>
      </c>
      <c r="I21" s="416">
        <v>6536420</v>
      </c>
    </row>
    <row r="22" spans="1:10" s="414" customFormat="1" ht="21.75" customHeight="1" x14ac:dyDescent="0.3">
      <c r="A22" s="179" t="s">
        <v>54</v>
      </c>
      <c r="B22" s="850" t="s">
        <v>224</v>
      </c>
      <c r="C22" s="850"/>
      <c r="D22" s="850"/>
      <c r="E22" s="360">
        <f>SUM(E5+E6+E7+E8+E12+E13+E14+E15+E16+E17+E18+E19)</f>
        <v>431297184</v>
      </c>
      <c r="F22" s="360">
        <f>SUM(F5+F6+F7+F8+F12+F13+F14+F15+F16+F17+F18+F19)</f>
        <v>26381314</v>
      </c>
      <c r="G22" s="360">
        <f>SUM(G5+G6+G7+G8+G12+G13+G14+G15+G16+G17+G18+G19)+G20+G21</f>
        <v>12399780</v>
      </c>
      <c r="H22" s="360">
        <f>SUM(H5+H6+H7+H8+H12+H13+H14+H15+H16+H17+H18+H19)+H20+H21</f>
        <v>-718686</v>
      </c>
      <c r="I22" s="360">
        <f>SUM(I5+I6+I7+I8+I12+I13+I14+I15+I16+I17+I18+I19)+I20+I21</f>
        <v>468678278</v>
      </c>
      <c r="J22" s="644" t="s">
        <v>801</v>
      </c>
    </row>
    <row r="23" spans="1:10" ht="21.75" customHeight="1" x14ac:dyDescent="0.3">
      <c r="A23" s="356" t="s">
        <v>57</v>
      </c>
      <c r="B23" s="852" t="s">
        <v>419</v>
      </c>
      <c r="C23" s="852"/>
      <c r="D23" s="852"/>
      <c r="E23" s="359">
        <v>5000000</v>
      </c>
      <c r="F23" s="357">
        <v>1075000</v>
      </c>
      <c r="G23" s="357">
        <v>1340000</v>
      </c>
      <c r="H23" s="357">
        <f t="shared" si="2"/>
        <v>124000</v>
      </c>
      <c r="I23" s="416">
        <v>7539000</v>
      </c>
    </row>
    <row r="24" spans="1:10" ht="21.75" customHeight="1" x14ac:dyDescent="0.3">
      <c r="A24" s="356" t="s">
        <v>60</v>
      </c>
      <c r="B24" s="853" t="s">
        <v>847</v>
      </c>
      <c r="C24" s="854"/>
      <c r="D24" s="855"/>
      <c r="E24" s="359"/>
      <c r="F24" s="357"/>
      <c r="G24" s="357">
        <f t="shared" si="1"/>
        <v>8000000</v>
      </c>
      <c r="H24" s="357">
        <f t="shared" si="2"/>
        <v>0</v>
      </c>
      <c r="I24" s="416">
        <v>8000000</v>
      </c>
    </row>
    <row r="25" spans="1:10" ht="21.75" customHeight="1" x14ac:dyDescent="0.3">
      <c r="A25" s="356" t="s">
        <v>62</v>
      </c>
      <c r="B25" s="853" t="s">
        <v>848</v>
      </c>
      <c r="C25" s="854"/>
      <c r="D25" s="855"/>
      <c r="E25" s="359"/>
      <c r="F25" s="357"/>
      <c r="G25" s="357">
        <f t="shared" si="1"/>
        <v>7191648</v>
      </c>
      <c r="H25" s="357">
        <f t="shared" si="2"/>
        <v>0</v>
      </c>
      <c r="I25" s="416">
        <v>7191648</v>
      </c>
    </row>
    <row r="26" spans="1:10" s="414" customFormat="1" ht="21.75" customHeight="1" x14ac:dyDescent="0.3">
      <c r="A26" s="179" t="s">
        <v>64</v>
      </c>
      <c r="B26" s="851" t="s">
        <v>838</v>
      </c>
      <c r="C26" s="851"/>
      <c r="D26" s="851"/>
      <c r="E26" s="360">
        <f>SUM(E23)</f>
        <v>5000000</v>
      </c>
      <c r="F26" s="643">
        <f>SUM(F23:F25)</f>
        <v>1075000</v>
      </c>
      <c r="G26" s="643">
        <f t="shared" ref="G26:I26" si="3">SUM(G23:G25)</f>
        <v>16531648</v>
      </c>
      <c r="H26" s="643">
        <f t="shared" si="3"/>
        <v>124000</v>
      </c>
      <c r="I26" s="649">
        <f t="shared" si="3"/>
        <v>22730648</v>
      </c>
    </row>
    <row r="27" spans="1:10" s="645" customFormat="1" ht="24" customHeight="1" x14ac:dyDescent="0.35">
      <c r="A27" s="848" t="s">
        <v>613</v>
      </c>
      <c r="B27" s="848"/>
      <c r="C27" s="848"/>
      <c r="D27" s="848"/>
      <c r="E27" s="360">
        <f>SUM(E22+E26)</f>
        <v>436297184</v>
      </c>
      <c r="F27" s="643">
        <v>26775000</v>
      </c>
      <c r="G27" s="643">
        <f>G22+G26</f>
        <v>28931428</v>
      </c>
      <c r="H27" s="643">
        <f>H22+H26</f>
        <v>-594686</v>
      </c>
      <c r="I27" s="532">
        <f>SUM(I22+I26)</f>
        <v>491408926</v>
      </c>
    </row>
    <row r="28" spans="1:10" x14ac:dyDescent="0.3">
      <c r="A28" s="33"/>
      <c r="B28" s="849"/>
      <c r="C28" s="849"/>
      <c r="D28" s="849"/>
      <c r="E28" s="34"/>
      <c r="F28" s="34"/>
      <c r="G28" s="34"/>
      <c r="H28" s="34"/>
    </row>
  </sheetData>
  <mergeCells count="26">
    <mergeCell ref="A27:D27"/>
    <mergeCell ref="B28:D28"/>
    <mergeCell ref="B22:D22"/>
    <mergeCell ref="B15:D15"/>
    <mergeCell ref="B16:D16"/>
    <mergeCell ref="B17:D17"/>
    <mergeCell ref="B26:D26"/>
    <mergeCell ref="B18:D18"/>
    <mergeCell ref="B23:D23"/>
    <mergeCell ref="B19:D19"/>
    <mergeCell ref="B24:D24"/>
    <mergeCell ref="B25:D25"/>
    <mergeCell ref="B21:D21"/>
    <mergeCell ref="B20:D20"/>
    <mergeCell ref="A1:I1"/>
    <mergeCell ref="B14:D14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73" orientation="landscape" horizontalDpi="4294967293" verticalDpi="4294967293" r:id="rId1"/>
  <headerFooter scaleWithDoc="0" alignWithMargins="0">
    <oddHeader>&amp;R&amp;"Times New Roman,Félkövér dőlt"&amp;11 5. melléklet a 4/2018.(III.19.)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view="pageLayout" zoomScaleNormal="100" workbookViewId="0">
      <selection activeCell="F2" sqref="F2"/>
    </sheetView>
  </sheetViews>
  <sheetFormatPr defaultColWidth="10.69921875" defaultRowHeight="13" x14ac:dyDescent="0.3"/>
  <cols>
    <col min="1" max="1" width="11.296875" style="167" customWidth="1"/>
    <col min="2" max="2" width="46" style="167" customWidth="1"/>
    <col min="3" max="3" width="28.5" style="167" customWidth="1"/>
    <col min="4" max="4" width="12.296875" style="245" customWidth="1"/>
    <col min="5" max="5" width="14.796875" style="245" bestFit="1" customWidth="1"/>
    <col min="6" max="6" width="14.19921875" style="245" customWidth="1"/>
    <col min="7" max="7" width="13.5" style="245" customWidth="1"/>
    <col min="8" max="8" width="14" style="167" bestFit="1" customWidth="1"/>
    <col min="9" max="9" width="13.19921875" style="642" customWidth="1"/>
    <col min="10" max="254" width="10.69921875" style="167"/>
    <col min="255" max="255" width="7" style="167" customWidth="1"/>
    <col min="256" max="256" width="34.5" style="167" customWidth="1"/>
    <col min="257" max="257" width="11" style="167" customWidth="1"/>
    <col min="258" max="258" width="16.796875" style="167" customWidth="1"/>
    <col min="259" max="259" width="17.19921875" style="167" customWidth="1"/>
    <col min="260" max="260" width="15.296875" style="167" customWidth="1"/>
    <col min="261" max="261" width="15.5" style="167" customWidth="1"/>
    <col min="262" max="510" width="10.69921875" style="167"/>
    <col min="511" max="511" width="7" style="167" customWidth="1"/>
    <col min="512" max="512" width="34.5" style="167" customWidth="1"/>
    <col min="513" max="513" width="11" style="167" customWidth="1"/>
    <col min="514" max="514" width="16.796875" style="167" customWidth="1"/>
    <col min="515" max="515" width="17.19921875" style="167" customWidth="1"/>
    <col min="516" max="516" width="15.296875" style="167" customWidth="1"/>
    <col min="517" max="517" width="15.5" style="167" customWidth="1"/>
    <col min="518" max="766" width="10.69921875" style="167"/>
    <col min="767" max="767" width="7" style="167" customWidth="1"/>
    <col min="768" max="768" width="34.5" style="167" customWidth="1"/>
    <col min="769" max="769" width="11" style="167" customWidth="1"/>
    <col min="770" max="770" width="16.796875" style="167" customWidth="1"/>
    <col min="771" max="771" width="17.19921875" style="167" customWidth="1"/>
    <col min="772" max="772" width="15.296875" style="167" customWidth="1"/>
    <col min="773" max="773" width="15.5" style="167" customWidth="1"/>
    <col min="774" max="1022" width="10.69921875" style="167"/>
    <col min="1023" max="1023" width="7" style="167" customWidth="1"/>
    <col min="1024" max="1024" width="34.5" style="167" customWidth="1"/>
    <col min="1025" max="1025" width="11" style="167" customWidth="1"/>
    <col min="1026" max="1026" width="16.796875" style="167" customWidth="1"/>
    <col min="1027" max="1027" width="17.19921875" style="167" customWidth="1"/>
    <col min="1028" max="1028" width="15.296875" style="167" customWidth="1"/>
    <col min="1029" max="1029" width="15.5" style="167" customWidth="1"/>
    <col min="1030" max="1278" width="10.69921875" style="167"/>
    <col min="1279" max="1279" width="7" style="167" customWidth="1"/>
    <col min="1280" max="1280" width="34.5" style="167" customWidth="1"/>
    <col min="1281" max="1281" width="11" style="167" customWidth="1"/>
    <col min="1282" max="1282" width="16.796875" style="167" customWidth="1"/>
    <col min="1283" max="1283" width="17.19921875" style="167" customWidth="1"/>
    <col min="1284" max="1284" width="15.296875" style="167" customWidth="1"/>
    <col min="1285" max="1285" width="15.5" style="167" customWidth="1"/>
    <col min="1286" max="1534" width="10.69921875" style="167"/>
    <col min="1535" max="1535" width="7" style="167" customWidth="1"/>
    <col min="1536" max="1536" width="34.5" style="167" customWidth="1"/>
    <col min="1537" max="1537" width="11" style="167" customWidth="1"/>
    <col min="1538" max="1538" width="16.796875" style="167" customWidth="1"/>
    <col min="1539" max="1539" width="17.19921875" style="167" customWidth="1"/>
    <col min="1540" max="1540" width="15.296875" style="167" customWidth="1"/>
    <col min="1541" max="1541" width="15.5" style="167" customWidth="1"/>
    <col min="1542" max="1790" width="10.69921875" style="167"/>
    <col min="1791" max="1791" width="7" style="167" customWidth="1"/>
    <col min="1792" max="1792" width="34.5" style="167" customWidth="1"/>
    <col min="1793" max="1793" width="11" style="167" customWidth="1"/>
    <col min="1794" max="1794" width="16.796875" style="167" customWidth="1"/>
    <col min="1795" max="1795" width="17.19921875" style="167" customWidth="1"/>
    <col min="1796" max="1796" width="15.296875" style="167" customWidth="1"/>
    <col min="1797" max="1797" width="15.5" style="167" customWidth="1"/>
    <col min="1798" max="2046" width="10.69921875" style="167"/>
    <col min="2047" max="2047" width="7" style="167" customWidth="1"/>
    <col min="2048" max="2048" width="34.5" style="167" customWidth="1"/>
    <col min="2049" max="2049" width="11" style="167" customWidth="1"/>
    <col min="2050" max="2050" width="16.796875" style="167" customWidth="1"/>
    <col min="2051" max="2051" width="17.19921875" style="167" customWidth="1"/>
    <col min="2052" max="2052" width="15.296875" style="167" customWidth="1"/>
    <col min="2053" max="2053" width="15.5" style="167" customWidth="1"/>
    <col min="2054" max="2302" width="10.69921875" style="167"/>
    <col min="2303" max="2303" width="7" style="167" customWidth="1"/>
    <col min="2304" max="2304" width="34.5" style="167" customWidth="1"/>
    <col min="2305" max="2305" width="11" style="167" customWidth="1"/>
    <col min="2306" max="2306" width="16.796875" style="167" customWidth="1"/>
    <col min="2307" max="2307" width="17.19921875" style="167" customWidth="1"/>
    <col min="2308" max="2308" width="15.296875" style="167" customWidth="1"/>
    <col min="2309" max="2309" width="15.5" style="167" customWidth="1"/>
    <col min="2310" max="2558" width="10.69921875" style="167"/>
    <col min="2559" max="2559" width="7" style="167" customWidth="1"/>
    <col min="2560" max="2560" width="34.5" style="167" customWidth="1"/>
    <col min="2561" max="2561" width="11" style="167" customWidth="1"/>
    <col min="2562" max="2562" width="16.796875" style="167" customWidth="1"/>
    <col min="2563" max="2563" width="17.19921875" style="167" customWidth="1"/>
    <col min="2564" max="2564" width="15.296875" style="167" customWidth="1"/>
    <col min="2565" max="2565" width="15.5" style="167" customWidth="1"/>
    <col min="2566" max="2814" width="10.69921875" style="167"/>
    <col min="2815" max="2815" width="7" style="167" customWidth="1"/>
    <col min="2816" max="2816" width="34.5" style="167" customWidth="1"/>
    <col min="2817" max="2817" width="11" style="167" customWidth="1"/>
    <col min="2818" max="2818" width="16.796875" style="167" customWidth="1"/>
    <col min="2819" max="2819" width="17.19921875" style="167" customWidth="1"/>
    <col min="2820" max="2820" width="15.296875" style="167" customWidth="1"/>
    <col min="2821" max="2821" width="15.5" style="167" customWidth="1"/>
    <col min="2822" max="3070" width="10.69921875" style="167"/>
    <col min="3071" max="3071" width="7" style="167" customWidth="1"/>
    <col min="3072" max="3072" width="34.5" style="167" customWidth="1"/>
    <col min="3073" max="3073" width="11" style="167" customWidth="1"/>
    <col min="3074" max="3074" width="16.796875" style="167" customWidth="1"/>
    <col min="3075" max="3075" width="17.19921875" style="167" customWidth="1"/>
    <col min="3076" max="3076" width="15.296875" style="167" customWidth="1"/>
    <col min="3077" max="3077" width="15.5" style="167" customWidth="1"/>
    <col min="3078" max="3326" width="10.69921875" style="167"/>
    <col min="3327" max="3327" width="7" style="167" customWidth="1"/>
    <col min="3328" max="3328" width="34.5" style="167" customWidth="1"/>
    <col min="3329" max="3329" width="11" style="167" customWidth="1"/>
    <col min="3330" max="3330" width="16.796875" style="167" customWidth="1"/>
    <col min="3331" max="3331" width="17.19921875" style="167" customWidth="1"/>
    <col min="3332" max="3332" width="15.296875" style="167" customWidth="1"/>
    <col min="3333" max="3333" width="15.5" style="167" customWidth="1"/>
    <col min="3334" max="3582" width="10.69921875" style="167"/>
    <col min="3583" max="3583" width="7" style="167" customWidth="1"/>
    <col min="3584" max="3584" width="34.5" style="167" customWidth="1"/>
    <col min="3585" max="3585" width="11" style="167" customWidth="1"/>
    <col min="3586" max="3586" width="16.796875" style="167" customWidth="1"/>
    <col min="3587" max="3587" width="17.19921875" style="167" customWidth="1"/>
    <col min="3588" max="3588" width="15.296875" style="167" customWidth="1"/>
    <col min="3589" max="3589" width="15.5" style="167" customWidth="1"/>
    <col min="3590" max="3838" width="10.69921875" style="167"/>
    <col min="3839" max="3839" width="7" style="167" customWidth="1"/>
    <col min="3840" max="3840" width="34.5" style="167" customWidth="1"/>
    <col min="3841" max="3841" width="11" style="167" customWidth="1"/>
    <col min="3842" max="3842" width="16.796875" style="167" customWidth="1"/>
    <col min="3843" max="3843" width="17.19921875" style="167" customWidth="1"/>
    <col min="3844" max="3844" width="15.296875" style="167" customWidth="1"/>
    <col min="3845" max="3845" width="15.5" style="167" customWidth="1"/>
    <col min="3846" max="4094" width="10.69921875" style="167"/>
    <col min="4095" max="4095" width="7" style="167" customWidth="1"/>
    <col min="4096" max="4096" width="34.5" style="167" customWidth="1"/>
    <col min="4097" max="4097" width="11" style="167" customWidth="1"/>
    <col min="4098" max="4098" width="16.796875" style="167" customWidth="1"/>
    <col min="4099" max="4099" width="17.19921875" style="167" customWidth="1"/>
    <col min="4100" max="4100" width="15.296875" style="167" customWidth="1"/>
    <col min="4101" max="4101" width="15.5" style="167" customWidth="1"/>
    <col min="4102" max="4350" width="10.69921875" style="167"/>
    <col min="4351" max="4351" width="7" style="167" customWidth="1"/>
    <col min="4352" max="4352" width="34.5" style="167" customWidth="1"/>
    <col min="4353" max="4353" width="11" style="167" customWidth="1"/>
    <col min="4354" max="4354" width="16.796875" style="167" customWidth="1"/>
    <col min="4355" max="4355" width="17.19921875" style="167" customWidth="1"/>
    <col min="4356" max="4356" width="15.296875" style="167" customWidth="1"/>
    <col min="4357" max="4357" width="15.5" style="167" customWidth="1"/>
    <col min="4358" max="4606" width="10.69921875" style="167"/>
    <col min="4607" max="4607" width="7" style="167" customWidth="1"/>
    <col min="4608" max="4608" width="34.5" style="167" customWidth="1"/>
    <col min="4609" max="4609" width="11" style="167" customWidth="1"/>
    <col min="4610" max="4610" width="16.796875" style="167" customWidth="1"/>
    <col min="4611" max="4611" width="17.19921875" style="167" customWidth="1"/>
    <col min="4612" max="4612" width="15.296875" style="167" customWidth="1"/>
    <col min="4613" max="4613" width="15.5" style="167" customWidth="1"/>
    <col min="4614" max="4862" width="10.69921875" style="167"/>
    <col min="4863" max="4863" width="7" style="167" customWidth="1"/>
    <col min="4864" max="4864" width="34.5" style="167" customWidth="1"/>
    <col min="4865" max="4865" width="11" style="167" customWidth="1"/>
    <col min="4866" max="4866" width="16.796875" style="167" customWidth="1"/>
    <col min="4867" max="4867" width="17.19921875" style="167" customWidth="1"/>
    <col min="4868" max="4868" width="15.296875" style="167" customWidth="1"/>
    <col min="4869" max="4869" width="15.5" style="167" customWidth="1"/>
    <col min="4870" max="5118" width="10.69921875" style="167"/>
    <col min="5119" max="5119" width="7" style="167" customWidth="1"/>
    <col min="5120" max="5120" width="34.5" style="167" customWidth="1"/>
    <col min="5121" max="5121" width="11" style="167" customWidth="1"/>
    <col min="5122" max="5122" width="16.796875" style="167" customWidth="1"/>
    <col min="5123" max="5123" width="17.19921875" style="167" customWidth="1"/>
    <col min="5124" max="5124" width="15.296875" style="167" customWidth="1"/>
    <col min="5125" max="5125" width="15.5" style="167" customWidth="1"/>
    <col min="5126" max="5374" width="10.69921875" style="167"/>
    <col min="5375" max="5375" width="7" style="167" customWidth="1"/>
    <col min="5376" max="5376" width="34.5" style="167" customWidth="1"/>
    <col min="5377" max="5377" width="11" style="167" customWidth="1"/>
    <col min="5378" max="5378" width="16.796875" style="167" customWidth="1"/>
    <col min="5379" max="5379" width="17.19921875" style="167" customWidth="1"/>
    <col min="5380" max="5380" width="15.296875" style="167" customWidth="1"/>
    <col min="5381" max="5381" width="15.5" style="167" customWidth="1"/>
    <col min="5382" max="5630" width="10.69921875" style="167"/>
    <col min="5631" max="5631" width="7" style="167" customWidth="1"/>
    <col min="5632" max="5632" width="34.5" style="167" customWidth="1"/>
    <col min="5633" max="5633" width="11" style="167" customWidth="1"/>
    <col min="5634" max="5634" width="16.796875" style="167" customWidth="1"/>
    <col min="5635" max="5635" width="17.19921875" style="167" customWidth="1"/>
    <col min="5636" max="5636" width="15.296875" style="167" customWidth="1"/>
    <col min="5637" max="5637" width="15.5" style="167" customWidth="1"/>
    <col min="5638" max="5886" width="10.69921875" style="167"/>
    <col min="5887" max="5887" width="7" style="167" customWidth="1"/>
    <col min="5888" max="5888" width="34.5" style="167" customWidth="1"/>
    <col min="5889" max="5889" width="11" style="167" customWidth="1"/>
    <col min="5890" max="5890" width="16.796875" style="167" customWidth="1"/>
    <col min="5891" max="5891" width="17.19921875" style="167" customWidth="1"/>
    <col min="5892" max="5892" width="15.296875" style="167" customWidth="1"/>
    <col min="5893" max="5893" width="15.5" style="167" customWidth="1"/>
    <col min="5894" max="6142" width="10.69921875" style="167"/>
    <col min="6143" max="6143" width="7" style="167" customWidth="1"/>
    <col min="6144" max="6144" width="34.5" style="167" customWidth="1"/>
    <col min="6145" max="6145" width="11" style="167" customWidth="1"/>
    <col min="6146" max="6146" width="16.796875" style="167" customWidth="1"/>
    <col min="6147" max="6147" width="17.19921875" style="167" customWidth="1"/>
    <col min="6148" max="6148" width="15.296875" style="167" customWidth="1"/>
    <col min="6149" max="6149" width="15.5" style="167" customWidth="1"/>
    <col min="6150" max="6398" width="10.69921875" style="167"/>
    <col min="6399" max="6399" width="7" style="167" customWidth="1"/>
    <col min="6400" max="6400" width="34.5" style="167" customWidth="1"/>
    <col min="6401" max="6401" width="11" style="167" customWidth="1"/>
    <col min="6402" max="6402" width="16.796875" style="167" customWidth="1"/>
    <col min="6403" max="6403" width="17.19921875" style="167" customWidth="1"/>
    <col min="6404" max="6404" width="15.296875" style="167" customWidth="1"/>
    <col min="6405" max="6405" width="15.5" style="167" customWidth="1"/>
    <col min="6406" max="6654" width="10.69921875" style="167"/>
    <col min="6655" max="6655" width="7" style="167" customWidth="1"/>
    <col min="6656" max="6656" width="34.5" style="167" customWidth="1"/>
    <col min="6657" max="6657" width="11" style="167" customWidth="1"/>
    <col min="6658" max="6658" width="16.796875" style="167" customWidth="1"/>
    <col min="6659" max="6659" width="17.19921875" style="167" customWidth="1"/>
    <col min="6660" max="6660" width="15.296875" style="167" customWidth="1"/>
    <col min="6661" max="6661" width="15.5" style="167" customWidth="1"/>
    <col min="6662" max="6910" width="10.69921875" style="167"/>
    <col min="6911" max="6911" width="7" style="167" customWidth="1"/>
    <col min="6912" max="6912" width="34.5" style="167" customWidth="1"/>
    <col min="6913" max="6913" width="11" style="167" customWidth="1"/>
    <col min="6914" max="6914" width="16.796875" style="167" customWidth="1"/>
    <col min="6915" max="6915" width="17.19921875" style="167" customWidth="1"/>
    <col min="6916" max="6916" width="15.296875" style="167" customWidth="1"/>
    <col min="6917" max="6917" width="15.5" style="167" customWidth="1"/>
    <col min="6918" max="7166" width="10.69921875" style="167"/>
    <col min="7167" max="7167" width="7" style="167" customWidth="1"/>
    <col min="7168" max="7168" width="34.5" style="167" customWidth="1"/>
    <col min="7169" max="7169" width="11" style="167" customWidth="1"/>
    <col min="7170" max="7170" width="16.796875" style="167" customWidth="1"/>
    <col min="7171" max="7171" width="17.19921875" style="167" customWidth="1"/>
    <col min="7172" max="7172" width="15.296875" style="167" customWidth="1"/>
    <col min="7173" max="7173" width="15.5" style="167" customWidth="1"/>
    <col min="7174" max="7422" width="10.69921875" style="167"/>
    <col min="7423" max="7423" width="7" style="167" customWidth="1"/>
    <col min="7424" max="7424" width="34.5" style="167" customWidth="1"/>
    <col min="7425" max="7425" width="11" style="167" customWidth="1"/>
    <col min="7426" max="7426" width="16.796875" style="167" customWidth="1"/>
    <col min="7427" max="7427" width="17.19921875" style="167" customWidth="1"/>
    <col min="7428" max="7428" width="15.296875" style="167" customWidth="1"/>
    <col min="7429" max="7429" width="15.5" style="167" customWidth="1"/>
    <col min="7430" max="7678" width="10.69921875" style="167"/>
    <col min="7679" max="7679" width="7" style="167" customWidth="1"/>
    <col min="7680" max="7680" width="34.5" style="167" customWidth="1"/>
    <col min="7681" max="7681" width="11" style="167" customWidth="1"/>
    <col min="7682" max="7682" width="16.796875" style="167" customWidth="1"/>
    <col min="7683" max="7683" width="17.19921875" style="167" customWidth="1"/>
    <col min="7684" max="7684" width="15.296875" style="167" customWidth="1"/>
    <col min="7685" max="7685" width="15.5" style="167" customWidth="1"/>
    <col min="7686" max="7934" width="10.69921875" style="167"/>
    <col min="7935" max="7935" width="7" style="167" customWidth="1"/>
    <col min="7936" max="7936" width="34.5" style="167" customWidth="1"/>
    <col min="7937" max="7937" width="11" style="167" customWidth="1"/>
    <col min="7938" max="7938" width="16.796875" style="167" customWidth="1"/>
    <col min="7939" max="7939" width="17.19921875" style="167" customWidth="1"/>
    <col min="7940" max="7940" width="15.296875" style="167" customWidth="1"/>
    <col min="7941" max="7941" width="15.5" style="167" customWidth="1"/>
    <col min="7942" max="8190" width="10.69921875" style="167"/>
    <col min="8191" max="8191" width="7" style="167" customWidth="1"/>
    <col min="8192" max="8192" width="34.5" style="167" customWidth="1"/>
    <col min="8193" max="8193" width="11" style="167" customWidth="1"/>
    <col min="8194" max="8194" width="16.796875" style="167" customWidth="1"/>
    <col min="8195" max="8195" width="17.19921875" style="167" customWidth="1"/>
    <col min="8196" max="8196" width="15.296875" style="167" customWidth="1"/>
    <col min="8197" max="8197" width="15.5" style="167" customWidth="1"/>
    <col min="8198" max="8446" width="10.69921875" style="167"/>
    <col min="8447" max="8447" width="7" style="167" customWidth="1"/>
    <col min="8448" max="8448" width="34.5" style="167" customWidth="1"/>
    <col min="8449" max="8449" width="11" style="167" customWidth="1"/>
    <col min="8450" max="8450" width="16.796875" style="167" customWidth="1"/>
    <col min="8451" max="8451" width="17.19921875" style="167" customWidth="1"/>
    <col min="8452" max="8452" width="15.296875" style="167" customWidth="1"/>
    <col min="8453" max="8453" width="15.5" style="167" customWidth="1"/>
    <col min="8454" max="8702" width="10.69921875" style="167"/>
    <col min="8703" max="8703" width="7" style="167" customWidth="1"/>
    <col min="8704" max="8704" width="34.5" style="167" customWidth="1"/>
    <col min="8705" max="8705" width="11" style="167" customWidth="1"/>
    <col min="8706" max="8706" width="16.796875" style="167" customWidth="1"/>
    <col min="8707" max="8707" width="17.19921875" style="167" customWidth="1"/>
    <col min="8708" max="8708" width="15.296875" style="167" customWidth="1"/>
    <col min="8709" max="8709" width="15.5" style="167" customWidth="1"/>
    <col min="8710" max="8958" width="10.69921875" style="167"/>
    <col min="8959" max="8959" width="7" style="167" customWidth="1"/>
    <col min="8960" max="8960" width="34.5" style="167" customWidth="1"/>
    <col min="8961" max="8961" width="11" style="167" customWidth="1"/>
    <col min="8962" max="8962" width="16.796875" style="167" customWidth="1"/>
    <col min="8963" max="8963" width="17.19921875" style="167" customWidth="1"/>
    <col min="8964" max="8964" width="15.296875" style="167" customWidth="1"/>
    <col min="8965" max="8965" width="15.5" style="167" customWidth="1"/>
    <col min="8966" max="9214" width="10.69921875" style="167"/>
    <col min="9215" max="9215" width="7" style="167" customWidth="1"/>
    <col min="9216" max="9216" width="34.5" style="167" customWidth="1"/>
    <col min="9217" max="9217" width="11" style="167" customWidth="1"/>
    <col min="9218" max="9218" width="16.796875" style="167" customWidth="1"/>
    <col min="9219" max="9219" width="17.19921875" style="167" customWidth="1"/>
    <col min="9220" max="9220" width="15.296875" style="167" customWidth="1"/>
    <col min="9221" max="9221" width="15.5" style="167" customWidth="1"/>
    <col min="9222" max="9470" width="10.69921875" style="167"/>
    <col min="9471" max="9471" width="7" style="167" customWidth="1"/>
    <col min="9472" max="9472" width="34.5" style="167" customWidth="1"/>
    <col min="9473" max="9473" width="11" style="167" customWidth="1"/>
    <col min="9474" max="9474" width="16.796875" style="167" customWidth="1"/>
    <col min="9475" max="9475" width="17.19921875" style="167" customWidth="1"/>
    <col min="9476" max="9476" width="15.296875" style="167" customWidth="1"/>
    <col min="9477" max="9477" width="15.5" style="167" customWidth="1"/>
    <col min="9478" max="9726" width="10.69921875" style="167"/>
    <col min="9727" max="9727" width="7" style="167" customWidth="1"/>
    <col min="9728" max="9728" width="34.5" style="167" customWidth="1"/>
    <col min="9729" max="9729" width="11" style="167" customWidth="1"/>
    <col min="9730" max="9730" width="16.796875" style="167" customWidth="1"/>
    <col min="9731" max="9731" width="17.19921875" style="167" customWidth="1"/>
    <col min="9732" max="9732" width="15.296875" style="167" customWidth="1"/>
    <col min="9733" max="9733" width="15.5" style="167" customWidth="1"/>
    <col min="9734" max="9982" width="10.69921875" style="167"/>
    <col min="9983" max="9983" width="7" style="167" customWidth="1"/>
    <col min="9984" max="9984" width="34.5" style="167" customWidth="1"/>
    <col min="9985" max="9985" width="11" style="167" customWidth="1"/>
    <col min="9986" max="9986" width="16.796875" style="167" customWidth="1"/>
    <col min="9987" max="9987" width="17.19921875" style="167" customWidth="1"/>
    <col min="9988" max="9988" width="15.296875" style="167" customWidth="1"/>
    <col min="9989" max="9989" width="15.5" style="167" customWidth="1"/>
    <col min="9990" max="10238" width="10.69921875" style="167"/>
    <col min="10239" max="10239" width="7" style="167" customWidth="1"/>
    <col min="10240" max="10240" width="34.5" style="167" customWidth="1"/>
    <col min="10241" max="10241" width="11" style="167" customWidth="1"/>
    <col min="10242" max="10242" width="16.796875" style="167" customWidth="1"/>
    <col min="10243" max="10243" width="17.19921875" style="167" customWidth="1"/>
    <col min="10244" max="10244" width="15.296875" style="167" customWidth="1"/>
    <col min="10245" max="10245" width="15.5" style="167" customWidth="1"/>
    <col min="10246" max="10494" width="10.69921875" style="167"/>
    <col min="10495" max="10495" width="7" style="167" customWidth="1"/>
    <col min="10496" max="10496" width="34.5" style="167" customWidth="1"/>
    <col min="10497" max="10497" width="11" style="167" customWidth="1"/>
    <col min="10498" max="10498" width="16.796875" style="167" customWidth="1"/>
    <col min="10499" max="10499" width="17.19921875" style="167" customWidth="1"/>
    <col min="10500" max="10500" width="15.296875" style="167" customWidth="1"/>
    <col min="10501" max="10501" width="15.5" style="167" customWidth="1"/>
    <col min="10502" max="10750" width="10.69921875" style="167"/>
    <col min="10751" max="10751" width="7" style="167" customWidth="1"/>
    <col min="10752" max="10752" width="34.5" style="167" customWidth="1"/>
    <col min="10753" max="10753" width="11" style="167" customWidth="1"/>
    <col min="10754" max="10754" width="16.796875" style="167" customWidth="1"/>
    <col min="10755" max="10755" width="17.19921875" style="167" customWidth="1"/>
    <col min="10756" max="10756" width="15.296875" style="167" customWidth="1"/>
    <col min="10757" max="10757" width="15.5" style="167" customWidth="1"/>
    <col min="10758" max="11006" width="10.69921875" style="167"/>
    <col min="11007" max="11007" width="7" style="167" customWidth="1"/>
    <col min="11008" max="11008" width="34.5" style="167" customWidth="1"/>
    <col min="11009" max="11009" width="11" style="167" customWidth="1"/>
    <col min="11010" max="11010" width="16.796875" style="167" customWidth="1"/>
    <col min="11011" max="11011" width="17.19921875" style="167" customWidth="1"/>
    <col min="11012" max="11012" width="15.296875" style="167" customWidth="1"/>
    <col min="11013" max="11013" width="15.5" style="167" customWidth="1"/>
    <col min="11014" max="11262" width="10.69921875" style="167"/>
    <col min="11263" max="11263" width="7" style="167" customWidth="1"/>
    <col min="11264" max="11264" width="34.5" style="167" customWidth="1"/>
    <col min="11265" max="11265" width="11" style="167" customWidth="1"/>
    <col min="11266" max="11266" width="16.796875" style="167" customWidth="1"/>
    <col min="11267" max="11267" width="17.19921875" style="167" customWidth="1"/>
    <col min="11268" max="11268" width="15.296875" style="167" customWidth="1"/>
    <col min="11269" max="11269" width="15.5" style="167" customWidth="1"/>
    <col min="11270" max="11518" width="10.69921875" style="167"/>
    <col min="11519" max="11519" width="7" style="167" customWidth="1"/>
    <col min="11520" max="11520" width="34.5" style="167" customWidth="1"/>
    <col min="11521" max="11521" width="11" style="167" customWidth="1"/>
    <col min="11522" max="11522" width="16.796875" style="167" customWidth="1"/>
    <col min="11523" max="11523" width="17.19921875" style="167" customWidth="1"/>
    <col min="11524" max="11524" width="15.296875" style="167" customWidth="1"/>
    <col min="11525" max="11525" width="15.5" style="167" customWidth="1"/>
    <col min="11526" max="11774" width="10.69921875" style="167"/>
    <col min="11775" max="11775" width="7" style="167" customWidth="1"/>
    <col min="11776" max="11776" width="34.5" style="167" customWidth="1"/>
    <col min="11777" max="11777" width="11" style="167" customWidth="1"/>
    <col min="11778" max="11778" width="16.796875" style="167" customWidth="1"/>
    <col min="11779" max="11779" width="17.19921875" style="167" customWidth="1"/>
    <col min="11780" max="11780" width="15.296875" style="167" customWidth="1"/>
    <col min="11781" max="11781" width="15.5" style="167" customWidth="1"/>
    <col min="11782" max="12030" width="10.69921875" style="167"/>
    <col min="12031" max="12031" width="7" style="167" customWidth="1"/>
    <col min="12032" max="12032" width="34.5" style="167" customWidth="1"/>
    <col min="12033" max="12033" width="11" style="167" customWidth="1"/>
    <col min="12034" max="12034" width="16.796875" style="167" customWidth="1"/>
    <col min="12035" max="12035" width="17.19921875" style="167" customWidth="1"/>
    <col min="12036" max="12036" width="15.296875" style="167" customWidth="1"/>
    <col min="12037" max="12037" width="15.5" style="167" customWidth="1"/>
    <col min="12038" max="12286" width="10.69921875" style="167"/>
    <col min="12287" max="12287" width="7" style="167" customWidth="1"/>
    <col min="12288" max="12288" width="34.5" style="167" customWidth="1"/>
    <col min="12289" max="12289" width="11" style="167" customWidth="1"/>
    <col min="12290" max="12290" width="16.796875" style="167" customWidth="1"/>
    <col min="12291" max="12291" width="17.19921875" style="167" customWidth="1"/>
    <col min="12292" max="12292" width="15.296875" style="167" customWidth="1"/>
    <col min="12293" max="12293" width="15.5" style="167" customWidth="1"/>
    <col min="12294" max="12542" width="10.69921875" style="167"/>
    <col min="12543" max="12543" width="7" style="167" customWidth="1"/>
    <col min="12544" max="12544" width="34.5" style="167" customWidth="1"/>
    <col min="12545" max="12545" width="11" style="167" customWidth="1"/>
    <col min="12546" max="12546" width="16.796875" style="167" customWidth="1"/>
    <col min="12547" max="12547" width="17.19921875" style="167" customWidth="1"/>
    <col min="12548" max="12548" width="15.296875" style="167" customWidth="1"/>
    <col min="12549" max="12549" width="15.5" style="167" customWidth="1"/>
    <col min="12550" max="12798" width="10.69921875" style="167"/>
    <col min="12799" max="12799" width="7" style="167" customWidth="1"/>
    <col min="12800" max="12800" width="34.5" style="167" customWidth="1"/>
    <col min="12801" max="12801" width="11" style="167" customWidth="1"/>
    <col min="12802" max="12802" width="16.796875" style="167" customWidth="1"/>
    <col min="12803" max="12803" width="17.19921875" style="167" customWidth="1"/>
    <col min="12804" max="12804" width="15.296875" style="167" customWidth="1"/>
    <col min="12805" max="12805" width="15.5" style="167" customWidth="1"/>
    <col min="12806" max="13054" width="10.69921875" style="167"/>
    <col min="13055" max="13055" width="7" style="167" customWidth="1"/>
    <col min="13056" max="13056" width="34.5" style="167" customWidth="1"/>
    <col min="13057" max="13057" width="11" style="167" customWidth="1"/>
    <col min="13058" max="13058" width="16.796875" style="167" customWidth="1"/>
    <col min="13059" max="13059" width="17.19921875" style="167" customWidth="1"/>
    <col min="13060" max="13060" width="15.296875" style="167" customWidth="1"/>
    <col min="13061" max="13061" width="15.5" style="167" customWidth="1"/>
    <col min="13062" max="13310" width="10.69921875" style="167"/>
    <col min="13311" max="13311" width="7" style="167" customWidth="1"/>
    <col min="13312" max="13312" width="34.5" style="167" customWidth="1"/>
    <col min="13313" max="13313" width="11" style="167" customWidth="1"/>
    <col min="13314" max="13314" width="16.796875" style="167" customWidth="1"/>
    <col min="13315" max="13315" width="17.19921875" style="167" customWidth="1"/>
    <col min="13316" max="13316" width="15.296875" style="167" customWidth="1"/>
    <col min="13317" max="13317" width="15.5" style="167" customWidth="1"/>
    <col min="13318" max="13566" width="10.69921875" style="167"/>
    <col min="13567" max="13567" width="7" style="167" customWidth="1"/>
    <col min="13568" max="13568" width="34.5" style="167" customWidth="1"/>
    <col min="13569" max="13569" width="11" style="167" customWidth="1"/>
    <col min="13570" max="13570" width="16.796875" style="167" customWidth="1"/>
    <col min="13571" max="13571" width="17.19921875" style="167" customWidth="1"/>
    <col min="13572" max="13572" width="15.296875" style="167" customWidth="1"/>
    <col min="13573" max="13573" width="15.5" style="167" customWidth="1"/>
    <col min="13574" max="13822" width="10.69921875" style="167"/>
    <col min="13823" max="13823" width="7" style="167" customWidth="1"/>
    <col min="13824" max="13824" width="34.5" style="167" customWidth="1"/>
    <col min="13825" max="13825" width="11" style="167" customWidth="1"/>
    <col min="13826" max="13826" width="16.796875" style="167" customWidth="1"/>
    <col min="13827" max="13827" width="17.19921875" style="167" customWidth="1"/>
    <col min="13828" max="13828" width="15.296875" style="167" customWidth="1"/>
    <col min="13829" max="13829" width="15.5" style="167" customWidth="1"/>
    <col min="13830" max="14078" width="10.69921875" style="167"/>
    <col min="14079" max="14079" width="7" style="167" customWidth="1"/>
    <col min="14080" max="14080" width="34.5" style="167" customWidth="1"/>
    <col min="14081" max="14081" width="11" style="167" customWidth="1"/>
    <col min="14082" max="14082" width="16.796875" style="167" customWidth="1"/>
    <col min="14083" max="14083" width="17.19921875" style="167" customWidth="1"/>
    <col min="14084" max="14084" width="15.296875" style="167" customWidth="1"/>
    <col min="14085" max="14085" width="15.5" style="167" customWidth="1"/>
    <col min="14086" max="14334" width="10.69921875" style="167"/>
    <col min="14335" max="14335" width="7" style="167" customWidth="1"/>
    <col min="14336" max="14336" width="34.5" style="167" customWidth="1"/>
    <col min="14337" max="14337" width="11" style="167" customWidth="1"/>
    <col min="14338" max="14338" width="16.796875" style="167" customWidth="1"/>
    <col min="14339" max="14339" width="17.19921875" style="167" customWidth="1"/>
    <col min="14340" max="14340" width="15.296875" style="167" customWidth="1"/>
    <col min="14341" max="14341" width="15.5" style="167" customWidth="1"/>
    <col min="14342" max="14590" width="10.69921875" style="167"/>
    <col min="14591" max="14591" width="7" style="167" customWidth="1"/>
    <col min="14592" max="14592" width="34.5" style="167" customWidth="1"/>
    <col min="14593" max="14593" width="11" style="167" customWidth="1"/>
    <col min="14594" max="14594" width="16.796875" style="167" customWidth="1"/>
    <col min="14595" max="14595" width="17.19921875" style="167" customWidth="1"/>
    <col min="14596" max="14596" width="15.296875" style="167" customWidth="1"/>
    <col min="14597" max="14597" width="15.5" style="167" customWidth="1"/>
    <col min="14598" max="14846" width="10.69921875" style="167"/>
    <col min="14847" max="14847" width="7" style="167" customWidth="1"/>
    <col min="14848" max="14848" width="34.5" style="167" customWidth="1"/>
    <col min="14849" max="14849" width="11" style="167" customWidth="1"/>
    <col min="14850" max="14850" width="16.796875" style="167" customWidth="1"/>
    <col min="14851" max="14851" width="17.19921875" style="167" customWidth="1"/>
    <col min="14852" max="14852" width="15.296875" style="167" customWidth="1"/>
    <col min="14853" max="14853" width="15.5" style="167" customWidth="1"/>
    <col min="14854" max="15102" width="10.69921875" style="167"/>
    <col min="15103" max="15103" width="7" style="167" customWidth="1"/>
    <col min="15104" max="15104" width="34.5" style="167" customWidth="1"/>
    <col min="15105" max="15105" width="11" style="167" customWidth="1"/>
    <col min="15106" max="15106" width="16.796875" style="167" customWidth="1"/>
    <col min="15107" max="15107" width="17.19921875" style="167" customWidth="1"/>
    <col min="15108" max="15108" width="15.296875" style="167" customWidth="1"/>
    <col min="15109" max="15109" width="15.5" style="167" customWidth="1"/>
    <col min="15110" max="15358" width="10.69921875" style="167"/>
    <col min="15359" max="15359" width="7" style="167" customWidth="1"/>
    <col min="15360" max="15360" width="34.5" style="167" customWidth="1"/>
    <col min="15361" max="15361" width="11" style="167" customWidth="1"/>
    <col min="15362" max="15362" width="16.796875" style="167" customWidth="1"/>
    <col min="15363" max="15363" width="17.19921875" style="167" customWidth="1"/>
    <col min="15364" max="15364" width="15.296875" style="167" customWidth="1"/>
    <col min="15365" max="15365" width="15.5" style="167" customWidth="1"/>
    <col min="15366" max="15614" width="10.69921875" style="167"/>
    <col min="15615" max="15615" width="7" style="167" customWidth="1"/>
    <col min="15616" max="15616" width="34.5" style="167" customWidth="1"/>
    <col min="15617" max="15617" width="11" style="167" customWidth="1"/>
    <col min="15618" max="15618" width="16.796875" style="167" customWidth="1"/>
    <col min="15619" max="15619" width="17.19921875" style="167" customWidth="1"/>
    <col min="15620" max="15620" width="15.296875" style="167" customWidth="1"/>
    <col min="15621" max="15621" width="15.5" style="167" customWidth="1"/>
    <col min="15622" max="15870" width="10.69921875" style="167"/>
    <col min="15871" max="15871" width="7" style="167" customWidth="1"/>
    <col min="15872" max="15872" width="34.5" style="167" customWidth="1"/>
    <col min="15873" max="15873" width="11" style="167" customWidth="1"/>
    <col min="15874" max="15874" width="16.796875" style="167" customWidth="1"/>
    <col min="15875" max="15875" width="17.19921875" style="167" customWidth="1"/>
    <col min="15876" max="15876" width="15.296875" style="167" customWidth="1"/>
    <col min="15877" max="15877" width="15.5" style="167" customWidth="1"/>
    <col min="15878" max="16126" width="10.69921875" style="167"/>
    <col min="16127" max="16127" width="7" style="167" customWidth="1"/>
    <col min="16128" max="16128" width="34.5" style="167" customWidth="1"/>
    <col min="16129" max="16129" width="11" style="167" customWidth="1"/>
    <col min="16130" max="16130" width="16.796875" style="167" customWidth="1"/>
    <col min="16131" max="16131" width="17.19921875" style="167" customWidth="1"/>
    <col min="16132" max="16132" width="15.296875" style="167" customWidth="1"/>
    <col min="16133" max="16133" width="15.5" style="167" customWidth="1"/>
    <col min="16134" max="16384" width="10.69921875" style="167"/>
  </cols>
  <sheetData>
    <row r="1" spans="1:9" ht="40.5" customHeight="1" x14ac:dyDescent="0.3">
      <c r="A1" s="856" t="s">
        <v>619</v>
      </c>
      <c r="B1" s="856"/>
      <c r="C1" s="856"/>
      <c r="D1" s="856"/>
      <c r="E1" s="856"/>
      <c r="F1" s="856"/>
      <c r="G1" s="856"/>
      <c r="H1" s="856"/>
      <c r="I1" s="856"/>
    </row>
    <row r="2" spans="1:9" x14ac:dyDescent="0.3">
      <c r="A2" s="168"/>
      <c r="B2" s="168"/>
      <c r="G2" s="167"/>
      <c r="H2" s="171" t="s">
        <v>801</v>
      </c>
      <c r="I2" s="636" t="s">
        <v>1</v>
      </c>
    </row>
    <row r="3" spans="1:9" s="564" customFormat="1" ht="33.75" customHeight="1" x14ac:dyDescent="0.3">
      <c r="A3" s="361" t="s">
        <v>555</v>
      </c>
      <c r="B3" s="361" t="s">
        <v>637</v>
      </c>
      <c r="C3" s="361" t="s">
        <v>561</v>
      </c>
      <c r="D3" s="563" t="s">
        <v>824</v>
      </c>
      <c r="E3" s="563" t="s">
        <v>825</v>
      </c>
      <c r="F3" s="563" t="s">
        <v>860</v>
      </c>
      <c r="G3" s="246" t="s">
        <v>798</v>
      </c>
      <c r="H3" s="567" t="s">
        <v>826</v>
      </c>
      <c r="I3" s="637" t="s">
        <v>827</v>
      </c>
    </row>
    <row r="4" spans="1:9" s="169" customFormat="1" ht="18.75" customHeight="1" x14ac:dyDescent="0.3">
      <c r="A4" s="362" t="s">
        <v>10</v>
      </c>
      <c r="B4" s="363" t="s">
        <v>616</v>
      </c>
      <c r="C4" s="364">
        <v>5000000</v>
      </c>
      <c r="D4" s="247">
        <f>G4-C4</f>
        <v>0</v>
      </c>
      <c r="E4" s="247">
        <f>G4-C4-D4</f>
        <v>0</v>
      </c>
      <c r="F4" s="247">
        <f>G4-C4-D4-E4</f>
        <v>0</v>
      </c>
      <c r="G4" s="247">
        <v>5000000</v>
      </c>
      <c r="H4" s="565"/>
      <c r="I4" s="638"/>
    </row>
    <row r="5" spans="1:9" s="169" customFormat="1" ht="18.75" customHeight="1" x14ac:dyDescent="0.3">
      <c r="A5" s="362" t="s">
        <v>13</v>
      </c>
      <c r="B5" s="363" t="s">
        <v>615</v>
      </c>
      <c r="C5" s="364">
        <v>1500000</v>
      </c>
      <c r="D5" s="247">
        <f t="shared" ref="D5:D8" si="0">G5-C5</f>
        <v>0</v>
      </c>
      <c r="E5" s="247">
        <f t="shared" ref="E5:E8" si="1">G5-C5-D5</f>
        <v>0</v>
      </c>
      <c r="F5" s="247">
        <f t="shared" ref="F5:F9" si="2">G5-C5-D5-E5</f>
        <v>0</v>
      </c>
      <c r="G5" s="247">
        <v>1500000</v>
      </c>
      <c r="H5" s="565"/>
      <c r="I5" s="638"/>
    </row>
    <row r="6" spans="1:9" s="169" customFormat="1" ht="18.75" customHeight="1" x14ac:dyDescent="0.3">
      <c r="A6" s="362" t="s">
        <v>16</v>
      </c>
      <c r="B6" s="363" t="s">
        <v>617</v>
      </c>
      <c r="C6" s="364">
        <v>2000000</v>
      </c>
      <c r="D6" s="247">
        <f t="shared" si="0"/>
        <v>0</v>
      </c>
      <c r="E6" s="247">
        <f t="shared" si="1"/>
        <v>0</v>
      </c>
      <c r="F6" s="247">
        <f t="shared" si="2"/>
        <v>0</v>
      </c>
      <c r="G6" s="247">
        <v>2000000</v>
      </c>
      <c r="H6" s="565"/>
      <c r="I6" s="638"/>
    </row>
    <row r="7" spans="1:9" s="169" customFormat="1" ht="18.75" customHeight="1" x14ac:dyDescent="0.3">
      <c r="A7" s="362" t="s">
        <v>19</v>
      </c>
      <c r="B7" s="363" t="s">
        <v>618</v>
      </c>
      <c r="C7" s="364">
        <v>3000000</v>
      </c>
      <c r="D7" s="247">
        <f t="shared" si="0"/>
        <v>0</v>
      </c>
      <c r="E7" s="247">
        <f t="shared" si="1"/>
        <v>0</v>
      </c>
      <c r="F7" s="247">
        <f t="shared" si="2"/>
        <v>0</v>
      </c>
      <c r="G7" s="247">
        <v>3000000</v>
      </c>
      <c r="H7" s="565"/>
      <c r="I7" s="638"/>
    </row>
    <row r="8" spans="1:9" s="169" customFormat="1" ht="18.75" customHeight="1" x14ac:dyDescent="0.3">
      <c r="A8" s="362" t="s">
        <v>22</v>
      </c>
      <c r="B8" s="363" t="s">
        <v>750</v>
      </c>
      <c r="C8" s="364">
        <v>5000000</v>
      </c>
      <c r="D8" s="247">
        <f t="shared" si="0"/>
        <v>0</v>
      </c>
      <c r="E8" s="247">
        <f t="shared" si="1"/>
        <v>0</v>
      </c>
      <c r="F8" s="247">
        <f t="shared" si="2"/>
        <v>0</v>
      </c>
      <c r="G8" s="247">
        <v>5000000</v>
      </c>
      <c r="H8" s="565"/>
      <c r="I8" s="638"/>
    </row>
    <row r="9" spans="1:9" s="169" customFormat="1" ht="18.75" customHeight="1" x14ac:dyDescent="0.3">
      <c r="A9" s="362" t="s">
        <v>25</v>
      </c>
      <c r="B9" s="363" t="s">
        <v>614</v>
      </c>
      <c r="C9" s="364">
        <v>49643000</v>
      </c>
      <c r="D9" s="247">
        <v>6763829</v>
      </c>
      <c r="E9" s="247">
        <v>-14727658</v>
      </c>
      <c r="F9" s="247">
        <f t="shared" si="2"/>
        <v>15740063</v>
      </c>
      <c r="G9" s="247">
        <v>57419234</v>
      </c>
      <c r="H9" s="565"/>
      <c r="I9" s="638"/>
    </row>
    <row r="10" spans="1:9" s="166" customFormat="1" ht="18.75" customHeight="1" x14ac:dyDescent="0.3">
      <c r="A10" s="365"/>
      <c r="B10" s="366" t="s">
        <v>535</v>
      </c>
      <c r="C10" s="367">
        <f>SUM(C4:C9)</f>
        <v>66143000</v>
      </c>
      <c r="D10" s="367">
        <f t="shared" ref="D10:G10" si="3">SUM(D4:D9)</f>
        <v>6763829</v>
      </c>
      <c r="E10" s="367">
        <f t="shared" si="3"/>
        <v>-14727658</v>
      </c>
      <c r="F10" s="367">
        <f t="shared" si="3"/>
        <v>15740063</v>
      </c>
      <c r="G10" s="367">
        <f t="shared" si="3"/>
        <v>73919234</v>
      </c>
      <c r="H10" s="566">
        <v>73763446</v>
      </c>
      <c r="I10" s="639">
        <f>H10/G10</f>
        <v>0.997892456515445</v>
      </c>
    </row>
    <row r="11" spans="1:9" s="166" customFormat="1" x14ac:dyDescent="0.3">
      <c r="A11" s="170"/>
      <c r="B11" s="170"/>
      <c r="C11" s="165"/>
      <c r="D11" s="248"/>
      <c r="E11" s="248"/>
      <c r="F11" s="248"/>
      <c r="G11" s="248"/>
      <c r="I11" s="640"/>
    </row>
    <row r="12" spans="1:9" s="166" customFormat="1" ht="12.75" customHeight="1" x14ac:dyDescent="0.3">
      <c r="A12" s="856" t="s">
        <v>620</v>
      </c>
      <c r="B12" s="856"/>
      <c r="C12" s="856"/>
      <c r="D12" s="856"/>
      <c r="E12" s="856"/>
      <c r="F12" s="856"/>
      <c r="G12" s="856"/>
      <c r="H12" s="856"/>
      <c r="I12" s="856"/>
    </row>
    <row r="13" spans="1:9" s="166" customFormat="1" ht="12.75" customHeight="1" x14ac:dyDescent="0.3">
      <c r="A13" s="856"/>
      <c r="B13" s="856"/>
      <c r="C13" s="856"/>
      <c r="D13" s="856"/>
      <c r="E13" s="856"/>
      <c r="F13" s="856"/>
      <c r="G13" s="856"/>
      <c r="H13" s="856"/>
      <c r="I13" s="856"/>
    </row>
    <row r="14" spans="1:9" s="166" customFormat="1" ht="12.75" customHeight="1" x14ac:dyDescent="0.3">
      <c r="A14" s="856"/>
      <c r="B14" s="856"/>
      <c r="C14" s="856"/>
      <c r="D14" s="856"/>
      <c r="E14" s="856"/>
      <c r="F14" s="856"/>
      <c r="G14" s="856"/>
      <c r="H14" s="856"/>
      <c r="I14" s="856"/>
    </row>
    <row r="15" spans="1:9" s="166" customFormat="1" x14ac:dyDescent="0.3">
      <c r="A15" s="168"/>
      <c r="B15" s="168"/>
      <c r="D15" s="248"/>
      <c r="E15" s="248"/>
      <c r="F15" s="248"/>
      <c r="G15" s="171"/>
      <c r="I15" s="171" t="s">
        <v>1</v>
      </c>
    </row>
    <row r="16" spans="1:9" ht="35.25" customHeight="1" x14ac:dyDescent="0.3">
      <c r="A16" s="361" t="s">
        <v>555</v>
      </c>
      <c r="B16" s="361" t="s">
        <v>637</v>
      </c>
      <c r="C16" s="361" t="s">
        <v>561</v>
      </c>
      <c r="D16" s="563" t="s">
        <v>824</v>
      </c>
      <c r="E16" s="563" t="s">
        <v>825</v>
      </c>
      <c r="F16" s="563" t="s">
        <v>856</v>
      </c>
      <c r="G16" s="246" t="s">
        <v>798</v>
      </c>
      <c r="H16" s="567" t="s">
        <v>826</v>
      </c>
      <c r="I16" s="637" t="s">
        <v>827</v>
      </c>
    </row>
    <row r="17" spans="1:9" ht="18" customHeight="1" x14ac:dyDescent="0.3">
      <c r="A17" s="362" t="s">
        <v>10</v>
      </c>
      <c r="B17" s="363" t="s">
        <v>621</v>
      </c>
      <c r="C17" s="364">
        <v>677160</v>
      </c>
      <c r="D17" s="249">
        <v>112860</v>
      </c>
      <c r="E17" s="249">
        <v>6364840</v>
      </c>
      <c r="F17" s="249">
        <f>G17-C17-D17-E17</f>
        <v>5964000</v>
      </c>
      <c r="G17" s="249">
        <v>13118860</v>
      </c>
      <c r="H17" s="250">
        <v>13118860</v>
      </c>
      <c r="I17" s="641">
        <f>H17/G17</f>
        <v>1</v>
      </c>
    </row>
    <row r="18" spans="1:9" ht="18" customHeight="1" x14ac:dyDescent="0.3">
      <c r="A18" s="362" t="s">
        <v>13</v>
      </c>
      <c r="B18" s="363" t="s">
        <v>647</v>
      </c>
      <c r="C18" s="364"/>
      <c r="D18" s="249"/>
      <c r="E18" s="249">
        <f t="shared" ref="E18:F19" si="4">G18-C18-D18</f>
        <v>0</v>
      </c>
      <c r="F18" s="249">
        <f>G18-C18-D18-E18</f>
        <v>0</v>
      </c>
      <c r="G18" s="249"/>
      <c r="H18" s="250"/>
      <c r="I18" s="641" t="s">
        <v>801</v>
      </c>
    </row>
    <row r="19" spans="1:9" ht="18" customHeight="1" x14ac:dyDescent="0.3">
      <c r="A19" s="365" t="s">
        <v>16</v>
      </c>
      <c r="B19" s="366" t="s">
        <v>535</v>
      </c>
      <c r="C19" s="367">
        <f>SUM(C17:C18)</f>
        <v>677160</v>
      </c>
      <c r="D19" s="367">
        <f t="shared" ref="D19:H19" si="5">SUM(D17:D18)</f>
        <v>112860</v>
      </c>
      <c r="E19" s="249">
        <f t="shared" si="4"/>
        <v>12328840</v>
      </c>
      <c r="F19" s="249">
        <f t="shared" si="4"/>
        <v>677160</v>
      </c>
      <c r="G19" s="367">
        <f t="shared" si="5"/>
        <v>13118860</v>
      </c>
      <c r="H19" s="367">
        <f t="shared" si="5"/>
        <v>13118860</v>
      </c>
      <c r="I19" s="641">
        <f t="shared" ref="I19:I20" si="6">H19/G19</f>
        <v>1</v>
      </c>
    </row>
    <row r="20" spans="1:9" s="166" customFormat="1" ht="18.75" customHeight="1" x14ac:dyDescent="0.3">
      <c r="A20" s="816" t="s">
        <v>19</v>
      </c>
      <c r="B20" s="817" t="s">
        <v>968</v>
      </c>
      <c r="C20" s="818">
        <f>C10+C19</f>
        <v>66820160</v>
      </c>
      <c r="D20" s="818">
        <f t="shared" ref="D20:H20" si="7">D10+D19</f>
        <v>6876689</v>
      </c>
      <c r="E20" s="818">
        <f t="shared" si="7"/>
        <v>-2398818</v>
      </c>
      <c r="F20" s="818">
        <f t="shared" si="7"/>
        <v>16417223</v>
      </c>
      <c r="G20" s="818">
        <f t="shared" si="7"/>
        <v>87038094</v>
      </c>
      <c r="H20" s="818">
        <f t="shared" si="7"/>
        <v>86882306</v>
      </c>
      <c r="I20" s="641">
        <f t="shared" si="6"/>
        <v>0.99821011705518281</v>
      </c>
    </row>
  </sheetData>
  <mergeCells count="2">
    <mergeCell ref="A1:I1"/>
    <mergeCell ref="A12:I14"/>
  </mergeCells>
  <printOptions horizontalCentered="1"/>
  <pageMargins left="0.25" right="0.25" top="0.75" bottom="0.75" header="0.3" footer="0.3"/>
  <pageSetup paperSize="9" scale="95" orientation="landscape" r:id="rId1"/>
  <headerFooter>
    <oddHeader>&amp;R&amp;"Times New Roman CE,Félkövér dőlt"&amp;11 6. melléklet a 4/2018.(III.19.)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view="pageLayout" topLeftCell="G1" zoomScaleNormal="89" workbookViewId="0">
      <selection sqref="A1:L1"/>
    </sheetView>
  </sheetViews>
  <sheetFormatPr defaultColWidth="9.296875" defaultRowHeight="15.5" x14ac:dyDescent="0.35"/>
  <cols>
    <col min="1" max="1" width="38" style="36" customWidth="1"/>
    <col min="2" max="2" width="17" style="36" customWidth="1"/>
    <col min="3" max="3" width="13" style="36" customWidth="1"/>
    <col min="4" max="4" width="17" style="36" customWidth="1"/>
    <col min="5" max="5" width="12.69921875" style="36" customWidth="1"/>
    <col min="6" max="6" width="17" style="36" customWidth="1"/>
    <col min="7" max="7" width="12.296875" style="36" customWidth="1"/>
    <col min="8" max="8" width="17" style="36" customWidth="1"/>
    <col min="9" max="9" width="12.296875" style="36" customWidth="1"/>
    <col min="10" max="10" width="16" style="36" customWidth="1"/>
    <col min="11" max="11" width="12" style="36" customWidth="1"/>
    <col min="12" max="12" width="17" style="36" customWidth="1"/>
    <col min="13" max="13" width="12.796875" style="36" customWidth="1"/>
    <col min="14" max="14" width="13.69921875" style="36" customWidth="1"/>
    <col min="15" max="16" width="12" style="36" customWidth="1"/>
    <col min="17" max="16384" width="9.296875" style="36"/>
  </cols>
  <sheetData>
    <row r="1" spans="1:19" ht="57.75" customHeight="1" x14ac:dyDescent="0.35">
      <c r="A1" s="857" t="s">
        <v>821</v>
      </c>
      <c r="B1" s="857"/>
      <c r="C1" s="857"/>
      <c r="D1" s="857"/>
      <c r="E1" s="857"/>
      <c r="F1" s="857"/>
      <c r="G1" s="857"/>
      <c r="H1" s="857"/>
      <c r="I1" s="857"/>
      <c r="J1" s="857"/>
      <c r="K1" s="857"/>
      <c r="L1" s="857"/>
      <c r="M1" s="43"/>
      <c r="N1" s="43"/>
      <c r="O1" s="43"/>
      <c r="P1" s="43"/>
    </row>
    <row r="2" spans="1:19" ht="15" customHeight="1" x14ac:dyDescent="0.3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858"/>
      <c r="P2" s="858"/>
      <c r="Q2" s="37"/>
    </row>
    <row r="3" spans="1:19" ht="16.5" customHeight="1" x14ac:dyDescent="0.35">
      <c r="A3" s="41"/>
      <c r="B3" s="754"/>
      <c r="C3" s="754"/>
      <c r="D3" s="754"/>
      <c r="E3" s="754"/>
      <c r="F3" s="754"/>
      <c r="G3" s="754"/>
      <c r="H3" s="754"/>
      <c r="I3" s="754"/>
      <c r="J3" s="754"/>
      <c r="K3" s="38"/>
      <c r="L3" s="44" t="s">
        <v>1</v>
      </c>
      <c r="M3" s="38"/>
      <c r="N3" s="42"/>
      <c r="O3" s="42"/>
      <c r="P3" s="42"/>
      <c r="Q3" s="37"/>
      <c r="R3" s="37"/>
      <c r="S3" s="37"/>
    </row>
    <row r="4" spans="1:19" ht="30" customHeight="1" x14ac:dyDescent="0.35">
      <c r="A4" s="859" t="s">
        <v>267</v>
      </c>
      <c r="B4" s="861" t="s">
        <v>669</v>
      </c>
      <c r="C4" s="861"/>
      <c r="D4" s="861" t="s">
        <v>671</v>
      </c>
      <c r="E4" s="861"/>
      <c r="F4" s="861" t="s">
        <v>672</v>
      </c>
      <c r="G4" s="862"/>
      <c r="H4" s="863" t="s">
        <v>425</v>
      </c>
      <c r="I4" s="864"/>
      <c r="J4" s="863" t="s">
        <v>540</v>
      </c>
      <c r="K4" s="864"/>
      <c r="L4" s="863" t="s">
        <v>421</v>
      </c>
      <c r="M4" s="38"/>
      <c r="N4" s="39"/>
      <c r="O4" s="39"/>
      <c r="P4" s="42"/>
      <c r="Q4" s="37"/>
      <c r="R4" s="37"/>
      <c r="S4" s="37"/>
    </row>
    <row r="5" spans="1:19" ht="62.25" customHeight="1" x14ac:dyDescent="0.35">
      <c r="A5" s="860"/>
      <c r="B5" s="368" t="s">
        <v>668</v>
      </c>
      <c r="C5" s="368" t="s">
        <v>423</v>
      </c>
      <c r="D5" s="368" t="s">
        <v>667</v>
      </c>
      <c r="E5" s="368" t="s">
        <v>423</v>
      </c>
      <c r="F5" s="369" t="s">
        <v>422</v>
      </c>
      <c r="G5" s="368" t="s">
        <v>423</v>
      </c>
      <c r="H5" s="368" t="s">
        <v>426</v>
      </c>
      <c r="I5" s="368" t="s">
        <v>423</v>
      </c>
      <c r="J5" s="368" t="s">
        <v>670</v>
      </c>
      <c r="K5" s="368" t="s">
        <v>423</v>
      </c>
      <c r="L5" s="864"/>
      <c r="M5" s="40"/>
      <c r="N5" s="40"/>
      <c r="O5" s="40"/>
      <c r="P5" s="42"/>
      <c r="Q5" s="37"/>
      <c r="R5" s="37"/>
      <c r="S5" s="37"/>
    </row>
    <row r="6" spans="1:19" s="538" customFormat="1" ht="32.25" customHeight="1" x14ac:dyDescent="0.35">
      <c r="A6" s="535" t="s">
        <v>427</v>
      </c>
      <c r="B6" s="655">
        <v>640402</v>
      </c>
      <c r="C6" s="751">
        <f>ROUND(B6/L6*100,1)</f>
        <v>2.2000000000000002</v>
      </c>
      <c r="D6" s="655">
        <v>19921514</v>
      </c>
      <c r="E6" s="751">
        <f>ROUND(D6/L6*100,1)</f>
        <v>69.8</v>
      </c>
      <c r="F6" s="655">
        <v>700000</v>
      </c>
      <c r="G6" s="751">
        <f>ROUND((F6/L6)*100,1)</f>
        <v>2.5</v>
      </c>
      <c r="H6" s="655">
        <v>7273777</v>
      </c>
      <c r="I6" s="751">
        <f>ROUND((H6/L6)*100,1)</f>
        <v>25.5</v>
      </c>
      <c r="J6" s="752">
        <v>0</v>
      </c>
      <c r="K6" s="537">
        <f>J6/L6*100</f>
        <v>0</v>
      </c>
      <c r="L6" s="536">
        <f>B6+D6+F6+H6+J6</f>
        <v>28535693</v>
      </c>
    </row>
    <row r="7" spans="1:19" s="539" customFormat="1" ht="32.25" customHeight="1" x14ac:dyDescent="0.3">
      <c r="A7" s="669" t="s">
        <v>798</v>
      </c>
      <c r="B7" s="668">
        <v>7426113</v>
      </c>
      <c r="C7" s="751">
        <f t="shared" ref="C7:C18" si="0">ROUND(B7/L7*100,1)</f>
        <v>18.7</v>
      </c>
      <c r="D7" s="668">
        <v>27984874</v>
      </c>
      <c r="E7" s="751">
        <f t="shared" ref="E7:E18" si="1">ROUND(D7/L7*100,1)</f>
        <v>70.599999999999994</v>
      </c>
      <c r="F7" s="668">
        <v>1065071</v>
      </c>
      <c r="G7" s="751">
        <f t="shared" ref="G7:G18" si="2">ROUND((F7/L7)*100,1)</f>
        <v>2.7</v>
      </c>
      <c r="H7" s="668">
        <v>2374373</v>
      </c>
      <c r="I7" s="751">
        <f t="shared" ref="I7:I18" si="3">ROUND((H7/L7)*100,1)</f>
        <v>6</v>
      </c>
      <c r="J7" s="668">
        <f t="shared" ref="J7" si="4">J8-J6</f>
        <v>788326</v>
      </c>
      <c r="K7" s="537">
        <f t="shared" ref="K7:K18" si="5">J7/L7*100</f>
        <v>1.9887757832567756</v>
      </c>
      <c r="L7" s="371">
        <f>B7+D7+F7+H7+J7</f>
        <v>39638757</v>
      </c>
    </row>
    <row r="8" spans="1:19" s="654" customFormat="1" ht="32.25" customHeight="1" x14ac:dyDescent="0.35">
      <c r="A8" s="670" t="s">
        <v>826</v>
      </c>
      <c r="B8" s="671">
        <v>3900861</v>
      </c>
      <c r="C8" s="751">
        <f t="shared" si="0"/>
        <v>11.6</v>
      </c>
      <c r="D8" s="671">
        <v>27984874</v>
      </c>
      <c r="E8" s="751">
        <f t="shared" si="1"/>
        <v>83.4</v>
      </c>
      <c r="F8" s="671">
        <v>1065071</v>
      </c>
      <c r="G8" s="751">
        <f t="shared" si="2"/>
        <v>3.2</v>
      </c>
      <c r="H8" s="671">
        <v>-176188</v>
      </c>
      <c r="I8" s="751">
        <f t="shared" si="3"/>
        <v>-0.5</v>
      </c>
      <c r="J8" s="753">
        <v>788326</v>
      </c>
      <c r="K8" s="537">
        <f t="shared" si="5"/>
        <v>2.3487987227818872</v>
      </c>
      <c r="L8" s="652">
        <f>B8+D8+F8+H8+J8</f>
        <v>33562944</v>
      </c>
    </row>
    <row r="9" spans="1:19" s="538" customFormat="1" ht="27" customHeight="1" x14ac:dyDescent="0.35">
      <c r="A9" s="672" t="s">
        <v>400</v>
      </c>
      <c r="B9" s="655"/>
      <c r="C9" s="751">
        <f t="shared" si="0"/>
        <v>0</v>
      </c>
      <c r="D9" s="655">
        <v>205235924</v>
      </c>
      <c r="E9" s="751">
        <f t="shared" si="1"/>
        <v>73.3</v>
      </c>
      <c r="F9" s="655">
        <v>6620344</v>
      </c>
      <c r="G9" s="751">
        <f t="shared" si="2"/>
        <v>2.4</v>
      </c>
      <c r="H9" s="655">
        <v>68115247</v>
      </c>
      <c r="I9" s="751">
        <f t="shared" si="3"/>
        <v>24.3</v>
      </c>
      <c r="J9" s="752"/>
      <c r="K9" s="537">
        <f t="shared" si="5"/>
        <v>0</v>
      </c>
      <c r="L9" s="536">
        <f t="shared" ref="L9:L14" si="6">B9+D9+F9+H9+J9</f>
        <v>279971515</v>
      </c>
    </row>
    <row r="10" spans="1:19" s="539" customFormat="1" ht="27" customHeight="1" x14ac:dyDescent="0.3">
      <c r="A10" s="650" t="s">
        <v>798</v>
      </c>
      <c r="B10" s="668">
        <v>12290500</v>
      </c>
      <c r="C10" s="751">
        <f t="shared" si="0"/>
        <v>4.0999999999999996</v>
      </c>
      <c r="D10" s="668">
        <v>204955000</v>
      </c>
      <c r="E10" s="751">
        <f t="shared" si="1"/>
        <v>68.8</v>
      </c>
      <c r="F10" s="668">
        <v>7833471</v>
      </c>
      <c r="G10" s="751">
        <f t="shared" si="2"/>
        <v>2.6</v>
      </c>
      <c r="H10" s="668">
        <v>71715711</v>
      </c>
      <c r="I10" s="751">
        <f t="shared" si="3"/>
        <v>24.1</v>
      </c>
      <c r="J10" s="668">
        <f t="shared" ref="J10" si="7">J11-J9</f>
        <v>1081188</v>
      </c>
      <c r="K10" s="537">
        <f t="shared" si="5"/>
        <v>0.3629659562555369</v>
      </c>
      <c r="L10" s="371">
        <f t="shared" si="6"/>
        <v>297875870</v>
      </c>
    </row>
    <row r="11" spans="1:19" s="539" customFormat="1" ht="27" customHeight="1" x14ac:dyDescent="0.3">
      <c r="A11" s="650" t="s">
        <v>826</v>
      </c>
      <c r="B11" s="668">
        <v>12290500</v>
      </c>
      <c r="C11" s="751">
        <f t="shared" si="0"/>
        <v>4.3</v>
      </c>
      <c r="D11" s="668">
        <v>204955000</v>
      </c>
      <c r="E11" s="751">
        <f t="shared" si="1"/>
        <v>71.3</v>
      </c>
      <c r="F11" s="668">
        <v>7752178</v>
      </c>
      <c r="G11" s="751">
        <f t="shared" si="2"/>
        <v>2.7</v>
      </c>
      <c r="H11" s="668">
        <v>61301738</v>
      </c>
      <c r="I11" s="751">
        <f t="shared" si="3"/>
        <v>21.3</v>
      </c>
      <c r="J11" s="673">
        <v>1081188</v>
      </c>
      <c r="K11" s="537">
        <f t="shared" si="5"/>
        <v>0.37622163254970398</v>
      </c>
      <c r="L11" s="371">
        <f t="shared" si="6"/>
        <v>287380604</v>
      </c>
    </row>
    <row r="12" spans="1:19" s="654" customFormat="1" ht="40.5" customHeight="1" x14ac:dyDescent="0.35">
      <c r="A12" s="651" t="s">
        <v>839</v>
      </c>
      <c r="B12" s="652">
        <f>B11+B8</f>
        <v>16191361</v>
      </c>
      <c r="C12" s="537">
        <f t="shared" si="0"/>
        <v>5</v>
      </c>
      <c r="D12" s="653">
        <f t="shared" ref="D12:J12" si="8">D11+D8</f>
        <v>232939874</v>
      </c>
      <c r="E12" s="537">
        <f t="shared" si="1"/>
        <v>72.599999999999994</v>
      </c>
      <c r="F12" s="652">
        <f t="shared" si="8"/>
        <v>8817249</v>
      </c>
      <c r="G12" s="537">
        <f t="shared" si="2"/>
        <v>2.7</v>
      </c>
      <c r="H12" s="652">
        <f t="shared" si="8"/>
        <v>61125550</v>
      </c>
      <c r="I12" s="537">
        <f t="shared" si="3"/>
        <v>19</v>
      </c>
      <c r="J12" s="652">
        <f t="shared" si="8"/>
        <v>1869514</v>
      </c>
      <c r="K12" s="537">
        <f t="shared" si="5"/>
        <v>0.58250555639772517</v>
      </c>
      <c r="L12" s="536">
        <f t="shared" si="6"/>
        <v>320943548</v>
      </c>
    </row>
    <row r="13" spans="1:19" s="654" customFormat="1" ht="40.5" customHeight="1" x14ac:dyDescent="0.35">
      <c r="A13" s="651" t="s">
        <v>840</v>
      </c>
      <c r="B13" s="652">
        <f>B10+B7</f>
        <v>19716613</v>
      </c>
      <c r="C13" s="537">
        <f t="shared" si="0"/>
        <v>5.8</v>
      </c>
      <c r="D13" s="652">
        <f t="shared" ref="D13:L13" si="9">D10+D7</f>
        <v>232939874</v>
      </c>
      <c r="E13" s="537">
        <f t="shared" si="1"/>
        <v>69</v>
      </c>
      <c r="F13" s="652">
        <f t="shared" si="9"/>
        <v>8898542</v>
      </c>
      <c r="G13" s="537">
        <f t="shared" si="2"/>
        <v>2.6</v>
      </c>
      <c r="H13" s="652">
        <f t="shared" si="9"/>
        <v>74090084</v>
      </c>
      <c r="I13" s="537">
        <f t="shared" si="3"/>
        <v>22</v>
      </c>
      <c r="J13" s="652">
        <f t="shared" si="9"/>
        <v>1869514</v>
      </c>
      <c r="K13" s="537">
        <f t="shared" si="5"/>
        <v>0.55390606819537935</v>
      </c>
      <c r="L13" s="652">
        <f t="shared" si="9"/>
        <v>337514627</v>
      </c>
    </row>
    <row r="14" spans="1:19" s="538" customFormat="1" ht="42.75" customHeight="1" x14ac:dyDescent="0.35">
      <c r="A14" s="674" t="s">
        <v>822</v>
      </c>
      <c r="B14" s="655">
        <v>160083665</v>
      </c>
      <c r="C14" s="537">
        <f t="shared" si="0"/>
        <v>7.9</v>
      </c>
      <c r="D14" s="655">
        <v>622010013</v>
      </c>
      <c r="E14" s="537">
        <f t="shared" si="1"/>
        <v>30.8</v>
      </c>
      <c r="F14" s="655">
        <f>751000000+177316572+2160072</f>
        <v>930476644</v>
      </c>
      <c r="G14" s="537">
        <f t="shared" si="2"/>
        <v>46.1</v>
      </c>
      <c r="H14" s="655"/>
      <c r="I14" s="537">
        <f t="shared" si="3"/>
        <v>0</v>
      </c>
      <c r="J14" s="755">
        <v>304494626</v>
      </c>
      <c r="K14" s="537">
        <f t="shared" si="5"/>
        <v>15.095925706404175</v>
      </c>
      <c r="L14" s="655">
        <f t="shared" si="6"/>
        <v>2017064948</v>
      </c>
    </row>
    <row r="15" spans="1:19" s="539" customFormat="1" ht="42.75" customHeight="1" x14ac:dyDescent="0.3">
      <c r="A15" s="370" t="s">
        <v>798</v>
      </c>
      <c r="B15" s="668">
        <v>3624772</v>
      </c>
      <c r="C15" s="537">
        <f t="shared" si="0"/>
        <v>0.1</v>
      </c>
      <c r="D15" s="668">
        <v>3907418047</v>
      </c>
      <c r="E15" s="537">
        <f t="shared" si="1"/>
        <v>73.400000000000006</v>
      </c>
      <c r="F15" s="668">
        <v>1005046648</v>
      </c>
      <c r="G15" s="537">
        <f t="shared" si="2"/>
        <v>18.899999999999999</v>
      </c>
      <c r="H15" s="668">
        <f>H16-H14</f>
        <v>0</v>
      </c>
      <c r="I15" s="537">
        <f t="shared" si="3"/>
        <v>0</v>
      </c>
      <c r="J15" s="668">
        <v>409654408</v>
      </c>
      <c r="K15" s="537">
        <f t="shared" si="5"/>
        <v>7.6919659978954584</v>
      </c>
      <c r="L15" s="668">
        <f t="shared" ref="L15:L16" si="10">B15+D15+F15+H15+J15</f>
        <v>5325743875</v>
      </c>
    </row>
    <row r="16" spans="1:19" s="539" customFormat="1" ht="42.75" customHeight="1" x14ac:dyDescent="0.3">
      <c r="A16" s="370" t="s">
        <v>826</v>
      </c>
      <c r="B16" s="668">
        <v>3614595</v>
      </c>
      <c r="C16" s="537">
        <f t="shared" si="0"/>
        <v>0.1</v>
      </c>
      <c r="D16" s="668">
        <v>3905867492</v>
      </c>
      <c r="E16" s="537">
        <f t="shared" si="1"/>
        <v>73.400000000000006</v>
      </c>
      <c r="F16" s="668">
        <v>1001359103</v>
      </c>
      <c r="G16" s="537">
        <f t="shared" si="2"/>
        <v>18.8</v>
      </c>
      <c r="H16" s="668"/>
      <c r="I16" s="537">
        <f t="shared" si="3"/>
        <v>0</v>
      </c>
      <c r="J16" s="673">
        <v>409654408</v>
      </c>
      <c r="K16" s="537">
        <f t="shared" si="5"/>
        <v>7.6995535557625701</v>
      </c>
      <c r="L16" s="668">
        <f t="shared" si="10"/>
        <v>5320495598</v>
      </c>
    </row>
    <row r="17" spans="1:12" s="539" customFormat="1" ht="65.25" customHeight="1" x14ac:dyDescent="0.3">
      <c r="A17" s="370" t="s">
        <v>841</v>
      </c>
      <c r="B17" s="668">
        <f>B16+B12</f>
        <v>19805956</v>
      </c>
      <c r="C17" s="537">
        <f t="shared" si="0"/>
        <v>0.4</v>
      </c>
      <c r="D17" s="668">
        <f>D16+D12</f>
        <v>4138807366</v>
      </c>
      <c r="E17" s="537">
        <f t="shared" si="1"/>
        <v>73.400000000000006</v>
      </c>
      <c r="F17" s="668">
        <f>F16+F12</f>
        <v>1010176352</v>
      </c>
      <c r="G17" s="537">
        <f t="shared" si="2"/>
        <v>17.899999999999999</v>
      </c>
      <c r="H17" s="668">
        <f>H16+H12</f>
        <v>61125550</v>
      </c>
      <c r="I17" s="537">
        <f t="shared" si="3"/>
        <v>1.1000000000000001</v>
      </c>
      <c r="J17" s="668">
        <f>J16+J12</f>
        <v>411523922</v>
      </c>
      <c r="K17" s="537">
        <f t="shared" si="5"/>
        <v>7.2946620773492965</v>
      </c>
      <c r="L17" s="668">
        <f>L16+L12</f>
        <v>5641439146</v>
      </c>
    </row>
    <row r="18" spans="1:12" ht="56" x14ac:dyDescent="0.35">
      <c r="A18" s="370" t="s">
        <v>842</v>
      </c>
      <c r="B18" s="668">
        <f>B15+B13</f>
        <v>23341385</v>
      </c>
      <c r="C18" s="537">
        <f t="shared" si="0"/>
        <v>0.4</v>
      </c>
      <c r="D18" s="668">
        <f t="shared" ref="D18:J18" si="11">D15+D13</f>
        <v>4140357921</v>
      </c>
      <c r="E18" s="537">
        <f t="shared" si="1"/>
        <v>73.099999999999994</v>
      </c>
      <c r="F18" s="668">
        <f t="shared" si="11"/>
        <v>1013945190</v>
      </c>
      <c r="G18" s="537">
        <f t="shared" si="2"/>
        <v>17.899999999999999</v>
      </c>
      <c r="H18" s="668">
        <f t="shared" si="11"/>
        <v>74090084</v>
      </c>
      <c r="I18" s="537">
        <f t="shared" si="3"/>
        <v>1.3</v>
      </c>
      <c r="J18" s="668">
        <f t="shared" si="11"/>
        <v>411523922</v>
      </c>
      <c r="K18" s="537">
        <f t="shared" si="5"/>
        <v>7.2665572630080169</v>
      </c>
      <c r="L18" s="668">
        <f>L15+L13</f>
        <v>5663258502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25" right="0.25" top="0.75" bottom="0.75" header="0.3" footer="0.3"/>
  <pageSetup paperSize="9" scale="63" orientation="landscape" r:id="rId1"/>
  <headerFooter alignWithMargins="0">
    <oddHeader>&amp;R&amp;"Times New Roman CE,Félkövér dőlt"&amp;11 7. melléklet a 4/2018. (III.19.)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10</vt:i4>
      </vt:variant>
    </vt:vector>
  </HeadingPairs>
  <TitlesOfParts>
    <vt:vector size="37" baseType="lpstr">
      <vt:lpstr>Címrend</vt:lpstr>
      <vt:lpstr>1.sz.mell.</vt:lpstr>
      <vt:lpstr>2.1.sz.mell  </vt:lpstr>
      <vt:lpstr>2.2.sz.mell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9.1-2 mell.össz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Munka1</vt:lpstr>
      <vt:lpstr>'1.sz.mell.'!Nyomtatási_cím</vt:lpstr>
      <vt:lpstr>'3.sz.mell'!Nyomtatási_cím</vt:lpstr>
      <vt:lpstr>'9.sz.mell.'!Nyomtatási_cím</vt:lpstr>
      <vt:lpstr>'10.sz.mell'!Nyomtatási_terület</vt:lpstr>
      <vt:lpstr>'15.sz.mell'!Nyomtatási_terület</vt:lpstr>
      <vt:lpstr>'2.1.sz.mell  '!Nyomtatási_terület</vt:lpstr>
      <vt:lpstr>'2.2.sz.mell  '!Nyomtatási_terület</vt:lpstr>
      <vt:lpstr>'4. sz.mell'!Nyomtatási_terület</vt:lpstr>
      <vt:lpstr>'6.sz.mell'!Nyomtatási_terület</vt:lpstr>
      <vt:lpstr>'9.1-2 mell.össz'!Nyomtatási_terület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2018-03-19T08:20:55Z</cp:lastPrinted>
  <dcterms:created xsi:type="dcterms:W3CDTF">2017-01-30T13:11:32Z</dcterms:created>
  <dcterms:modified xsi:type="dcterms:W3CDTF">2018-03-19T08:23:04Z</dcterms:modified>
</cp:coreProperties>
</file>