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cuments\ktg vet rend mod  intézm\2020\június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20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state="hidden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3" sheetId="78" state="hidden" r:id="rId23"/>
    <sheet name="Munka6" sheetId="77" state="hidden" r:id="rId24"/>
    <sheet name="likvid" sheetId="24" state="hidden" r:id="rId25"/>
    <sheet name="Munka1" sheetId="73" state="hidden" r:id="rId26"/>
    <sheet name="létszám" sheetId="79" r:id="rId27"/>
    <sheet name="2019 évi létszám" sheetId="68" state="hidden" r:id="rId28"/>
    <sheet name="Kötváll Ph." sheetId="65" state="hidden" r:id="rId29"/>
    <sheet name="Kötváll Önk" sheetId="66" state="hidden" r:id="rId30"/>
    <sheet name="kötváll. " sheetId="56" state="hidden" r:id="rId31"/>
    <sheet name="közvetett t." sheetId="54" state="hidden" r:id="rId32"/>
    <sheet name="hitelállomány " sheetId="55" state="hidden" r:id="rId33"/>
  </sheets>
  <definedNames>
    <definedName name="Excel_BuiltIn_Print_Titles" localSheetId="27">#REF!</definedName>
    <definedName name="Excel_BuiltIn_Print_Titles" localSheetId="16">'ellátottak önk.'!$B$8:$IM$9</definedName>
    <definedName name="Excel_BuiltIn_Print_Titles">#REF!</definedName>
    <definedName name="_xlnm.Print_Titles" localSheetId="27">'2019 évi létszám'!$5:$8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30">'kötváll. '!$7:$8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D27" i="48" l="1"/>
  <c r="E27" i="48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D60" i="15"/>
  <c r="R59" i="15"/>
  <c r="R57" i="15"/>
  <c r="R58" i="15"/>
  <c r="R56" i="15"/>
  <c r="R55" i="15"/>
  <c r="D25" i="10"/>
  <c r="F107" i="8"/>
  <c r="G107" i="8"/>
  <c r="H107" i="8"/>
  <c r="I107" i="8"/>
  <c r="E107" i="8"/>
  <c r="H105" i="8"/>
  <c r="G105" i="8"/>
  <c r="H70" i="8"/>
  <c r="G70" i="8"/>
  <c r="I69" i="8"/>
  <c r="G69" i="8"/>
  <c r="F59" i="8"/>
  <c r="G57" i="8"/>
  <c r="H57" i="8" s="1"/>
  <c r="E59" i="8"/>
  <c r="G56" i="8"/>
  <c r="H56" i="8" s="1"/>
  <c r="F49" i="8"/>
  <c r="G47" i="8"/>
  <c r="H47" i="8"/>
  <c r="E49" i="8"/>
  <c r="G46" i="8"/>
  <c r="H46" i="8" s="1"/>
  <c r="G45" i="8"/>
  <c r="H45" i="8"/>
  <c r="G36" i="8"/>
  <c r="H36" i="8" s="1"/>
  <c r="F22" i="8"/>
  <c r="I22" i="8"/>
  <c r="E22" i="8"/>
  <c r="G20" i="8"/>
  <c r="H20" i="8" s="1"/>
  <c r="G41" i="7"/>
  <c r="F21" i="7"/>
  <c r="G20" i="7"/>
  <c r="G21" i="7"/>
  <c r="E31" i="6"/>
  <c r="F31" i="6"/>
  <c r="F29" i="6"/>
  <c r="F30" i="6"/>
  <c r="D31" i="6"/>
  <c r="E32" i="5"/>
  <c r="D11" i="5"/>
  <c r="C11" i="5"/>
  <c r="H59" i="8" l="1"/>
  <c r="E16" i="5"/>
  <c r="E15" i="5"/>
  <c r="AC20" i="79" l="1"/>
  <c r="Y20" i="79"/>
  <c r="AA104" i="79" l="1"/>
  <c r="AA102" i="79"/>
  <c r="Y102" i="79"/>
  <c r="T102" i="79"/>
  <c r="T21" i="79"/>
  <c r="AA21" i="79"/>
  <c r="AC17" i="79"/>
  <c r="AC18" i="79"/>
  <c r="AC19" i="79"/>
  <c r="AC21" i="79"/>
  <c r="AC16" i="79"/>
  <c r="V16" i="79"/>
  <c r="O16" i="79"/>
  <c r="P90" i="79" l="1"/>
  <c r="Q90" i="79"/>
  <c r="S90" i="79"/>
  <c r="U90" i="79"/>
  <c r="W90" i="79"/>
  <c r="X90" i="79"/>
  <c r="Z90" i="79"/>
  <c r="AB90" i="79"/>
  <c r="M90" i="79"/>
  <c r="AC86" i="79"/>
  <c r="O73" i="79" l="1"/>
  <c r="V73" i="79" s="1"/>
  <c r="AC73" i="79" s="1"/>
  <c r="O72" i="79"/>
  <c r="V72" i="79" s="1"/>
  <c r="AC72" i="79" s="1"/>
  <c r="O71" i="79"/>
  <c r="V71" i="79" s="1"/>
  <c r="AC71" i="79" s="1"/>
  <c r="O65" i="79"/>
  <c r="G44" i="8" l="1"/>
  <c r="H44" i="8" s="1"/>
  <c r="S104" i="79" l="1"/>
  <c r="AB12" i="79"/>
  <c r="AB104" i="79" s="1"/>
  <c r="Z12" i="79"/>
  <c r="Z104" i="79" s="1"/>
  <c r="J12" i="79"/>
  <c r="H104" i="79"/>
  <c r="I104" i="79"/>
  <c r="E17" i="10" l="1"/>
  <c r="Y79" i="79" l="1"/>
  <c r="V79" i="79"/>
  <c r="AC79" i="79" s="1"/>
  <c r="E104" i="79"/>
  <c r="L102" i="79"/>
  <c r="L104" i="79" s="1"/>
  <c r="K102" i="79"/>
  <c r="K104" i="79" s="1"/>
  <c r="J102" i="79"/>
  <c r="G102" i="79"/>
  <c r="G104" i="79" s="1"/>
  <c r="D102" i="79"/>
  <c r="C102" i="79"/>
  <c r="C104" i="79" s="1"/>
  <c r="X99" i="79"/>
  <c r="W99" i="79"/>
  <c r="Q99" i="79"/>
  <c r="P99" i="79"/>
  <c r="M99" i="79"/>
  <c r="R98" i="79"/>
  <c r="Y98" i="79" s="1"/>
  <c r="O98" i="79"/>
  <c r="R97" i="79"/>
  <c r="O97" i="79"/>
  <c r="R96" i="79"/>
  <c r="V96" i="79" s="1"/>
  <c r="AC96" i="79" s="1"/>
  <c r="O96" i="79"/>
  <c r="R95" i="79"/>
  <c r="Y95" i="79" s="1"/>
  <c r="O95" i="79"/>
  <c r="V95" i="79" s="1"/>
  <c r="R89" i="79"/>
  <c r="R90" i="79" s="1"/>
  <c r="O89" i="79"/>
  <c r="V89" i="79" s="1"/>
  <c r="AC89" i="79" s="1"/>
  <c r="Y88" i="79"/>
  <c r="O88" i="79"/>
  <c r="V88" i="79" s="1"/>
  <c r="AC88" i="79" s="1"/>
  <c r="Y85" i="79"/>
  <c r="O85" i="79"/>
  <c r="V85" i="79" s="1"/>
  <c r="AC85" i="79" s="1"/>
  <c r="Y84" i="79"/>
  <c r="O84" i="79"/>
  <c r="V84" i="79" s="1"/>
  <c r="AC84" i="79" s="1"/>
  <c r="Y80" i="79"/>
  <c r="V80" i="79"/>
  <c r="AC80" i="79" s="1"/>
  <c r="Y78" i="79"/>
  <c r="O78" i="79"/>
  <c r="V78" i="79" s="1"/>
  <c r="AC78" i="79" s="1"/>
  <c r="Y70" i="79"/>
  <c r="O70" i="79"/>
  <c r="V70" i="79" s="1"/>
  <c r="AC70" i="79" s="1"/>
  <c r="O69" i="79"/>
  <c r="V69" i="79" s="1"/>
  <c r="AC69" i="79" s="1"/>
  <c r="Y68" i="79"/>
  <c r="O68" i="79"/>
  <c r="V68" i="79" s="1"/>
  <c r="AC68" i="79" s="1"/>
  <c r="Y67" i="79"/>
  <c r="O67" i="79"/>
  <c r="O60" i="79"/>
  <c r="O59" i="79"/>
  <c r="O58" i="79"/>
  <c r="O57" i="79"/>
  <c r="O56" i="79"/>
  <c r="O55" i="79"/>
  <c r="O54" i="79"/>
  <c r="O53" i="79"/>
  <c r="O52" i="79"/>
  <c r="O51" i="79"/>
  <c r="O50" i="79"/>
  <c r="O49" i="79"/>
  <c r="O48" i="79"/>
  <c r="O47" i="79"/>
  <c r="O46" i="79"/>
  <c r="O45" i="79"/>
  <c r="O44" i="79"/>
  <c r="O43" i="79"/>
  <c r="O42" i="79"/>
  <c r="O41" i="79"/>
  <c r="O40" i="79"/>
  <c r="O39" i="79"/>
  <c r="O38" i="79"/>
  <c r="O37" i="79"/>
  <c r="Q36" i="79"/>
  <c r="X36" i="79" s="1"/>
  <c r="P36" i="79"/>
  <c r="W36" i="79" s="1"/>
  <c r="M36" i="79"/>
  <c r="Y35" i="79"/>
  <c r="R35" i="79"/>
  <c r="O35" i="79"/>
  <c r="AC35" i="79" s="1"/>
  <c r="Y34" i="79"/>
  <c r="O34" i="79"/>
  <c r="V34" i="79" s="1"/>
  <c r="Y33" i="79"/>
  <c r="O33" i="79"/>
  <c r="V33" i="79" s="1"/>
  <c r="Y32" i="79"/>
  <c r="O32" i="79"/>
  <c r="V32" i="79" s="1"/>
  <c r="Y31" i="79"/>
  <c r="R31" i="79"/>
  <c r="O31" i="79"/>
  <c r="V31" i="79" s="1"/>
  <c r="Y30" i="79"/>
  <c r="O30" i="79"/>
  <c r="V30" i="79" s="1"/>
  <c r="Y29" i="79"/>
  <c r="R29" i="79"/>
  <c r="O29" i="79"/>
  <c r="V29" i="79" s="1"/>
  <c r="Y28" i="79"/>
  <c r="R28" i="79"/>
  <c r="O28" i="79"/>
  <c r="AC28" i="79" s="1"/>
  <c r="Y27" i="79"/>
  <c r="O27" i="79"/>
  <c r="V27" i="79" s="1"/>
  <c r="Y26" i="79"/>
  <c r="R26" i="79"/>
  <c r="O26" i="79"/>
  <c r="AC26" i="79" s="1"/>
  <c r="Y25" i="79"/>
  <c r="R25" i="79"/>
  <c r="O25" i="79"/>
  <c r="V25" i="79" s="1"/>
  <c r="M21" i="79"/>
  <c r="R21" i="79" s="1"/>
  <c r="R20" i="79"/>
  <c r="O20" i="79"/>
  <c r="V20" i="79" s="1"/>
  <c r="R19" i="79"/>
  <c r="Y19" i="79" s="1"/>
  <c r="O19" i="79"/>
  <c r="V19" i="79" s="1"/>
  <c r="R18" i="79"/>
  <c r="Y18" i="79" s="1"/>
  <c r="O18" i="79"/>
  <c r="V18" i="79" s="1"/>
  <c r="R17" i="79"/>
  <c r="Y17" i="79" s="1"/>
  <c r="O17" i="79"/>
  <c r="V17" i="79" s="1"/>
  <c r="R16" i="79"/>
  <c r="Y16" i="79" s="1"/>
  <c r="R12" i="79"/>
  <c r="V12" i="79" s="1"/>
  <c r="D12" i="79"/>
  <c r="Y10" i="79"/>
  <c r="AC10" i="79" s="1"/>
  <c r="X10" i="79"/>
  <c r="R10" i="79"/>
  <c r="F10" i="79"/>
  <c r="F104" i="79" s="1"/>
  <c r="D10" i="79"/>
  <c r="V67" i="79" l="1"/>
  <c r="O90" i="79"/>
  <c r="J104" i="79"/>
  <c r="Y89" i="79"/>
  <c r="Y90" i="79" s="1"/>
  <c r="D104" i="79"/>
  <c r="W102" i="79"/>
  <c r="W104" i="79" s="1"/>
  <c r="Y96" i="79"/>
  <c r="Y12" i="79"/>
  <c r="AC12" i="79" s="1"/>
  <c r="V10" i="79"/>
  <c r="Q102" i="79"/>
  <c r="Q104" i="79" s="1"/>
  <c r="Y36" i="79"/>
  <c r="X102" i="79"/>
  <c r="X104" i="79" s="1"/>
  <c r="R36" i="79"/>
  <c r="O36" i="79"/>
  <c r="AC36" i="79" s="1"/>
  <c r="AC33" i="79"/>
  <c r="V28" i="79"/>
  <c r="AC32" i="79"/>
  <c r="V26" i="79"/>
  <c r="AC27" i="79"/>
  <c r="AC31" i="79"/>
  <c r="V35" i="79"/>
  <c r="AC34" i="79"/>
  <c r="M102" i="79"/>
  <c r="M104" i="79" s="1"/>
  <c r="R104" i="79" s="1"/>
  <c r="AC95" i="79"/>
  <c r="Y97" i="79"/>
  <c r="V97" i="79"/>
  <c r="AC97" i="79" s="1"/>
  <c r="V21" i="79"/>
  <c r="O21" i="79"/>
  <c r="Y21" i="79"/>
  <c r="AC30" i="79"/>
  <c r="P102" i="79"/>
  <c r="P104" i="79" s="1"/>
  <c r="U104" i="79" s="1"/>
  <c r="P37" i="79"/>
  <c r="AC25" i="79"/>
  <c r="AC29" i="79"/>
  <c r="R99" i="79"/>
  <c r="V98" i="79"/>
  <c r="AC98" i="79" s="1"/>
  <c r="O99" i="79"/>
  <c r="T36" i="68"/>
  <c r="T98" i="68"/>
  <c r="L98" i="68"/>
  <c r="M98" i="68"/>
  <c r="N98" i="68"/>
  <c r="O98" i="68"/>
  <c r="P98" i="68"/>
  <c r="Q98" i="68"/>
  <c r="R98" i="68"/>
  <c r="S98" i="68"/>
  <c r="K98" i="68"/>
  <c r="P97" i="68"/>
  <c r="O97" i="68"/>
  <c r="T96" i="68"/>
  <c r="S96" i="68"/>
  <c r="P96" i="68"/>
  <c r="O96" i="68"/>
  <c r="L96" i="68"/>
  <c r="P95" i="68"/>
  <c r="L26" i="68"/>
  <c r="P26" i="68" s="1"/>
  <c r="L27" i="68"/>
  <c r="P27" i="68" s="1"/>
  <c r="L28" i="68"/>
  <c r="P28" i="68" s="1"/>
  <c r="L29" i="68"/>
  <c r="P29" i="68" s="1"/>
  <c r="L30" i="68"/>
  <c r="P30" i="68" s="1"/>
  <c r="L31" i="68"/>
  <c r="P31" i="68" s="1"/>
  <c r="L32" i="68"/>
  <c r="P32" i="68" s="1"/>
  <c r="L33" i="68"/>
  <c r="P33" i="68" s="1"/>
  <c r="L34" i="68"/>
  <c r="P34" i="68" s="1"/>
  <c r="L35" i="68"/>
  <c r="P35" i="68" s="1"/>
  <c r="L37" i="68"/>
  <c r="L38" i="68"/>
  <c r="L39" i="68"/>
  <c r="L40" i="68"/>
  <c r="L41" i="68"/>
  <c r="L42" i="68"/>
  <c r="L43" i="68"/>
  <c r="L44" i="68"/>
  <c r="L45" i="68"/>
  <c r="L46" i="68"/>
  <c r="L47" i="68"/>
  <c r="L48" i="68"/>
  <c r="L49" i="68"/>
  <c r="L50" i="68"/>
  <c r="L51" i="68"/>
  <c r="L52" i="68"/>
  <c r="L53" i="68"/>
  <c r="L54" i="68"/>
  <c r="L55" i="68"/>
  <c r="L56" i="68"/>
  <c r="L57" i="68"/>
  <c r="L58" i="68"/>
  <c r="L59" i="68"/>
  <c r="L60" i="68"/>
  <c r="L25" i="68"/>
  <c r="M36" i="68"/>
  <c r="M37" i="68"/>
  <c r="M89" i="68"/>
  <c r="Y99" i="79" l="1"/>
  <c r="Y104" i="79" s="1"/>
  <c r="AC67" i="79"/>
  <c r="AC90" i="79" s="1"/>
  <c r="V90" i="79"/>
  <c r="V36" i="79"/>
  <c r="R102" i="79"/>
  <c r="O102" i="79"/>
  <c r="O104" i="79" s="1"/>
  <c r="AC99" i="79"/>
  <c r="AC102" i="79" s="1"/>
  <c r="AC104" i="79" s="1"/>
  <c r="V99" i="79"/>
  <c r="T31" i="68"/>
  <c r="T27" i="68"/>
  <c r="T35" i="68"/>
  <c r="T33" i="68"/>
  <c r="T29" i="68"/>
  <c r="T32" i="68"/>
  <c r="T28" i="68"/>
  <c r="T34" i="68"/>
  <c r="T30" i="68"/>
  <c r="T26" i="68"/>
  <c r="M101" i="68"/>
  <c r="M103" i="68" s="1"/>
  <c r="D30" i="10"/>
  <c r="C30" i="10"/>
  <c r="V102" i="79" l="1"/>
  <c r="V104" i="79" s="1"/>
  <c r="I30" i="48"/>
  <c r="H30" i="48"/>
  <c r="G30" i="48"/>
  <c r="H98" i="66" l="1"/>
  <c r="G98" i="66"/>
  <c r="F98" i="66"/>
  <c r="E98" i="66"/>
  <c r="A54" i="66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45" i="66"/>
  <c r="A46" i="66" s="1"/>
  <c r="A47" i="66" s="1"/>
  <c r="A48" i="66" s="1"/>
  <c r="A49" i="66" s="1"/>
  <c r="A50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D44" i="47" l="1"/>
  <c r="C44" i="47"/>
  <c r="Q33" i="15" l="1"/>
  <c r="R33" i="15" s="1"/>
  <c r="P32" i="15"/>
  <c r="Q30" i="15"/>
  <c r="Q29" i="15"/>
  <c r="Q28" i="15"/>
  <c r="Q27" i="15"/>
  <c r="Q26" i="15"/>
  <c r="R26" i="15" s="1"/>
  <c r="Q25" i="15"/>
  <c r="R25" i="15" s="1"/>
  <c r="P23" i="15"/>
  <c r="R23" i="15" s="1"/>
  <c r="R52" i="15"/>
  <c r="R24" i="15"/>
  <c r="I46" i="15"/>
  <c r="R46" i="15" s="1"/>
  <c r="H44" i="15"/>
  <c r="R44" i="15" s="1"/>
  <c r="R39" i="15"/>
  <c r="R45" i="15"/>
  <c r="R42" i="15"/>
  <c r="R41" i="15"/>
  <c r="R38" i="15"/>
  <c r="H47" i="15"/>
  <c r="L22" i="15"/>
  <c r="R29" i="15"/>
  <c r="R28" i="15"/>
  <c r="R27" i="15"/>
  <c r="R21" i="15"/>
  <c r="R20" i="15"/>
  <c r="R19" i="15"/>
  <c r="R17" i="15"/>
  <c r="R16" i="15"/>
  <c r="R14" i="15"/>
  <c r="R13" i="15"/>
  <c r="R12" i="15"/>
  <c r="R11" i="15"/>
  <c r="R10" i="15"/>
  <c r="R40" i="15" l="1"/>
  <c r="G51" i="7"/>
  <c r="G32" i="7"/>
  <c r="E25" i="47" l="1"/>
  <c r="D25" i="47"/>
  <c r="G60" i="7"/>
  <c r="J18" i="45" s="1"/>
  <c r="E60" i="7"/>
  <c r="H18" i="45" s="1"/>
  <c r="F60" i="7"/>
  <c r="I18" i="45" s="1"/>
  <c r="G64" i="7"/>
  <c r="E64" i="7"/>
  <c r="C18" i="10" l="1"/>
  <c r="G33" i="46" s="1"/>
  <c r="D18" i="10"/>
  <c r="H33" i="46" s="1"/>
  <c r="C30" i="54" l="1"/>
  <c r="G41" i="47" l="1"/>
  <c r="G43" i="8" l="1"/>
  <c r="H43" i="8" s="1"/>
  <c r="H41" i="47" l="1"/>
  <c r="H26" i="55" l="1"/>
  <c r="D26" i="55"/>
  <c r="C26" i="55"/>
  <c r="J13" i="55"/>
  <c r="H13" i="55"/>
  <c r="D13" i="55"/>
  <c r="C13" i="55"/>
  <c r="G42" i="8" l="1"/>
  <c r="E34" i="5"/>
  <c r="F28" i="6"/>
  <c r="F27" i="6"/>
  <c r="F26" i="6"/>
  <c r="E33" i="5"/>
  <c r="G28" i="8"/>
  <c r="H28" i="8" s="1"/>
  <c r="G26" i="8"/>
  <c r="H26" i="8" s="1"/>
  <c r="G27" i="8"/>
  <c r="H27" i="8" s="1"/>
  <c r="H42" i="8" l="1"/>
  <c r="I41" i="46" l="1"/>
  <c r="I41" i="47" s="1"/>
  <c r="F11" i="14"/>
  <c r="F65" i="8" l="1"/>
  <c r="H65" i="8"/>
  <c r="E65" i="8"/>
  <c r="G63" i="8"/>
  <c r="G65" i="8" s="1"/>
  <c r="I63" i="8" l="1"/>
  <c r="I65" i="8" s="1"/>
  <c r="F101" i="8" l="1"/>
  <c r="E101" i="8"/>
  <c r="G99" i="8"/>
  <c r="I99" i="8" s="1"/>
  <c r="F77" i="8"/>
  <c r="G77" i="8"/>
  <c r="H77" i="8"/>
  <c r="I77" i="8"/>
  <c r="E77" i="8"/>
  <c r="G83" i="8"/>
  <c r="G82" i="8"/>
  <c r="E20" i="6" l="1"/>
  <c r="D20" i="6"/>
  <c r="F15" i="6"/>
  <c r="I77" i="67" l="1"/>
  <c r="L78" i="67" s="1"/>
  <c r="I73" i="67"/>
  <c r="I71" i="67"/>
  <c r="E71" i="67"/>
  <c r="I67" i="67"/>
  <c r="E67" i="67"/>
  <c r="I64" i="67"/>
  <c r="I63" i="67"/>
  <c r="I60" i="67"/>
  <c r="E60" i="67"/>
  <c r="I59" i="67"/>
  <c r="I58" i="67"/>
  <c r="E57" i="67"/>
  <c r="I56" i="67"/>
  <c r="L74" i="67" s="1"/>
  <c r="E56" i="67"/>
  <c r="E52" i="67"/>
  <c r="I45" i="67"/>
  <c r="I44" i="67"/>
  <c r="I42" i="67"/>
  <c r="E42" i="67"/>
  <c r="Q41" i="67"/>
  <c r="R41" i="67" s="1"/>
  <c r="I40" i="67"/>
  <c r="L46" i="67" s="1"/>
  <c r="E40" i="67"/>
  <c r="I39" i="67"/>
  <c r="E39" i="67"/>
  <c r="I31" i="67"/>
  <c r="I33" i="67" s="1"/>
  <c r="E31" i="67"/>
  <c r="E33" i="67" s="1"/>
  <c r="I30" i="67"/>
  <c r="E27" i="67"/>
  <c r="I25" i="67"/>
  <c r="I27" i="67" s="1"/>
  <c r="E25" i="67"/>
  <c r="I24" i="67"/>
  <c r="I21" i="67"/>
  <c r="I18" i="67"/>
  <c r="L36" i="67" s="1"/>
  <c r="I15" i="67"/>
  <c r="F82" i="67" s="1"/>
  <c r="E11" i="67"/>
  <c r="L82" i="67" l="1"/>
  <c r="E82" i="67"/>
  <c r="M41" i="67"/>
  <c r="H82" i="8" l="1"/>
  <c r="G41" i="8"/>
  <c r="H41" i="8" s="1"/>
  <c r="G27" i="7"/>
  <c r="K22" i="15"/>
  <c r="E21" i="7"/>
  <c r="J22" i="15" s="1"/>
  <c r="D36" i="6"/>
  <c r="E36" i="6"/>
  <c r="F35" i="6"/>
  <c r="D16" i="46"/>
  <c r="E23" i="6"/>
  <c r="F23" i="6"/>
  <c r="D23" i="6"/>
  <c r="G20" i="6"/>
  <c r="H20" i="6"/>
  <c r="I20" i="6"/>
  <c r="F19" i="6"/>
  <c r="F20" i="6" s="1"/>
  <c r="D27" i="5"/>
  <c r="C27" i="5"/>
  <c r="F36" i="6" l="1"/>
  <c r="G40" i="8"/>
  <c r="H40" i="8" s="1"/>
  <c r="I19" i="45" l="1"/>
  <c r="Q34" i="15" l="1"/>
  <c r="R34" i="15" s="1"/>
  <c r="F24" i="63"/>
  <c r="G23" i="63"/>
  <c r="G35" i="8" l="1"/>
  <c r="H35" i="8" s="1"/>
  <c r="G19" i="8"/>
  <c r="G22" i="8" s="1"/>
  <c r="G18" i="8"/>
  <c r="I18" i="8" s="1"/>
  <c r="E15" i="8"/>
  <c r="F15" i="8"/>
  <c r="J19" i="45"/>
  <c r="H19" i="45"/>
  <c r="H19" i="8" l="1"/>
  <c r="H22" i="8" s="1"/>
  <c r="I15" i="8" l="1"/>
  <c r="G50" i="7"/>
  <c r="E37" i="5"/>
  <c r="E36" i="5"/>
  <c r="D36" i="5"/>
  <c r="C36" i="5"/>
  <c r="E25" i="5"/>
  <c r="D25" i="5"/>
  <c r="C25" i="5"/>
  <c r="E24" i="5"/>
  <c r="E23" i="5"/>
  <c r="D23" i="5"/>
  <c r="C23" i="5"/>
  <c r="E103" i="68" l="1"/>
  <c r="J101" i="68"/>
  <c r="J103" i="68" s="1"/>
  <c r="I101" i="68"/>
  <c r="I103" i="68" s="1"/>
  <c r="H101" i="68"/>
  <c r="G101" i="68"/>
  <c r="G103" i="68" s="1"/>
  <c r="D101" i="68"/>
  <c r="C101" i="68"/>
  <c r="C103" i="68" s="1"/>
  <c r="T97" i="68"/>
  <c r="S97" i="68"/>
  <c r="L97" i="68"/>
  <c r="O95" i="68"/>
  <c r="S95" i="68" s="1"/>
  <c r="L95" i="68"/>
  <c r="O94" i="68"/>
  <c r="S94" i="68" s="1"/>
  <c r="L94" i="68"/>
  <c r="P94" i="68" s="1"/>
  <c r="R89" i="68"/>
  <c r="Q89" i="68"/>
  <c r="N89" i="68"/>
  <c r="K89" i="68"/>
  <c r="L89" i="68" s="1"/>
  <c r="P89" i="68" s="1"/>
  <c r="O88" i="68"/>
  <c r="O89" i="68" s="1"/>
  <c r="L88" i="68"/>
  <c r="P88" i="68" s="1"/>
  <c r="T88" i="68" s="1"/>
  <c r="S87" i="68"/>
  <c r="L87" i="68"/>
  <c r="P87" i="68" s="1"/>
  <c r="T87" i="68" s="1"/>
  <c r="S86" i="68"/>
  <c r="L86" i="68"/>
  <c r="P86" i="68" s="1"/>
  <c r="T86" i="68" s="1"/>
  <c r="S85" i="68"/>
  <c r="L85" i="68"/>
  <c r="P85" i="68" s="1"/>
  <c r="T85" i="68" s="1"/>
  <c r="S83" i="68"/>
  <c r="L83" i="68"/>
  <c r="P83" i="68" s="1"/>
  <c r="T83" i="68" s="1"/>
  <c r="S82" i="68"/>
  <c r="L82" i="68"/>
  <c r="P82" i="68" s="1"/>
  <c r="T82" i="68" s="1"/>
  <c r="S81" i="68"/>
  <c r="L81" i="68"/>
  <c r="P81" i="68" s="1"/>
  <c r="T81" i="68" s="1"/>
  <c r="S80" i="68"/>
  <c r="L80" i="68"/>
  <c r="P80" i="68" s="1"/>
  <c r="T80" i="68" s="1"/>
  <c r="S79" i="68"/>
  <c r="L79" i="68"/>
  <c r="P79" i="68" s="1"/>
  <c r="T79" i="68" s="1"/>
  <c r="S78" i="68"/>
  <c r="L78" i="68"/>
  <c r="P78" i="68" s="1"/>
  <c r="T78" i="68" s="1"/>
  <c r="S77" i="68"/>
  <c r="L77" i="68"/>
  <c r="P77" i="68" s="1"/>
  <c r="T77" i="68" s="1"/>
  <c r="S76" i="68"/>
  <c r="L76" i="68"/>
  <c r="P76" i="68" s="1"/>
  <c r="T76" i="68" s="1"/>
  <c r="S74" i="68"/>
  <c r="L74" i="68"/>
  <c r="P74" i="68" s="1"/>
  <c r="T74" i="68" s="1"/>
  <c r="S73" i="68"/>
  <c r="L73" i="68"/>
  <c r="P73" i="68" s="1"/>
  <c r="T73" i="68" s="1"/>
  <c r="S72" i="68"/>
  <c r="L72" i="68"/>
  <c r="P72" i="68" s="1"/>
  <c r="T72" i="68" s="1"/>
  <c r="S71" i="68"/>
  <c r="L71" i="68"/>
  <c r="P71" i="68" s="1"/>
  <c r="T71" i="68" s="1"/>
  <c r="S70" i="68"/>
  <c r="L70" i="68"/>
  <c r="P70" i="68" s="1"/>
  <c r="T70" i="68" s="1"/>
  <c r="S69" i="68"/>
  <c r="L69" i="68"/>
  <c r="P69" i="68" s="1"/>
  <c r="T69" i="68" s="1"/>
  <c r="S68" i="68"/>
  <c r="L68" i="68"/>
  <c r="P68" i="68" s="1"/>
  <c r="T68" i="68" s="1"/>
  <c r="S67" i="68"/>
  <c r="L67" i="68"/>
  <c r="P67" i="68" s="1"/>
  <c r="T67" i="68" s="1"/>
  <c r="S66" i="68"/>
  <c r="L66" i="68"/>
  <c r="P66" i="68" s="1"/>
  <c r="T66" i="68" s="1"/>
  <c r="N36" i="68"/>
  <c r="Q36" i="68"/>
  <c r="K36" i="68"/>
  <c r="L36" i="68" s="1"/>
  <c r="S35" i="68"/>
  <c r="O35" i="68"/>
  <c r="S34" i="68"/>
  <c r="S33" i="68"/>
  <c r="S32" i="68"/>
  <c r="S31" i="68"/>
  <c r="O31" i="68"/>
  <c r="S30" i="68"/>
  <c r="S29" i="68"/>
  <c r="O29" i="68"/>
  <c r="S28" i="68"/>
  <c r="O28" i="68"/>
  <c r="S27" i="68"/>
  <c r="S26" i="68"/>
  <c r="O26" i="68"/>
  <c r="S25" i="68"/>
  <c r="O25" i="68"/>
  <c r="P25" i="68"/>
  <c r="K21" i="68"/>
  <c r="O21" i="68" s="1"/>
  <c r="S21" i="68" s="1"/>
  <c r="O20" i="68"/>
  <c r="L20" i="68"/>
  <c r="P20" i="68" s="1"/>
  <c r="T20" i="68" s="1"/>
  <c r="O19" i="68"/>
  <c r="S19" i="68" s="1"/>
  <c r="L19" i="68"/>
  <c r="P19" i="68" s="1"/>
  <c r="T19" i="68" s="1"/>
  <c r="O18" i="68"/>
  <c r="S18" i="68" s="1"/>
  <c r="L18" i="68"/>
  <c r="P18" i="68" s="1"/>
  <c r="T18" i="68" s="1"/>
  <c r="O17" i="68"/>
  <c r="S17" i="68" s="1"/>
  <c r="L17" i="68"/>
  <c r="P17" i="68" s="1"/>
  <c r="T17" i="68" s="1"/>
  <c r="O16" i="68"/>
  <c r="S16" i="68" s="1"/>
  <c r="L16" i="68"/>
  <c r="P16" i="68" s="1"/>
  <c r="O12" i="68"/>
  <c r="P12" i="68" s="1"/>
  <c r="H12" i="68"/>
  <c r="D12" i="68"/>
  <c r="S10" i="68"/>
  <c r="T10" i="68" s="1"/>
  <c r="R10" i="68"/>
  <c r="O10" i="68"/>
  <c r="F10" i="68"/>
  <c r="F103" i="68" s="1"/>
  <c r="D10" i="68"/>
  <c r="P10" i="68" s="1"/>
  <c r="P36" i="68" l="1"/>
  <c r="S36" i="68"/>
  <c r="S88" i="68"/>
  <c r="S12" i="68"/>
  <c r="T12" i="68" s="1"/>
  <c r="O36" i="68"/>
  <c r="D103" i="68"/>
  <c r="Q101" i="68"/>
  <c r="Q103" i="68" s="1"/>
  <c r="T89" i="68"/>
  <c r="T95" i="68"/>
  <c r="H103" i="68"/>
  <c r="N101" i="68"/>
  <c r="N103" i="68" s="1"/>
  <c r="S89" i="68"/>
  <c r="K101" i="68"/>
  <c r="K103" i="68" s="1"/>
  <c r="O103" i="68" s="1"/>
  <c r="P21" i="68"/>
  <c r="T16" i="68"/>
  <c r="T21" i="68" s="1"/>
  <c r="T94" i="68"/>
  <c r="L21" i="68"/>
  <c r="R36" i="68"/>
  <c r="R101" i="68" s="1"/>
  <c r="R103" i="68" s="1"/>
  <c r="T25" i="68"/>
  <c r="T101" i="68" l="1"/>
  <c r="T103" i="68" s="1"/>
  <c r="S101" i="68"/>
  <c r="S103" i="68" s="1"/>
  <c r="O101" i="68"/>
  <c r="L101" i="68"/>
  <c r="L103" i="68" s="1"/>
  <c r="P101" i="68" l="1"/>
  <c r="P103" i="68" s="1"/>
  <c r="E36" i="24"/>
  <c r="F36" i="24" s="1"/>
  <c r="G36" i="24" s="1"/>
  <c r="H36" i="24" s="1"/>
  <c r="I36" i="24" s="1"/>
  <c r="J36" i="24" s="1"/>
  <c r="K36" i="24" s="1"/>
  <c r="L36" i="24" s="1"/>
  <c r="M36" i="24" s="1"/>
  <c r="N36" i="24" s="1"/>
  <c r="D36" i="24"/>
  <c r="E29" i="24"/>
  <c r="F29" i="24"/>
  <c r="G29" i="24"/>
  <c r="H29" i="24"/>
  <c r="I29" i="24" s="1"/>
  <c r="J29" i="24" s="1"/>
  <c r="K29" i="24" s="1"/>
  <c r="L29" i="24" s="1"/>
  <c r="M29" i="24" s="1"/>
  <c r="N29" i="24" s="1"/>
  <c r="E30" i="24"/>
  <c r="F30" i="24"/>
  <c r="G30" i="24" s="1"/>
  <c r="H30" i="24" s="1"/>
  <c r="I30" i="24" s="1"/>
  <c r="J30" i="24" s="1"/>
  <c r="K30" i="24" s="1"/>
  <c r="L30" i="24" s="1"/>
  <c r="M30" i="24" s="1"/>
  <c r="N30" i="24" s="1"/>
  <c r="D29" i="24"/>
  <c r="D30" i="24"/>
  <c r="C38" i="5" l="1"/>
  <c r="R18" i="15" l="1"/>
  <c r="E30" i="49" l="1"/>
  <c r="G39" i="8" l="1"/>
  <c r="I39" i="8" s="1"/>
  <c r="G13" i="8"/>
  <c r="G15" i="8" s="1"/>
  <c r="H13" i="8" l="1"/>
  <c r="H15" i="8" s="1"/>
  <c r="E60" i="5"/>
  <c r="D14" i="64" l="1"/>
  <c r="G104" i="8" l="1"/>
  <c r="I104" i="8" l="1"/>
  <c r="A18" i="49"/>
  <c r="A19" i="49"/>
  <c r="A20" i="49"/>
  <c r="A31" i="47" l="1"/>
  <c r="A32" i="47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J31" i="47"/>
  <c r="K31" i="47"/>
  <c r="L31" i="47"/>
  <c r="C24" i="47"/>
  <c r="C16" i="49" s="1"/>
  <c r="A31" i="46"/>
  <c r="A32" i="46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C32" i="64"/>
  <c r="C24" i="46" l="1"/>
  <c r="G120" i="8"/>
  <c r="H120" i="8" s="1"/>
  <c r="F90" i="8"/>
  <c r="H90" i="8"/>
  <c r="G31" i="46" s="1"/>
  <c r="E90" i="8"/>
  <c r="G88" i="8"/>
  <c r="I88" i="8" s="1"/>
  <c r="F85" i="8"/>
  <c r="G38" i="8"/>
  <c r="G31" i="47" l="1"/>
  <c r="G18" i="49" s="1"/>
  <c r="H38" i="8"/>
  <c r="G49" i="7"/>
  <c r="G42" i="6"/>
  <c r="H42" i="6"/>
  <c r="I42" i="6"/>
  <c r="D63" i="5"/>
  <c r="D29" i="64" s="1"/>
  <c r="D32" i="64" s="1"/>
  <c r="C63" i="5"/>
  <c r="C29" i="64" s="1"/>
  <c r="E62" i="5"/>
  <c r="E63" i="5" s="1"/>
  <c r="E29" i="64" s="1"/>
  <c r="D61" i="5"/>
  <c r="E61" i="5"/>
  <c r="C61" i="5"/>
  <c r="C64" i="5" s="1"/>
  <c r="C40" i="5"/>
  <c r="D64" i="5" l="1"/>
  <c r="E64" i="5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D20" i="49"/>
  <c r="E20" i="49"/>
  <c r="J17" i="47" l="1"/>
  <c r="K17" i="47"/>
  <c r="L17" i="47"/>
  <c r="D46" i="47"/>
  <c r="D37" i="48" s="1"/>
  <c r="C46" i="47"/>
  <c r="C37" i="48" s="1"/>
  <c r="D15" i="47"/>
  <c r="D12" i="49" s="1"/>
  <c r="E46" i="46"/>
  <c r="E46" i="47" s="1"/>
  <c r="E37" i="48" s="1"/>
  <c r="F66" i="7" l="1"/>
  <c r="E66" i="7"/>
  <c r="G66" i="7"/>
  <c r="D33" i="44"/>
  <c r="C33" i="44"/>
  <c r="E33" i="44"/>
  <c r="C15" i="46"/>
  <c r="E15" i="46" l="1"/>
  <c r="E15" i="47" l="1"/>
  <c r="E12" i="49" s="1"/>
  <c r="C15" i="47"/>
  <c r="C12" i="49" s="1"/>
  <c r="G20" i="63" l="1"/>
  <c r="H21" i="46"/>
  <c r="G21" i="46"/>
  <c r="F126" i="8"/>
  <c r="G126" i="8"/>
  <c r="H126" i="8"/>
  <c r="E126" i="8"/>
  <c r="G55" i="8"/>
  <c r="G34" i="8"/>
  <c r="I34" i="8" s="1"/>
  <c r="I49" i="8" s="1"/>
  <c r="I55" i="8" l="1"/>
  <c r="I59" i="8" s="1"/>
  <c r="G59" i="8"/>
  <c r="F53" i="7"/>
  <c r="G36" i="7"/>
  <c r="D16" i="47"/>
  <c r="D13" i="49" s="1"/>
  <c r="D73" i="5"/>
  <c r="E72" i="5"/>
  <c r="E54" i="5"/>
  <c r="E50" i="5"/>
  <c r="D50" i="5"/>
  <c r="D51" i="5" s="1"/>
  <c r="C50" i="5"/>
  <c r="C51" i="5" s="1"/>
  <c r="D14" i="45" s="1"/>
  <c r="C44" i="5"/>
  <c r="D44" i="5"/>
  <c r="F69" i="7" l="1"/>
  <c r="M22" i="15"/>
  <c r="C46" i="5"/>
  <c r="C29" i="47"/>
  <c r="C77" i="5"/>
  <c r="D29" i="47"/>
  <c r="D77" i="5"/>
  <c r="E51" i="5"/>
  <c r="E44" i="5"/>
  <c r="F55" i="7"/>
  <c r="F68" i="7"/>
  <c r="R22" i="15" l="1"/>
  <c r="E29" i="47"/>
  <c r="E77" i="5"/>
  <c r="G48" i="7" l="1"/>
  <c r="R50" i="15"/>
  <c r="R49" i="15"/>
  <c r="G47" i="7" l="1"/>
  <c r="G46" i="7" l="1"/>
  <c r="E44" i="46" l="1"/>
  <c r="E44" i="47" s="1"/>
  <c r="G19" i="7" l="1"/>
  <c r="E68" i="7" l="1"/>
  <c r="C25" i="47" l="1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I13" i="44" l="1"/>
  <c r="I13" i="64" l="1"/>
  <c r="G27" i="42"/>
  <c r="F122" i="8"/>
  <c r="E122" i="8"/>
  <c r="G122" i="8" l="1"/>
  <c r="H122" i="8"/>
  <c r="D11" i="47"/>
  <c r="D11" i="46"/>
  <c r="G52" i="7" l="1"/>
  <c r="G37" i="8"/>
  <c r="G32" i="8"/>
  <c r="F29" i="8"/>
  <c r="E29" i="8"/>
  <c r="F117" i="8"/>
  <c r="E117" i="8"/>
  <c r="H37" i="8" l="1"/>
  <c r="H32" i="8"/>
  <c r="C34" i="48"/>
  <c r="D34" i="48"/>
  <c r="C45" i="47"/>
  <c r="C35" i="48" s="1"/>
  <c r="D45" i="47"/>
  <c r="D35" i="48" s="1"/>
  <c r="D41" i="47"/>
  <c r="D33" i="49" s="1"/>
  <c r="C41" i="47"/>
  <c r="C33" i="49" s="1"/>
  <c r="C31" i="48" s="1"/>
  <c r="E31" i="48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R30" i="15"/>
  <c r="R31" i="15"/>
  <c r="R54" i="15"/>
  <c r="R35" i="15"/>
  <c r="E85" i="8"/>
  <c r="E30" i="48" l="1"/>
  <c r="E33" i="49"/>
  <c r="G25" i="8" l="1"/>
  <c r="E24" i="63"/>
  <c r="H24" i="63"/>
  <c r="I24" i="63"/>
  <c r="J24" i="63"/>
  <c r="G16" i="63"/>
  <c r="G17" i="63"/>
  <c r="G18" i="63"/>
  <c r="G19" i="63"/>
  <c r="G15" i="63"/>
  <c r="G24" i="63" l="1"/>
  <c r="H25" i="8"/>
  <c r="E23" i="10"/>
  <c r="G26" i="7"/>
  <c r="G45" i="7"/>
  <c r="G29" i="7"/>
  <c r="G44" i="7"/>
  <c r="G43" i="7"/>
  <c r="D38" i="5" l="1"/>
  <c r="D40" i="5" l="1"/>
  <c r="D46" i="5"/>
  <c r="E19" i="48"/>
  <c r="E29" i="46"/>
  <c r="D19" i="48"/>
  <c r="D29" i="46"/>
  <c r="C19" i="48"/>
  <c r="C29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G18" i="7" l="1"/>
  <c r="G33" i="8" l="1"/>
  <c r="F112" i="8"/>
  <c r="E112" i="8"/>
  <c r="H112" i="8"/>
  <c r="G27" i="64" s="1"/>
  <c r="H33" i="8" l="1"/>
  <c r="H117" i="8" l="1"/>
  <c r="G42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32" i="15"/>
  <c r="F28" i="63"/>
  <c r="E28" i="63"/>
  <c r="G22" i="63"/>
  <c r="F29" i="63" l="1"/>
  <c r="G13" i="63" l="1"/>
  <c r="E29" i="63"/>
  <c r="G14" i="46" s="1"/>
  <c r="C20" i="54" l="1"/>
  <c r="C32" i="54" s="1"/>
  <c r="G10" i="46"/>
  <c r="G10" i="47" s="1"/>
  <c r="G11" i="46"/>
  <c r="H11" i="46"/>
  <c r="H12" i="46"/>
  <c r="G19" i="46"/>
  <c r="H19" i="46"/>
  <c r="G12" i="46"/>
  <c r="G12" i="47" s="1"/>
  <c r="R15" i="15"/>
  <c r="G31" i="8"/>
  <c r="H31" i="8" s="1"/>
  <c r="G29" i="8"/>
  <c r="G30" i="8"/>
  <c r="I83" i="8"/>
  <c r="I85" i="8" s="1"/>
  <c r="H32" i="46" s="1"/>
  <c r="E29" i="10"/>
  <c r="E30" i="10" s="1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4" i="64"/>
  <c r="I14" i="42"/>
  <c r="E34" i="48"/>
  <c r="H41" i="65"/>
  <c r="G41" i="65"/>
  <c r="F41" i="65"/>
  <c r="G27" i="44"/>
  <c r="G33" i="44" s="1"/>
  <c r="C49" i="44" s="1"/>
  <c r="G33" i="64"/>
  <c r="E20" i="42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2" i="47"/>
  <c r="H27" i="51"/>
  <c r="H33" i="51" s="1"/>
  <c r="D24" i="46"/>
  <c r="C25" i="46"/>
  <c r="D25" i="46"/>
  <c r="C12" i="47"/>
  <c r="C51" i="47"/>
  <c r="C42" i="48" s="1"/>
  <c r="F29" i="13"/>
  <c r="D51" i="47"/>
  <c r="D42" i="48" s="1"/>
  <c r="J54" i="46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E30" i="13"/>
  <c r="K30" i="13" s="1"/>
  <c r="E29" i="13"/>
  <c r="K29" i="13" s="1"/>
  <c r="E28" i="13"/>
  <c r="K28" i="13" s="1"/>
  <c r="E11" i="13"/>
  <c r="K11" i="13" s="1"/>
  <c r="G24" i="7"/>
  <c r="E14" i="18"/>
  <c r="E17" i="18" s="1"/>
  <c r="H16" i="45" s="1"/>
  <c r="F13" i="18"/>
  <c r="F25" i="14"/>
  <c r="G17" i="7"/>
  <c r="R32" i="15"/>
  <c r="G21" i="63"/>
  <c r="G27" i="63"/>
  <c r="G28" i="63" s="1"/>
  <c r="G14" i="63"/>
  <c r="K79" i="13"/>
  <c r="K78" i="13"/>
  <c r="D80" i="13"/>
  <c r="E20" i="45" s="1"/>
  <c r="E32" i="45" s="1"/>
  <c r="E34" i="45" s="1"/>
  <c r="K76" i="13"/>
  <c r="K77" i="13"/>
  <c r="E39" i="5"/>
  <c r="E28" i="5"/>
  <c r="G68" i="8"/>
  <c r="I68" i="8" s="1"/>
  <c r="E21" i="10"/>
  <c r="G28" i="7"/>
  <c r="H21" i="47"/>
  <c r="H20" i="48" s="1"/>
  <c r="H10" i="46"/>
  <c r="H10" i="47" s="1"/>
  <c r="H10" i="48" s="1"/>
  <c r="E13" i="14"/>
  <c r="C18" i="47"/>
  <c r="F12" i="6"/>
  <c r="G12" i="7"/>
  <c r="G13" i="7"/>
  <c r="K24" i="13"/>
  <c r="H23" i="13"/>
  <c r="K23" i="13" s="1"/>
  <c r="G22" i="13"/>
  <c r="K22" i="13" s="1"/>
  <c r="G19" i="13"/>
  <c r="K19" i="13" s="1"/>
  <c r="D26" i="10"/>
  <c r="D31" i="10" s="1"/>
  <c r="H72" i="8"/>
  <c r="G115" i="8"/>
  <c r="G40" i="7"/>
  <c r="G39" i="7"/>
  <c r="D26" i="46"/>
  <c r="D26" i="47" s="1"/>
  <c r="D19" i="49" s="1"/>
  <c r="E26" i="46"/>
  <c r="F13" i="6"/>
  <c r="E20" i="5"/>
  <c r="R53" i="15"/>
  <c r="R48" i="15"/>
  <c r="R43" i="15"/>
  <c r="R36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F43" i="45"/>
  <c r="E43" i="51"/>
  <c r="G98" i="8"/>
  <c r="H98" i="8" s="1"/>
  <c r="H101" i="8" s="1"/>
  <c r="H27" i="45" s="1"/>
  <c r="H33" i="45" s="1"/>
  <c r="D49" i="45" s="1"/>
  <c r="D74" i="5"/>
  <c r="C73" i="5"/>
  <c r="E19" i="5"/>
  <c r="G21" i="47"/>
  <c r="G20" i="48" s="1"/>
  <c r="C25" i="10"/>
  <c r="G20" i="46" s="1"/>
  <c r="G27" i="51"/>
  <c r="G33" i="51" s="1"/>
  <c r="E22" i="10"/>
  <c r="E16" i="10"/>
  <c r="E18" i="10" s="1"/>
  <c r="E72" i="8"/>
  <c r="E93" i="8" s="1"/>
  <c r="G38" i="7"/>
  <c r="G37" i="7"/>
  <c r="D56" i="5"/>
  <c r="C56" i="5"/>
  <c r="E13" i="5"/>
  <c r="E14" i="5"/>
  <c r="E17" i="5"/>
  <c r="E11" i="5" s="1"/>
  <c r="E12" i="5"/>
  <c r="E29" i="5"/>
  <c r="E53" i="7"/>
  <c r="I71" i="56"/>
  <c r="H71" i="56"/>
  <c r="G71" i="56"/>
  <c r="F71" i="56"/>
  <c r="E71" i="56"/>
  <c r="G35" i="7"/>
  <c r="G54" i="8"/>
  <c r="G34" i="7"/>
  <c r="G33" i="7"/>
  <c r="G31" i="7"/>
  <c r="E16" i="6"/>
  <c r="D16" i="6"/>
  <c r="C19" i="49"/>
  <c r="C20" i="49"/>
  <c r="O12" i="24"/>
  <c r="O13" i="24"/>
  <c r="O18" i="24"/>
  <c r="O2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 s="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E48" i="45" s="1"/>
  <c r="K14" i="47"/>
  <c r="G12" i="18"/>
  <c r="G14" i="18" s="1"/>
  <c r="G17" i="18" s="1"/>
  <c r="J14" i="45"/>
  <c r="R37" i="15"/>
  <c r="R47" i="15"/>
  <c r="R51" i="15"/>
  <c r="F10" i="14"/>
  <c r="F12" i="14"/>
  <c r="D13" i="14"/>
  <c r="F19" i="14"/>
  <c r="D20" i="14"/>
  <c r="F20" i="14" s="1"/>
  <c r="F23" i="14"/>
  <c r="F24" i="14"/>
  <c r="F26" i="14"/>
  <c r="F27" i="14"/>
  <c r="D28" i="14"/>
  <c r="E28" i="14"/>
  <c r="F29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E42" i="46"/>
  <c r="E51" i="46"/>
  <c r="G81" i="8"/>
  <c r="G90" i="8"/>
  <c r="H27" i="44"/>
  <c r="H33" i="44" s="1"/>
  <c r="D49" i="44" s="1"/>
  <c r="G15" i="7"/>
  <c r="G16" i="7"/>
  <c r="G25" i="7"/>
  <c r="G30" i="7"/>
  <c r="F39" i="6"/>
  <c r="F40" i="6" s="1"/>
  <c r="D40" i="6"/>
  <c r="E40" i="6"/>
  <c r="E10" i="5"/>
  <c r="D13" i="46"/>
  <c r="E68" i="5"/>
  <c r="E69" i="5"/>
  <c r="E70" i="5"/>
  <c r="A10" i="49"/>
  <c r="A11" i="49" s="1"/>
  <c r="A12" i="49" s="1"/>
  <c r="A13" i="49" s="1"/>
  <c r="A14" i="49" s="1"/>
  <c r="A15" i="49" s="1"/>
  <c r="A16" i="49" s="1"/>
  <c r="A17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34" i="49"/>
  <c r="G44" i="49"/>
  <c r="H44" i="49"/>
  <c r="I44" i="49"/>
  <c r="E10" i="48"/>
  <c r="E32" i="48"/>
  <c r="C36" i="24"/>
  <c r="D42" i="47"/>
  <c r="E42" i="47" s="1"/>
  <c r="J12" i="45"/>
  <c r="G53" i="51"/>
  <c r="G33" i="42"/>
  <c r="C49" i="42" s="1"/>
  <c r="D54" i="46"/>
  <c r="C54" i="46"/>
  <c r="L54" i="46"/>
  <c r="K80" i="13"/>
  <c r="K10" i="47"/>
  <c r="J14" i="47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C48" i="51" s="1"/>
  <c r="I12" i="51"/>
  <c r="H24" i="64"/>
  <c r="H24" i="42"/>
  <c r="G110" i="8"/>
  <c r="G112" i="8" s="1"/>
  <c r="I27" i="64" s="1"/>
  <c r="E89" i="58"/>
  <c r="F89" i="58"/>
  <c r="J13" i="45"/>
  <c r="G49" i="8" l="1"/>
  <c r="E25" i="10"/>
  <c r="H29" i="8"/>
  <c r="H30" i="8"/>
  <c r="D42" i="6"/>
  <c r="E27" i="5"/>
  <c r="E40" i="5" s="1"/>
  <c r="E69" i="7"/>
  <c r="D17" i="49"/>
  <c r="C42" i="24"/>
  <c r="D41" i="24"/>
  <c r="E42" i="6"/>
  <c r="G29" i="63"/>
  <c r="F28" i="14"/>
  <c r="E32" i="64"/>
  <c r="G85" i="8"/>
  <c r="D13" i="47"/>
  <c r="D76" i="5"/>
  <c r="L55" i="46"/>
  <c r="I21" i="46"/>
  <c r="G117" i="8"/>
  <c r="I115" i="8"/>
  <c r="H27" i="42" s="1"/>
  <c r="E17" i="49"/>
  <c r="E24" i="46"/>
  <c r="C14" i="42"/>
  <c r="C32" i="42" s="1"/>
  <c r="C34" i="42" s="1"/>
  <c r="C76" i="5"/>
  <c r="C13" i="47"/>
  <c r="K55" i="46"/>
  <c r="E55" i="7"/>
  <c r="E71" i="7" s="1"/>
  <c r="C17" i="49"/>
  <c r="C30" i="47"/>
  <c r="C26" i="46"/>
  <c r="C30" i="46"/>
  <c r="C11" i="46"/>
  <c r="C11" i="47"/>
  <c r="C11" i="48" s="1"/>
  <c r="H81" i="8"/>
  <c r="D48" i="64"/>
  <c r="C48" i="64"/>
  <c r="E34" i="64"/>
  <c r="E30" i="47"/>
  <c r="D30" i="47"/>
  <c r="D22" i="49" s="1"/>
  <c r="C57" i="5"/>
  <c r="C14" i="44"/>
  <c r="D57" i="5"/>
  <c r="D79" i="5" s="1"/>
  <c r="D14" i="44"/>
  <c r="D32" i="44" s="1"/>
  <c r="D11" i="48"/>
  <c r="I24" i="42"/>
  <c r="I24" i="51"/>
  <c r="E48" i="51" s="1"/>
  <c r="H34" i="51"/>
  <c r="H54" i="51" s="1"/>
  <c r="H20" i="46"/>
  <c r="H20" i="47" s="1"/>
  <c r="H19" i="48" s="1"/>
  <c r="C26" i="10"/>
  <c r="E30" i="46"/>
  <c r="D30" i="46"/>
  <c r="D34" i="46" s="1"/>
  <c r="E25" i="46"/>
  <c r="F16" i="6"/>
  <c r="E38" i="5"/>
  <c r="E56" i="5"/>
  <c r="E57" i="5" s="1"/>
  <c r="H21" i="13"/>
  <c r="H40" i="13" s="1"/>
  <c r="D20" i="47"/>
  <c r="D16" i="48" s="1"/>
  <c r="H37" i="48"/>
  <c r="H44" i="48" s="1"/>
  <c r="D24" i="47"/>
  <c r="E26" i="47"/>
  <c r="E19" i="49" s="1"/>
  <c r="E51" i="47"/>
  <c r="E42" i="48" s="1"/>
  <c r="G17" i="46"/>
  <c r="G53" i="8"/>
  <c r="G18" i="46"/>
  <c r="C12" i="48"/>
  <c r="G37" i="48"/>
  <c r="G44" i="48" s="1"/>
  <c r="D54" i="47"/>
  <c r="C54" i="47"/>
  <c r="I24" i="64"/>
  <c r="G34" i="64"/>
  <c r="G54" i="64" s="1"/>
  <c r="G34" i="42"/>
  <c r="G54" i="42" s="1"/>
  <c r="F72" i="8"/>
  <c r="F93" i="8" s="1"/>
  <c r="H28" i="47"/>
  <c r="H15" i="49" s="1"/>
  <c r="H28" i="46"/>
  <c r="I110" i="8"/>
  <c r="I112" i="8" s="1"/>
  <c r="H27" i="64" s="1"/>
  <c r="G97" i="8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G53" i="7"/>
  <c r="G69" i="7" s="1"/>
  <c r="H18" i="46"/>
  <c r="H12" i="47"/>
  <c r="H12" i="48" s="1"/>
  <c r="I12" i="46"/>
  <c r="I10" i="46"/>
  <c r="E54" i="46"/>
  <c r="H14" i="46"/>
  <c r="D14" i="42"/>
  <c r="D32" i="42" s="1"/>
  <c r="E73" i="5"/>
  <c r="C74" i="5"/>
  <c r="E32" i="51"/>
  <c r="G10" i="48"/>
  <c r="G30" i="47"/>
  <c r="G30" i="46"/>
  <c r="I54" i="47"/>
  <c r="I37" i="48"/>
  <c r="I44" i="48" s="1"/>
  <c r="I72" i="8"/>
  <c r="G72" i="8"/>
  <c r="G11" i="47"/>
  <c r="I11" i="46"/>
  <c r="H30" i="47"/>
  <c r="H17" i="49" s="1"/>
  <c r="H30" i="46"/>
  <c r="G33" i="47"/>
  <c r="G20" i="49" s="1"/>
  <c r="D11" i="49"/>
  <c r="C49" i="51"/>
  <c r="G34" i="51"/>
  <c r="G54" i="51" s="1"/>
  <c r="E30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0" i="14"/>
  <c r="E26" i="13"/>
  <c r="F13" i="14"/>
  <c r="D48" i="51"/>
  <c r="D53" i="51" s="1"/>
  <c r="D54" i="51" s="1"/>
  <c r="E12" i="46"/>
  <c r="E12" i="47" s="1"/>
  <c r="E12" i="48" s="1"/>
  <c r="H33" i="47"/>
  <c r="H20" i="49" s="1"/>
  <c r="H11" i="47"/>
  <c r="H49" i="8" l="1"/>
  <c r="G101" i="8"/>
  <c r="G128" i="8" s="1"/>
  <c r="I97" i="8"/>
  <c r="I101" i="8" s="1"/>
  <c r="I27" i="45" s="1"/>
  <c r="J27" i="45" s="1"/>
  <c r="J33" i="45" s="1"/>
  <c r="F49" i="45" s="1"/>
  <c r="G93" i="8"/>
  <c r="G27" i="46"/>
  <c r="G18" i="47"/>
  <c r="G17" i="48" s="1"/>
  <c r="H18" i="47"/>
  <c r="H17" i="48" s="1"/>
  <c r="D34" i="44"/>
  <c r="D48" i="44"/>
  <c r="E46" i="5"/>
  <c r="E41" i="24"/>
  <c r="D42" i="24"/>
  <c r="C22" i="49"/>
  <c r="C53" i="64"/>
  <c r="C54" i="64" s="1"/>
  <c r="D33" i="47"/>
  <c r="C48" i="42"/>
  <c r="C53" i="42" s="1"/>
  <c r="C54" i="42" s="1"/>
  <c r="C79" i="5"/>
  <c r="H32" i="47"/>
  <c r="H19" i="49" s="1"/>
  <c r="I90" i="8"/>
  <c r="H31" i="46" s="1"/>
  <c r="H85" i="8"/>
  <c r="I117" i="8"/>
  <c r="I27" i="42"/>
  <c r="I33" i="42" s="1"/>
  <c r="E49" i="42" s="1"/>
  <c r="E24" i="47"/>
  <c r="D34" i="47"/>
  <c r="E74" i="5"/>
  <c r="G17" i="47"/>
  <c r="G16" i="48" s="1"/>
  <c r="G55" i="7"/>
  <c r="G71" i="7" s="1"/>
  <c r="G68" i="7"/>
  <c r="F42" i="6"/>
  <c r="E11" i="46"/>
  <c r="E11" i="47"/>
  <c r="E11" i="48" s="1"/>
  <c r="I18" i="48"/>
  <c r="O29" i="24"/>
  <c r="G50" i="46"/>
  <c r="H27" i="46"/>
  <c r="E48" i="64"/>
  <c r="C32" i="44"/>
  <c r="E14" i="44"/>
  <c r="E32" i="44" s="1"/>
  <c r="E48" i="44" s="1"/>
  <c r="D35" i="46"/>
  <c r="D55" i="46" s="1"/>
  <c r="D34" i="42"/>
  <c r="E34" i="42" s="1"/>
  <c r="D48" i="42"/>
  <c r="D14" i="48"/>
  <c r="E53" i="51"/>
  <c r="E54" i="51" s="1"/>
  <c r="I20" i="47"/>
  <c r="I19" i="48" s="1"/>
  <c r="I20" i="46"/>
  <c r="C31" i="10"/>
  <c r="E26" i="10"/>
  <c r="E31" i="10" s="1"/>
  <c r="K21" i="13"/>
  <c r="D13" i="48"/>
  <c r="D16" i="49"/>
  <c r="E54" i="47"/>
  <c r="O21" i="24" s="1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F128" i="8"/>
  <c r="G24" i="46"/>
  <c r="O25" i="24"/>
  <c r="C25" i="24" s="1"/>
  <c r="D25" i="24" s="1"/>
  <c r="E25" i="24" s="1"/>
  <c r="F25" i="24" s="1"/>
  <c r="G25" i="24" s="1"/>
  <c r="H25" i="24" s="1"/>
  <c r="I25" i="24" s="1"/>
  <c r="J25" i="24" s="1"/>
  <c r="K25" i="24" s="1"/>
  <c r="L25" i="24" s="1"/>
  <c r="M25" i="24" s="1"/>
  <c r="N25" i="24" s="1"/>
  <c r="G28" i="47"/>
  <c r="H33" i="64"/>
  <c r="I34" i="44"/>
  <c r="I54" i="44" s="1"/>
  <c r="I30" i="46"/>
  <c r="I34" i="51"/>
  <c r="I54" i="51" s="1"/>
  <c r="G40" i="13"/>
  <c r="I18" i="46"/>
  <c r="I12" i="47"/>
  <c r="O27" i="24" s="1"/>
  <c r="C27" i="24" s="1"/>
  <c r="D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0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D37" i="24" s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E40" i="13"/>
  <c r="K26" i="13"/>
  <c r="H11" i="48"/>
  <c r="O17" i="24"/>
  <c r="C17" i="24" s="1"/>
  <c r="D17" i="24" s="1"/>
  <c r="E22" i="49"/>
  <c r="I17" i="46"/>
  <c r="I17" i="47" s="1"/>
  <c r="I33" i="46"/>
  <c r="I33" i="47"/>
  <c r="C13" i="48"/>
  <c r="I93" i="8" l="1"/>
  <c r="G32" i="46"/>
  <c r="G32" i="47" s="1"/>
  <c r="G19" i="49" s="1"/>
  <c r="H93" i="8"/>
  <c r="I18" i="47"/>
  <c r="I17" i="48" s="1"/>
  <c r="E17" i="24"/>
  <c r="D19" i="24"/>
  <c r="C34" i="44"/>
  <c r="E34" i="44" s="1"/>
  <c r="E53" i="44" s="1"/>
  <c r="E54" i="44" s="1"/>
  <c r="C48" i="44"/>
  <c r="C53" i="44" s="1"/>
  <c r="D53" i="44"/>
  <c r="D54" i="44" s="1"/>
  <c r="F41" i="24"/>
  <c r="E42" i="24"/>
  <c r="E27" i="24"/>
  <c r="C16" i="46"/>
  <c r="E16" i="46" s="1"/>
  <c r="E34" i="46" s="1"/>
  <c r="E79" i="5"/>
  <c r="I128" i="8"/>
  <c r="E16" i="49"/>
  <c r="E13" i="46"/>
  <c r="E33" i="46" s="1"/>
  <c r="E13" i="47"/>
  <c r="E76" i="5"/>
  <c r="H31" i="47"/>
  <c r="H18" i="49" s="1"/>
  <c r="I31" i="46"/>
  <c r="I31" i="47" s="1"/>
  <c r="I18" i="49" s="1"/>
  <c r="H33" i="42"/>
  <c r="I34" i="42"/>
  <c r="I54" i="42" s="1"/>
  <c r="E53" i="42"/>
  <c r="E54" i="42" s="1"/>
  <c r="O15" i="24"/>
  <c r="O19" i="24" s="1"/>
  <c r="D25" i="49"/>
  <c r="D26" i="49" s="1"/>
  <c r="H34" i="45"/>
  <c r="H54" i="45" s="1"/>
  <c r="D53" i="45"/>
  <c r="D54" i="45" s="1"/>
  <c r="D22" i="48"/>
  <c r="D24" i="48" s="1"/>
  <c r="I27" i="46"/>
  <c r="I33" i="45"/>
  <c r="I34" i="45" s="1"/>
  <c r="I54" i="45" s="1"/>
  <c r="O8" i="24"/>
  <c r="C8" i="24" s="1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D35" i="47"/>
  <c r="D55" i="47" s="1"/>
  <c r="O32" i="24"/>
  <c r="C32" i="24" s="1"/>
  <c r="D32" i="24" s="1"/>
  <c r="E32" i="24" s="1"/>
  <c r="F32" i="24" s="1"/>
  <c r="G32" i="24" s="1"/>
  <c r="H32" i="24" s="1"/>
  <c r="I32" i="24" s="1"/>
  <c r="J32" i="24" s="1"/>
  <c r="K32" i="24" s="1"/>
  <c r="L32" i="24" s="1"/>
  <c r="M32" i="24" s="1"/>
  <c r="N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D35" i="24" s="1"/>
  <c r="E35" i="24" s="1"/>
  <c r="F35" i="24" s="1"/>
  <c r="G35" i="24" s="1"/>
  <c r="H35" i="24" s="1"/>
  <c r="I35" i="24" s="1"/>
  <c r="J35" i="24" s="1"/>
  <c r="K35" i="24" s="1"/>
  <c r="L35" i="24" s="1"/>
  <c r="M35" i="24" s="1"/>
  <c r="N35" i="24" s="1"/>
  <c r="H27" i="47"/>
  <c r="H14" i="49" s="1"/>
  <c r="H128" i="8"/>
  <c r="H34" i="46"/>
  <c r="J34" i="45"/>
  <c r="J54" i="45" s="1"/>
  <c r="K40" i="13"/>
  <c r="I12" i="48"/>
  <c r="F48" i="45"/>
  <c r="F53" i="45" s="1"/>
  <c r="F54" i="45" s="1"/>
  <c r="I14" i="47"/>
  <c r="G22" i="48"/>
  <c r="G24" i="48" s="1"/>
  <c r="G24" i="47"/>
  <c r="O39" i="24"/>
  <c r="C39" i="24" s="1"/>
  <c r="D39" i="24" s="1"/>
  <c r="E39" i="24" s="1"/>
  <c r="F39" i="24" s="1"/>
  <c r="G39" i="24" s="1"/>
  <c r="H39" i="24" s="1"/>
  <c r="I39" i="24" s="1"/>
  <c r="J39" i="24" s="1"/>
  <c r="K39" i="24" s="1"/>
  <c r="L39" i="24" s="1"/>
  <c r="M39" i="24" s="1"/>
  <c r="N39" i="24" s="1"/>
  <c r="I20" i="49"/>
  <c r="C17" i="47"/>
  <c r="C33" i="47" s="1"/>
  <c r="O26" i="24"/>
  <c r="C26" i="24" s="1"/>
  <c r="D26" i="24" s="1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I11" i="48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6" i="48"/>
  <c r="I24" i="46"/>
  <c r="H34" i="64"/>
  <c r="H54" i="64" s="1"/>
  <c r="D49" i="64"/>
  <c r="D53" i="64" s="1"/>
  <c r="D54" i="64" s="1"/>
  <c r="I16" i="48"/>
  <c r="O30" i="24"/>
  <c r="C19" i="24"/>
  <c r="I32" i="46" l="1"/>
  <c r="I32" i="47"/>
  <c r="O38" i="24" s="1"/>
  <c r="C38" i="24" s="1"/>
  <c r="D38" i="24" s="1"/>
  <c r="E38" i="24" s="1"/>
  <c r="F38" i="24" s="1"/>
  <c r="G38" i="24" s="1"/>
  <c r="H38" i="24" s="1"/>
  <c r="I38" i="24" s="1"/>
  <c r="J38" i="24" s="1"/>
  <c r="K38" i="24" s="1"/>
  <c r="L38" i="24" s="1"/>
  <c r="M38" i="24" s="1"/>
  <c r="N38" i="24" s="1"/>
  <c r="O31" i="24"/>
  <c r="C31" i="24" s="1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F17" i="24"/>
  <c r="E19" i="24"/>
  <c r="C54" i="44"/>
  <c r="G41" i="24"/>
  <c r="F42" i="24"/>
  <c r="F27" i="24"/>
  <c r="C16" i="47"/>
  <c r="C34" i="46"/>
  <c r="C35" i="46" s="1"/>
  <c r="C55" i="46" s="1"/>
  <c r="E13" i="48"/>
  <c r="H21" i="49"/>
  <c r="H26" i="49" s="1"/>
  <c r="H45" i="49" s="1"/>
  <c r="D49" i="42"/>
  <c r="D53" i="42" s="1"/>
  <c r="D54" i="42" s="1"/>
  <c r="H34" i="42"/>
  <c r="H54" i="42" s="1"/>
  <c r="I14" i="48"/>
  <c r="I22" i="48" s="1"/>
  <c r="I24" i="48" s="1"/>
  <c r="O28" i="24"/>
  <c r="C28" i="24" s="1"/>
  <c r="D28" i="24" s="1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D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I19" i="49" l="1"/>
  <c r="G17" i="24"/>
  <c r="F19" i="24"/>
  <c r="H41" i="24"/>
  <c r="G42" i="24"/>
  <c r="E33" i="24"/>
  <c r="D33" i="24"/>
  <c r="G27" i="24"/>
  <c r="F33" i="24"/>
  <c r="E9" i="24"/>
  <c r="C13" i="49"/>
  <c r="C25" i="49" s="1"/>
  <c r="C34" i="47"/>
  <c r="C35" i="47" s="1"/>
  <c r="E35" i="47" s="1"/>
  <c r="E55" i="47" s="1"/>
  <c r="E16" i="47"/>
  <c r="D28" i="49"/>
  <c r="D36" i="49" s="1"/>
  <c r="D44" i="49" s="1"/>
  <c r="D45" i="49" s="1"/>
  <c r="C37" i="46"/>
  <c r="E35" i="46"/>
  <c r="E37" i="46" s="1"/>
  <c r="C11" i="49"/>
  <c r="I45" i="48"/>
  <c r="H50" i="46"/>
  <c r="H54" i="46" s="1"/>
  <c r="G34" i="47"/>
  <c r="G35" i="47" s="1"/>
  <c r="G55" i="47" s="1"/>
  <c r="I27" i="47"/>
  <c r="O34" i="24" s="1"/>
  <c r="G55" i="46"/>
  <c r="I50" i="46"/>
  <c r="I49" i="46"/>
  <c r="C33" i="24"/>
  <c r="O33" i="24"/>
  <c r="G45" i="49"/>
  <c r="E14" i="48"/>
  <c r="E22" i="48" s="1"/>
  <c r="E24" i="48" s="1"/>
  <c r="E26" i="48" s="1"/>
  <c r="O10" i="24"/>
  <c r="H17" i="24" l="1"/>
  <c r="G19" i="24"/>
  <c r="C26" i="49"/>
  <c r="C28" i="49" s="1"/>
  <c r="C29" i="49"/>
  <c r="E29" i="49"/>
  <c r="C36" i="48"/>
  <c r="C44" i="48" s="1"/>
  <c r="C45" i="48" s="1"/>
  <c r="I41" i="24"/>
  <c r="H42" i="24"/>
  <c r="H27" i="24"/>
  <c r="G33" i="24"/>
  <c r="F9" i="24"/>
  <c r="E13" i="49"/>
  <c r="E25" i="49" s="1"/>
  <c r="E34" i="47"/>
  <c r="C55" i="47"/>
  <c r="E55" i="46"/>
  <c r="E11" i="49"/>
  <c r="I14" i="49"/>
  <c r="I21" i="49" s="1"/>
  <c r="I26" i="49" s="1"/>
  <c r="C37" i="47"/>
  <c r="I34" i="47"/>
  <c r="I35" i="47" s="1"/>
  <c r="E37" i="47" s="1"/>
  <c r="I54" i="46"/>
  <c r="I55" i="46" s="1"/>
  <c r="C10" i="24"/>
  <c r="D10" i="24" s="1"/>
  <c r="O14" i="24"/>
  <c r="O22" i="24" s="1"/>
  <c r="O40" i="24"/>
  <c r="O43" i="24" s="1"/>
  <c r="C34" i="24"/>
  <c r="D34" i="24" s="1"/>
  <c r="I17" i="24" l="1"/>
  <c r="H19" i="24"/>
  <c r="E36" i="48"/>
  <c r="E44" i="48" s="1"/>
  <c r="E45" i="48" s="1"/>
  <c r="C36" i="49"/>
  <c r="C44" i="49" s="1"/>
  <c r="C45" i="49" s="1"/>
  <c r="J41" i="24"/>
  <c r="I42" i="24"/>
  <c r="E34" i="24"/>
  <c r="D40" i="24"/>
  <c r="D43" i="24" s="1"/>
  <c r="E26" i="49"/>
  <c r="E28" i="49" s="1"/>
  <c r="E36" i="49" s="1"/>
  <c r="E44" i="49" s="1"/>
  <c r="E10" i="24"/>
  <c r="D14" i="24"/>
  <c r="D22" i="24" s="1"/>
  <c r="I27" i="24"/>
  <c r="H33" i="24"/>
  <c r="G9" i="24"/>
  <c r="C14" i="24"/>
  <c r="C22" i="24" s="1"/>
  <c r="C40" i="24"/>
  <c r="C43" i="24" s="1"/>
  <c r="I45" i="49"/>
  <c r="I55" i="47"/>
  <c r="E57" i="47" s="1"/>
  <c r="J17" i="24" l="1"/>
  <c r="I19" i="24"/>
  <c r="K41" i="24"/>
  <c r="J42" i="24"/>
  <c r="F34" i="24"/>
  <c r="E40" i="24"/>
  <c r="E43" i="24" s="1"/>
  <c r="F10" i="24"/>
  <c r="E14" i="24"/>
  <c r="E22" i="24" s="1"/>
  <c r="J27" i="24"/>
  <c r="I33" i="24"/>
  <c r="H9" i="24"/>
  <c r="E45" i="49"/>
  <c r="K17" i="24" l="1"/>
  <c r="J19" i="24"/>
  <c r="L41" i="24"/>
  <c r="K42" i="24"/>
  <c r="G34" i="24"/>
  <c r="F40" i="24"/>
  <c r="F43" i="24" s="1"/>
  <c r="G10" i="24"/>
  <c r="F14" i="24"/>
  <c r="F22" i="24" s="1"/>
  <c r="K27" i="24"/>
  <c r="J33" i="24"/>
  <c r="I9" i="24"/>
  <c r="L17" i="24" l="1"/>
  <c r="K19" i="24"/>
  <c r="M41" i="24"/>
  <c r="L42" i="24"/>
  <c r="H34" i="24"/>
  <c r="G40" i="24"/>
  <c r="G43" i="24" s="1"/>
  <c r="H10" i="24"/>
  <c r="G14" i="24"/>
  <c r="G22" i="24" s="1"/>
  <c r="L27" i="24"/>
  <c r="K33" i="24"/>
  <c r="J9" i="24"/>
  <c r="F71" i="7"/>
  <c r="H17" i="46"/>
  <c r="H17" i="47" s="1"/>
  <c r="M17" i="24" l="1"/>
  <c r="L19" i="24"/>
  <c r="N41" i="24"/>
  <c r="N42" i="24" s="1"/>
  <c r="M42" i="24"/>
  <c r="I34" i="24"/>
  <c r="H40" i="24"/>
  <c r="H43" i="24" s="1"/>
  <c r="I10" i="24"/>
  <c r="H14" i="24"/>
  <c r="H22" i="24" s="1"/>
  <c r="M27" i="24"/>
  <c r="L33" i="24"/>
  <c r="K9" i="24"/>
  <c r="H16" i="48"/>
  <c r="H22" i="48" s="1"/>
  <c r="H24" i="48" s="1"/>
  <c r="H24" i="47"/>
  <c r="H35" i="47" s="1"/>
  <c r="H24" i="46"/>
  <c r="H35" i="46" s="1"/>
  <c r="N17" i="24" l="1"/>
  <c r="N19" i="24" s="1"/>
  <c r="M19" i="24"/>
  <c r="O42" i="24"/>
  <c r="J34" i="24"/>
  <c r="I40" i="24"/>
  <c r="I43" i="24" s="1"/>
  <c r="J10" i="24"/>
  <c r="I14" i="24"/>
  <c r="I22" i="24" s="1"/>
  <c r="N27" i="24"/>
  <c r="N33" i="24" s="1"/>
  <c r="M33" i="24"/>
  <c r="L9" i="24"/>
  <c r="H45" i="48"/>
  <c r="D26" i="48"/>
  <c r="D36" i="48" s="1"/>
  <c r="D44" i="48" s="1"/>
  <c r="D45" i="48" s="1"/>
  <c r="H55" i="46"/>
  <c r="D37" i="46"/>
  <c r="D37" i="47"/>
  <c r="H55" i="47"/>
  <c r="E128" i="8"/>
  <c r="K34" i="24" l="1"/>
  <c r="J40" i="24"/>
  <c r="J43" i="24" s="1"/>
  <c r="K10" i="24"/>
  <c r="J14" i="24"/>
  <c r="J22" i="24" s="1"/>
  <c r="M9" i="24"/>
  <c r="L34" i="24" l="1"/>
  <c r="K40" i="24"/>
  <c r="K43" i="24" s="1"/>
  <c r="L10" i="24"/>
  <c r="K14" i="24"/>
  <c r="K22" i="24" s="1"/>
  <c r="N9" i="24"/>
  <c r="M34" i="24" l="1"/>
  <c r="L40" i="24"/>
  <c r="L43" i="24" s="1"/>
  <c r="M10" i="24"/>
  <c r="L14" i="24"/>
  <c r="L22" i="24" s="1"/>
  <c r="N34" i="24" l="1"/>
  <c r="N40" i="24" s="1"/>
  <c r="N43" i="24" s="1"/>
  <c r="M40" i="24"/>
  <c r="M43" i="24" s="1"/>
  <c r="N10" i="24"/>
  <c r="N14" i="24" s="1"/>
  <c r="N22" i="24" s="1"/>
  <c r="M14" i="24"/>
  <c r="M22" i="24" s="1"/>
</calcChain>
</file>

<file path=xl/comments1.xml><?xml version="1.0" encoding="utf-8"?>
<comments xmlns="http://schemas.openxmlformats.org/spreadsheetml/2006/main">
  <authors>
    <author>Szerző</author>
  </authors>
  <commentList>
    <comment ref="G5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<sst xmlns="http://schemas.openxmlformats.org/spreadsheetml/2006/main" count="3215" uniqueCount="1408">
  <si>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</si>
  <si>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</si>
  <si>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</si>
  <si>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</si>
  <si>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</si>
  <si>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</si>
  <si>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</si>
  <si>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</si>
  <si>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</si>
  <si>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</si>
  <si>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</si>
  <si>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</si>
  <si>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</si>
  <si>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</si>
  <si>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</si>
  <si>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</si>
  <si>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</si>
  <si>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</si>
  <si>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</si>
  <si>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</si>
  <si>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</si>
  <si>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</si>
  <si>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</si>
  <si>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</si>
  <si>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</si>
  <si>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</si>
  <si>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</si>
  <si>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</si>
  <si>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</si>
  <si>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</si>
  <si>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</si>
  <si>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</si>
  <si>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</si>
  <si>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</si>
  <si>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</si>
  <si>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</si>
  <si>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</si>
  <si>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</si>
  <si>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</si>
  <si>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</si>
  <si>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</si>
  <si>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</si>
  <si>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</si>
  <si>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</si>
  <si>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</si>
  <si>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</si>
  <si>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</si>
  <si>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</si>
  <si>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</si>
  <si>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</si>
  <si>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</si>
  <si>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</si>
  <si>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</si>
  <si>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</si>
  <si>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</si>
  <si>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</si>
  <si>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</si>
  <si>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</si>
  <si>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</si>
  <si>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</si>
  <si>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</si>
  <si>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</si>
  <si>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</si>
  <si>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</si>
  <si>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</si>
  <si>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</si>
  <si>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</si>
  <si>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</si>
  <si>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</si>
  <si>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</si>
  <si>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</si>
  <si>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</si>
  <si>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</si>
  <si>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</si>
  <si>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</si>
  <si>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</si>
  <si>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</si>
  <si>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</si>
  <si>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</si>
  <si>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</si>
  <si>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</si>
  <si>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</si>
  <si>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</si>
  <si>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</si>
  <si>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</si>
  <si>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</si>
  <si>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</si>
  <si>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</si>
  <si>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VI.</t>
  </si>
  <si>
    <t xml:space="preserve">VII. </t>
  </si>
  <si>
    <t>VIII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</si>
  <si>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</si>
  <si>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</si>
  <si>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</si>
  <si>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</si>
  <si>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</si>
  <si>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</si>
  <si>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</si>
  <si>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</si>
  <si>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</si>
  <si>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</si>
  <si>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</si>
  <si>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</si>
  <si>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</si>
  <si>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</si>
  <si>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</si>
  <si>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</si>
  <si>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</si>
  <si>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</si>
  <si>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</si>
  <si>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</si>
  <si>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</si>
  <si>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</si>
  <si>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</si>
  <si>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</si>
  <si>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</si>
  <si>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</si>
  <si>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</si>
  <si>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</si>
  <si>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</si>
  <si>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</si>
  <si>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</si>
  <si>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</si>
  <si>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</si>
  <si>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</si>
  <si>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</si>
  <si>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</si>
  <si>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</si>
  <si>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</si>
  <si>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</si>
  <si>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</si>
  <si>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</si>
  <si>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</si>
  <si>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</si>
  <si>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</si>
  <si>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</si>
  <si>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</si>
  <si>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</si>
  <si>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</si>
  <si>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</si>
  <si>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</si>
  <si>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</si>
  <si>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</si>
  <si>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</si>
  <si>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</si>
  <si>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</si>
  <si>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</si>
  <si>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</si>
  <si>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</si>
  <si>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</si>
  <si>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</si>
  <si>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</si>
  <si>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</si>
  <si>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</si>
  <si>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</si>
  <si>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</si>
  <si>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</si>
  <si>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</si>
  <si>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</si>
  <si>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</si>
  <si>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</si>
  <si>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</si>
  <si>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</si>
  <si>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</si>
  <si>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</si>
  <si>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</si>
  <si>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</si>
  <si>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</si>
  <si>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</si>
  <si>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</si>
  <si>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</si>
  <si>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</si>
  <si>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</si>
  <si>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</si>
  <si>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</si>
  <si>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</si>
  <si>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</si>
  <si>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</si>
  <si>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</si>
  <si>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 xml:space="preserve"> Brunszvik Teréz Napközi Otthonos Óvoda összesen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</si>
  <si>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</si>
  <si>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</si>
  <si>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</si>
  <si>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</si>
  <si>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</si>
  <si>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</si>
  <si>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</si>
  <si>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</si>
  <si>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</si>
  <si>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</si>
  <si>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</si>
  <si>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</si>
  <si>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</si>
  <si>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</si>
  <si>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</si>
  <si>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</si>
  <si>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</si>
  <si>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</si>
  <si>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</si>
  <si>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</si>
  <si>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</si>
  <si>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</si>
  <si>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</si>
  <si>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</si>
  <si>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</si>
  <si>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</si>
  <si>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</si>
  <si>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</si>
  <si>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</si>
  <si>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</si>
  <si>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</si>
  <si>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</si>
  <si>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</si>
  <si>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</si>
  <si>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</si>
  <si>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</si>
  <si>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</si>
  <si>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</si>
  <si>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</si>
  <si>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</si>
  <si>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</si>
  <si>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</si>
  <si>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</si>
  <si>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</si>
  <si>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</si>
  <si>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</si>
  <si>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</si>
  <si>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</si>
  <si>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</si>
  <si>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</si>
  <si>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</si>
  <si>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</si>
  <si>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</si>
  <si>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</si>
  <si>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</si>
  <si>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</si>
  <si>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</si>
  <si>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</si>
  <si>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</si>
  <si>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</si>
  <si>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</si>
  <si>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</si>
  <si>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</si>
  <si>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</si>
  <si>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</si>
  <si>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</si>
  <si>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</si>
  <si>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</si>
  <si>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</si>
  <si>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</si>
  <si>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</si>
  <si>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</si>
  <si>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</si>
  <si>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</si>
  <si>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</si>
  <si>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</si>
  <si>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</si>
  <si>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</si>
  <si>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</si>
  <si>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</si>
  <si>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</si>
  <si>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</si>
  <si>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</si>
  <si>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</si>
  <si>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</si>
  <si>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</si>
  <si>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</si>
  <si>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</si>
  <si>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</si>
  <si>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</si>
  <si>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</si>
  <si>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</si>
  <si>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</si>
  <si>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</si>
  <si>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</si>
  <si>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</si>
  <si>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</si>
  <si>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</si>
  <si>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</si>
  <si>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</si>
  <si>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</si>
  <si>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</si>
  <si>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</si>
  <si>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</si>
  <si>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</si>
  <si>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</si>
  <si>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</si>
  <si>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</si>
  <si>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</si>
  <si>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</si>
  <si>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</si>
  <si>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</si>
  <si>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</si>
  <si>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</si>
  <si>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</si>
  <si>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</si>
  <si>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</si>
  <si>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</si>
  <si>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</si>
  <si>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</si>
  <si>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</si>
  <si>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</si>
  <si>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</si>
  <si>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</si>
  <si>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</si>
  <si>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</si>
  <si>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</si>
  <si>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</si>
  <si>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</si>
  <si>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</si>
  <si>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</si>
  <si>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</si>
  <si>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</si>
  <si>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</si>
  <si>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</si>
  <si>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</si>
  <si>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</si>
  <si>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</si>
  <si>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</si>
  <si>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</si>
  <si>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</si>
  <si>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</si>
  <si>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</si>
  <si>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</si>
  <si>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</si>
  <si>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</si>
  <si>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</si>
  <si>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</si>
  <si>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</si>
  <si>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</si>
  <si>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</si>
  <si>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</si>
  <si>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</si>
  <si>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</si>
  <si>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</si>
  <si>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</si>
  <si>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</si>
  <si>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</si>
  <si>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</si>
  <si>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</si>
  <si>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</si>
  <si>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</si>
  <si>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</si>
  <si>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</si>
  <si>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</si>
  <si>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</si>
  <si>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</si>
  <si>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</si>
  <si>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</si>
  <si>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</si>
  <si>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</si>
  <si>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</si>
  <si>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</si>
  <si>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</si>
  <si>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</si>
  <si>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</si>
  <si>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</si>
  <si>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</si>
  <si>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</si>
  <si>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</si>
  <si>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</si>
  <si>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</si>
  <si>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</si>
  <si>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</si>
  <si>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</si>
  <si>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</si>
  <si>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</si>
  <si>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</si>
  <si>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</si>
  <si>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</si>
  <si>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</si>
  <si>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</si>
  <si>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</si>
  <si>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</si>
  <si>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</si>
  <si>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</si>
  <si>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</si>
  <si>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</si>
  <si>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</si>
  <si>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</si>
  <si>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</si>
  <si>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</si>
  <si>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</si>
  <si>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</si>
  <si>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</si>
  <si>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</si>
  <si>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</si>
  <si>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</si>
  <si>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</si>
  <si>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</si>
  <si>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</si>
  <si>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</si>
  <si>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</si>
  <si>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</si>
  <si>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</si>
  <si>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</si>
  <si>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</si>
  <si>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</si>
  <si>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</si>
  <si>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</si>
  <si>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</si>
  <si>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</si>
  <si>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</si>
  <si>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</si>
  <si>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</si>
  <si>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</si>
  <si>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</si>
  <si>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</si>
  <si>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</si>
  <si>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</si>
  <si>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</si>
  <si>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</si>
  <si>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</si>
  <si>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</si>
  <si>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</si>
  <si>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</si>
  <si>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</si>
  <si>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</si>
  <si>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</si>
  <si>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</si>
  <si>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</si>
  <si>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</si>
  <si>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</si>
  <si>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</si>
  <si>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</si>
  <si>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</si>
  <si>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</si>
  <si>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</si>
  <si>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</si>
  <si>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</si>
  <si>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</si>
  <si>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</si>
  <si>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</si>
  <si>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</si>
  <si>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</si>
  <si>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</si>
  <si>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</si>
  <si>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</si>
  <si>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</si>
  <si>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</si>
  <si>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</si>
  <si>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</si>
  <si>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</si>
  <si>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</si>
  <si>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</si>
  <si>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</si>
  <si>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</si>
  <si>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</si>
  <si>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</si>
  <si>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</si>
  <si>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</si>
  <si>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</si>
  <si>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</si>
  <si>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</si>
  <si>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</si>
  <si>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</si>
  <si>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</si>
  <si>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</si>
  <si>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</si>
  <si>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</si>
  <si>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</si>
  <si>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</si>
  <si>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</si>
  <si>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</si>
  <si>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</si>
  <si>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</si>
  <si>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</si>
  <si>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</si>
  <si>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</si>
  <si>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</si>
  <si>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</si>
  <si>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</si>
  <si>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</si>
  <si>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</si>
  <si>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</si>
  <si>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</si>
  <si>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</si>
  <si>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</si>
  <si>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</si>
  <si>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</si>
  <si>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</si>
  <si>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</si>
  <si>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</si>
  <si>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</si>
  <si>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</si>
  <si>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</si>
  <si>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</si>
  <si>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</si>
  <si>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</si>
  <si>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</si>
  <si>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</si>
  <si>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</si>
  <si>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</si>
  <si>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</si>
  <si>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</si>
  <si>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</si>
  <si>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</si>
  <si>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</si>
  <si>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</si>
  <si>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</si>
  <si>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</si>
  <si>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</si>
  <si>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</si>
  <si>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</si>
  <si>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</si>
  <si>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</si>
  <si>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</si>
  <si>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Óvónő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</si>
  <si>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</si>
  <si>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</si>
  <si>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</si>
  <si>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</si>
  <si>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</si>
  <si>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</si>
  <si>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</si>
  <si>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</si>
  <si>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</si>
  <si>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</si>
  <si>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</si>
  <si>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</si>
  <si>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</si>
  <si>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</si>
  <si>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</si>
  <si>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</si>
  <si>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</si>
  <si>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</si>
  <si>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</si>
  <si>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</si>
  <si>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</si>
  <si>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</si>
  <si>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</si>
  <si>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</si>
  <si>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</si>
  <si>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</si>
  <si>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</si>
  <si>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</si>
  <si>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</si>
  <si>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</si>
  <si>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</si>
  <si>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</si>
  <si>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</si>
  <si>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</si>
  <si>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</si>
  <si>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</si>
  <si>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</si>
  <si>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</si>
  <si>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</si>
  <si>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</si>
  <si>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</si>
  <si>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</si>
  <si>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</si>
  <si>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</si>
  <si>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</si>
  <si>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</si>
  <si>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</si>
  <si>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</si>
  <si>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</si>
  <si>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</si>
  <si>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</si>
  <si>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</si>
  <si>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</si>
  <si>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</si>
  <si>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</si>
  <si>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</si>
  <si>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</si>
  <si>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</si>
  <si>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</si>
  <si>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</si>
  <si>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</si>
  <si>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</si>
  <si>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</si>
  <si>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</si>
  <si>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</si>
  <si>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</si>
  <si>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</si>
  <si>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</si>
  <si>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</si>
  <si>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</si>
  <si>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</si>
  <si>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</si>
  <si>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</si>
  <si>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</si>
  <si>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</si>
  <si>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</si>
  <si>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</si>
  <si>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</si>
  <si>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</si>
  <si>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</si>
  <si>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</si>
  <si>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</si>
  <si>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</si>
  <si>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</si>
  <si>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</si>
  <si>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</si>
  <si>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</si>
  <si>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</si>
  <si>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</si>
  <si>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</si>
  <si>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</si>
  <si>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</si>
  <si>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</si>
  <si>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</si>
  <si>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</si>
  <si>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</si>
  <si>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</si>
  <si>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</si>
  <si>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</si>
  <si>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</si>
  <si>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</si>
  <si>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</si>
  <si>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</si>
  <si>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</si>
  <si>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</si>
  <si>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</si>
  <si>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</si>
  <si>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</si>
  <si>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</si>
  <si>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</si>
  <si>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</si>
  <si>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</si>
  <si>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</si>
  <si>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</si>
  <si>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</si>
  <si>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</si>
  <si>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</si>
  <si>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</si>
  <si>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</si>
  <si>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</si>
  <si>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</si>
  <si>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</si>
  <si>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</si>
  <si>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</si>
  <si>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</si>
  <si>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</si>
  <si>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</si>
  <si>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</si>
  <si>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</si>
  <si>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</si>
  <si>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</si>
  <si>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</si>
  <si>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</si>
  <si>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</si>
  <si>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</si>
  <si>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</si>
  <si>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</si>
  <si>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</si>
  <si>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</si>
  <si>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</si>
  <si>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</si>
  <si>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</si>
  <si>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</si>
  <si>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</si>
  <si>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</si>
  <si>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</si>
  <si>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</si>
  <si>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</si>
  <si>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GAMESZ összesen:</t>
  </si>
  <si>
    <t>Nappali szociális ellátás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</si>
  <si>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</si>
  <si>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</si>
  <si>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</si>
  <si>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</si>
  <si>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</si>
  <si>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</si>
  <si>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</si>
  <si>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</si>
  <si>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</si>
  <si>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</si>
  <si>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</si>
  <si>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</si>
  <si>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</si>
  <si>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</si>
  <si>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</si>
  <si>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</si>
  <si>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</si>
  <si>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</si>
  <si>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</si>
  <si>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</si>
  <si>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</si>
  <si>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</si>
  <si>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</si>
  <si>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</si>
  <si>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</si>
  <si>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</si>
  <si>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</si>
  <si>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</si>
  <si>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</si>
  <si>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</si>
  <si>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</si>
  <si>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</si>
  <si>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</si>
  <si>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</si>
  <si>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</si>
  <si>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</si>
  <si>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</si>
  <si>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</si>
  <si>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</si>
  <si>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</si>
  <si>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</si>
  <si>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</si>
  <si>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16/2012. (III.28.) önk.r.</t>
  </si>
  <si>
    <t>Helyi díjak és kitüntetések</t>
  </si>
  <si>
    <t>32/2014.(IX.25.) önk.r.</t>
  </si>
  <si>
    <t>Közoktatásért díjak, kitüntetések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</si>
  <si>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</si>
  <si>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</si>
  <si>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</si>
  <si>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</si>
  <si>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</si>
  <si>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</si>
  <si>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</si>
  <si>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</si>
  <si>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</si>
  <si>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</si>
  <si>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</si>
  <si>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</si>
  <si>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</si>
  <si>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</si>
  <si>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</si>
  <si>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</si>
  <si>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dr Gelencsér Anita - Parkolási Iroda bírságbehajtás</t>
  </si>
  <si>
    <t>Flavius Üzletház Társasház - közös ktg.</t>
  </si>
  <si>
    <t>Maraton Lapcsoport - Hévíz Forrás időszaki lap előállítása</t>
  </si>
  <si>
    <t>SZO/189-1/2015</t>
  </si>
  <si>
    <t>BMA Tanácsadó és Szolg. Bt - pénzügyi-számviteli tanácsadás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</si>
  <si>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</si>
  <si>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</si>
  <si>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</si>
  <si>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</si>
  <si>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</si>
  <si>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KGO/153-8/2015</t>
  </si>
  <si>
    <t>KGO/201-9/2015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</si>
  <si>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</si>
  <si>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</si>
  <si>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</si>
  <si>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</si>
  <si>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</si>
  <si>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</si>
  <si>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</si>
  <si>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</si>
  <si>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</si>
  <si>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</si>
  <si>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</si>
  <si>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</si>
  <si>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</si>
  <si>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</si>
  <si>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</si>
  <si>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</si>
  <si>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</si>
  <si>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</si>
  <si>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</si>
  <si>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</si>
  <si>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</si>
  <si>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</si>
  <si>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</si>
  <si>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</si>
  <si>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</si>
  <si>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</si>
  <si>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</si>
  <si>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</si>
  <si>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</si>
  <si>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</si>
  <si>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</si>
  <si>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</si>
  <si>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</si>
  <si>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</si>
  <si>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</si>
  <si>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</si>
  <si>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</si>
  <si>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</si>
  <si>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</si>
  <si>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</si>
  <si>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</si>
  <si>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</si>
  <si>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</si>
  <si>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</si>
  <si>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</si>
  <si>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</si>
  <si>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</si>
  <si>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</si>
  <si>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</si>
  <si>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</si>
  <si>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</si>
  <si>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</si>
  <si>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</si>
  <si>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</si>
  <si>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</si>
  <si>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</si>
  <si>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</si>
  <si>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</si>
  <si>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</si>
  <si>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</si>
  <si>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</si>
  <si>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</si>
  <si>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</si>
  <si>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</si>
  <si>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</si>
  <si>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</si>
  <si>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</si>
  <si>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</si>
  <si>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</si>
  <si>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</si>
  <si>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</si>
  <si>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</si>
  <si>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</si>
  <si>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</si>
  <si>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</si>
  <si>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</si>
  <si>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</si>
  <si>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</si>
  <si>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</si>
  <si>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</si>
  <si>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</si>
  <si>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</si>
  <si>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</si>
  <si>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</si>
  <si>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</si>
  <si>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</si>
  <si>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</si>
  <si>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</si>
  <si>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</si>
  <si>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</si>
  <si>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</si>
  <si>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</si>
  <si>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</si>
  <si>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</si>
  <si>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</si>
  <si>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</si>
  <si>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</si>
  <si>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</si>
  <si>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</si>
  <si>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</si>
  <si>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</si>
  <si>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</si>
  <si>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</si>
  <si>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</si>
  <si>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</si>
  <si>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</si>
  <si>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</si>
  <si>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</si>
  <si>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</si>
  <si>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</si>
  <si>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</si>
  <si>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</si>
  <si>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</si>
  <si>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</si>
  <si>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</si>
  <si>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</si>
  <si>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</si>
  <si>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</si>
  <si>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</si>
  <si>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</si>
  <si>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</si>
  <si>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</si>
  <si>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</si>
  <si>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</si>
  <si>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</si>
  <si>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</si>
  <si>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</si>
  <si>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</si>
  <si>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</si>
  <si>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</si>
  <si>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</si>
  <si>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</si>
  <si>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</si>
  <si>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</si>
  <si>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</si>
  <si>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</si>
  <si>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</si>
  <si>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</si>
  <si>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</si>
  <si>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</si>
  <si>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</si>
  <si>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</si>
  <si>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</si>
  <si>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</si>
  <si>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</si>
  <si>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</si>
  <si>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</si>
  <si>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</si>
  <si>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</si>
  <si>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</si>
  <si>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</si>
  <si>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</si>
  <si>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</si>
  <si>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</si>
  <si>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</si>
  <si>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</si>
  <si>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</si>
  <si>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</si>
  <si>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</si>
  <si>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</si>
  <si>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</si>
  <si>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</si>
  <si>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</si>
  <si>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</si>
  <si>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</si>
  <si>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>Vagyonvill Keszthely Kft - Kormányablak tűzjelző rendszer távfelügyeleti  díja + karbantartás</t>
  </si>
  <si>
    <t>2019.</t>
  </si>
  <si>
    <t>Aegon Biztosító Zrt -Önkormányzati Vagyonbiztosítás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</si>
  <si>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</si>
  <si>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</si>
  <si>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</si>
  <si>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</si>
  <si>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</si>
  <si>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</si>
  <si>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</si>
  <si>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</si>
  <si>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</si>
  <si>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</si>
  <si>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</si>
  <si>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 xml:space="preserve">Gazdasági szervezet </t>
  </si>
  <si>
    <t>TC Informatika Kft - közterületfigyelő rendszer üzemeltetése</t>
  </si>
  <si>
    <t>SZO/181-28/2016</t>
  </si>
  <si>
    <t>Gazdasági Ellátó Szervezet Keszthely - gyepmesteri és állatorvosi tev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</si>
  <si>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</si>
  <si>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</si>
  <si>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</si>
  <si>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</si>
  <si>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</si>
  <si>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</si>
  <si>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</si>
  <si>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</si>
  <si>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</si>
  <si>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</si>
  <si>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</si>
  <si>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Keszthelyi Mentők Alapítvány</t>
  </si>
  <si>
    <t xml:space="preserve">Hévíz Sportkör visszatérítendő támogatás 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</si>
  <si>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</si>
  <si>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</si>
  <si>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</si>
  <si>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</si>
  <si>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</si>
  <si>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 xml:space="preserve">Informatikai eszközök </t>
  </si>
  <si>
    <t>502208 Térségi Sport és rendezvénycsarnok ép.</t>
  </si>
  <si>
    <t>505102 Nemzetközi kapcsolatok</t>
  </si>
  <si>
    <t>505202 Forrás újság</t>
  </si>
  <si>
    <t>505401 Parkolási tevékenység</t>
  </si>
  <si>
    <t xml:space="preserve"> 505402  HeBi üzemeltetés</t>
  </si>
  <si>
    <t xml:space="preserve">505601 Nyári napközi </t>
  </si>
  <si>
    <t xml:space="preserve">503302 Hévíz Hazavár ösztöndíj </t>
  </si>
  <si>
    <t>504101 Ingatlanhasznosítás</t>
  </si>
  <si>
    <t>505403 Történelmi helyek (egregyi romkert)</t>
  </si>
  <si>
    <t xml:space="preserve">                Hitel felhasználása felhalmozásra </t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</si>
  <si>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</si>
  <si>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</si>
  <si>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</si>
  <si>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</si>
  <si>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</si>
  <si>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</si>
  <si>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</si>
  <si>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</si>
  <si>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</si>
  <si>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</si>
  <si>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</si>
  <si>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</si>
  <si>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</si>
  <si>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</si>
  <si>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</si>
  <si>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</si>
  <si>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</si>
  <si>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</si>
  <si>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</si>
  <si>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</si>
  <si>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</si>
  <si>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</si>
  <si>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</si>
  <si>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</si>
  <si>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</si>
  <si>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</si>
  <si>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</si>
  <si>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</si>
  <si>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</si>
  <si>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</si>
  <si>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 xml:space="preserve">2018. évi előirányzat </t>
  </si>
  <si>
    <t>Közép-keleti város rész csapadékelvezetés tervezése és kivitelezése (Babocsay és Dombföldi utca)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</si>
  <si>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</si>
  <si>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</si>
  <si>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</si>
  <si>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</si>
  <si>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</si>
  <si>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</si>
  <si>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</si>
  <si>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</si>
  <si>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</si>
  <si>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</si>
  <si>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</si>
  <si>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</si>
  <si>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</si>
  <si>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</si>
  <si>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</si>
  <si>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</si>
  <si>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</si>
  <si>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</si>
  <si>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</si>
  <si>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</si>
  <si>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505502 Város és közs.gazd. (Sportszálló alatti Eon vezeték kiváltása)</t>
  </si>
  <si>
    <t>Magyar Máltai Szeretetszolgálat: Támogató szolgálat</t>
  </si>
  <si>
    <t xml:space="preserve">2018. évi előirányzat összesen </t>
  </si>
  <si>
    <t>Új szinpad (heti 20 óra)</t>
  </si>
  <si>
    <t>a költségvetési évet követő három évre kihatással járó döntésekből származó kötelezettségek célok szerint, évenkénti bontásban</t>
  </si>
  <si>
    <t>2021.</t>
  </si>
  <si>
    <t>SZO/465-2/2016</t>
  </si>
  <si>
    <t>Cserna-Szabó András - Hévíz Folyóirat főszerkesztői  feladatok ellátása</t>
  </si>
  <si>
    <t>SZO/492-1/2017</t>
  </si>
  <si>
    <t>Lukács Péter Dániel - városi rendezvényekről sajtó fotó készités</t>
  </si>
  <si>
    <t>KGO/217-14/2017</t>
  </si>
  <si>
    <t>CIB Bank Zrt - Önk.Infr.Fejl.Program 2020 - hitel</t>
  </si>
  <si>
    <t>Dr. Farkas Ügyvédi Iroda</t>
  </si>
  <si>
    <t>EMoGÁ Kft</t>
  </si>
  <si>
    <t>64.</t>
  </si>
  <si>
    <t>65.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</si>
  <si>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</si>
  <si>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</si>
  <si>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</si>
  <si>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</si>
  <si>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</si>
  <si>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</si>
  <si>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</si>
  <si>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</si>
  <si>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</si>
  <si>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</si>
  <si>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</si>
  <si>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</si>
  <si>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</si>
  <si>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</si>
  <si>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</si>
  <si>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</si>
  <si>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</si>
  <si>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</si>
  <si>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</si>
  <si>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</si>
  <si>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</si>
  <si>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</si>
  <si>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</si>
  <si>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</si>
  <si>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</si>
  <si>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</si>
  <si>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</si>
  <si>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</si>
  <si>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</si>
  <si>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</si>
  <si>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</si>
  <si>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</si>
  <si>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</si>
  <si>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</si>
  <si>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</si>
  <si>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</si>
  <si>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</si>
  <si>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</si>
  <si>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</si>
  <si>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</si>
  <si>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</si>
  <si>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>2019. évi  engedélyezett létszámkeret</t>
  </si>
  <si>
    <t xml:space="preserve">Tárgyi eszköz beszerzés </t>
  </si>
  <si>
    <t>505502 Város és közs.gazd. (csapadékvíz mentesítés, karbantartás)</t>
  </si>
  <si>
    <t>Visszatérítendő felhalmozási kölcsön nyújtása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</si>
  <si>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</si>
  <si>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</si>
  <si>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</si>
  <si>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pont szerinti támogatás beszámítás nélkül: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</si>
  <si>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</si>
  <si>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</si>
  <si>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</si>
  <si>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</si>
  <si>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</si>
  <si>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</si>
  <si>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</si>
  <si>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>I-V. mindösszesen</t>
  </si>
  <si>
    <t>HEBI állomás áthelyezése a helyi járati autóbusz pu-hoz</t>
  </si>
  <si>
    <t xml:space="preserve">  Keszthely adó- átadás</t>
  </si>
  <si>
    <t xml:space="preserve">  Alsópáhok adó-átadás</t>
  </si>
  <si>
    <t>HÉSZ módosítás</t>
  </si>
  <si>
    <t>1/1.</t>
  </si>
  <si>
    <t>1/2.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</si>
  <si>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</si>
  <si>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</si>
  <si>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t>Hévíz Balaton Airport Kft (működési és marketing tevékenység)</t>
  </si>
  <si>
    <t>2022.</t>
  </si>
  <si>
    <t xml:space="preserve">  .../201. (……..) önkormányzati rendelet 5. melléklete</t>
  </si>
  <si>
    <t>2020.</t>
  </si>
  <si>
    <t>Idősek bentlakásos ellátása</t>
  </si>
  <si>
    <t>Családi- és nővédelmi egészségügyi gondozás (védőnők)</t>
  </si>
  <si>
    <t>Bölcsődei  dajkák 2 fő  és kisegítő 1 fő</t>
  </si>
  <si>
    <t>Bölcsőde:                                                                bölcsődevezető, kisgyermeknevelő1 fő,  valamint  kisgyermeknevelő 4 fő</t>
  </si>
  <si>
    <t>Bölcsődei gyógypedagógiai asszisztens (4 órás)</t>
  </si>
  <si>
    <t>Háziorvosi ügyeleti ellátás: ügyeleti koordinátor 1 fő, gkvezető 3 fő, takaritó 1 fő</t>
  </si>
  <si>
    <t>Házi segítségnyújtás (vezető 1 fő és gondozó 7 fő)</t>
  </si>
  <si>
    <t>TASZII</t>
  </si>
  <si>
    <t>Önkormányzat és intézményei által biztosított közvetett támogatás</t>
  </si>
  <si>
    <t>Önkormányzat:</t>
  </si>
  <si>
    <t>Szociális étkezés esetében  méltányossági okból biztosított közvetett támogatás</t>
  </si>
  <si>
    <t>TASZII összesen:</t>
  </si>
  <si>
    <t xml:space="preserve"> Önkormányzatnál biztosított közvetett támogatás összes</t>
  </si>
  <si>
    <t>Önkormányzat és intézményei összesen:</t>
  </si>
  <si>
    <t>Az adózás rendjéről szóló 2017. évi CL. tv. figyelembe vételével méltányosságból származó kedvezmény</t>
  </si>
  <si>
    <t>Emberi Erőforrások Támogatáskezelő</t>
  </si>
  <si>
    <t>Központi kezelésű előirányzatok:</t>
  </si>
  <si>
    <t>Egyéb fejezeti kezelésű előirányzatok</t>
  </si>
  <si>
    <t>66.</t>
  </si>
  <si>
    <t>67.</t>
  </si>
  <si>
    <t>68.</t>
  </si>
  <si>
    <t>Fejezeti kezelésű előirányzatok:</t>
  </si>
  <si>
    <t xml:space="preserve">502222 Városi térfigyelő kamerarendszer </t>
  </si>
  <si>
    <t>Hévízi Kálvin Alapítvány</t>
  </si>
  <si>
    <r>
      <rPr>
        <u/>
        <sz val="12"/>
        <rFont val="Times New Roman"/>
        <family val="1"/>
        <charset val="238"/>
      </rPr>
      <t>Iparűzési adó:</t>
    </r>
    <r>
      <rPr>
        <sz val="12"/>
        <rFont val="Times New Roman"/>
        <family val="1"/>
        <charset val="238"/>
      </rPr>
      <t xml:space="preserve">    25% adókedvezmény azon vállalkozók részére, akik vállalkozási szintű adóalapja nem haladja meg a 2.500 e forintot,                                  </t>
    </r>
  </si>
  <si>
    <t xml:space="preserve">valamint adómentesség azon háziorvos, védőnő vállalkozók részére akik vállalkozási szintű adóalapja adóévben a 20.000 ezer forintot nem haladja meg </t>
  </si>
  <si>
    <t xml:space="preserve"> 18. melléklet a ../2019. (…..) rendelethez, 5. melléklet 6/2019. (II. 1.) önkormányzati rendelethez  </t>
  </si>
  <si>
    <t>Kisebbségekért - proMinoritate Alapítvány</t>
  </si>
  <si>
    <t>Működési célú támogatások államháztartáson kívülre összesen:</t>
  </si>
  <si>
    <t>Hévíz, Zrinyi u. 99-179. házszám közötti felújítás tervezése</t>
  </si>
  <si>
    <t>Védőoltás</t>
  </si>
  <si>
    <t>503311 Védőoltás</t>
  </si>
  <si>
    <t>505602 Szünidei gyermekétkeztetés</t>
  </si>
  <si>
    <t>502230 Schullhof sétány GINOP-7.1.9-17 pályázat</t>
  </si>
  <si>
    <t>505301 Főépítészi feladatok ellátása</t>
  </si>
  <si>
    <t>505502 Város- és községgazdálkodás</t>
  </si>
  <si>
    <t>503301 Szociális célú tüzelőanyag, tüzifa</t>
  </si>
  <si>
    <t>503304 Gyógyszertámogatás</t>
  </si>
  <si>
    <t>503306 Lakhatási támogatás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</si>
  <si>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</si>
  <si>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</si>
  <si>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</si>
  <si>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</si>
  <si>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</si>
  <si>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505103 Reprezentáció</t>
  </si>
  <si>
    <t>503201 Működési célú pénzeszköz átadás</t>
  </si>
  <si>
    <t>Társult önkormányzatok orvosi ügyeleti kiadásokhoz hozzájárulás</t>
  </si>
  <si>
    <t>69.</t>
  </si>
  <si>
    <t>70.</t>
  </si>
  <si>
    <t>Szabó Lőrinc utcai új útszakasz telektulajd. fizetett önerő hozzájárulás</t>
  </si>
  <si>
    <t>Kálvária "Kulturbarangolás Hévízen"TOP 1.2.1-15 (engedélyezési tervdok. és ktgbecslés váll díj 30%-a)</t>
  </si>
  <si>
    <t>Hévíz Sportkör támogatása felhalmozásra</t>
  </si>
  <si>
    <t>502232 Szabó Lőrinc utca új útszakasz beruházás</t>
  </si>
  <si>
    <t>502303 Informatikai rendszer szállítása, bevezetése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</si>
  <si>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</si>
  <si>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 xml:space="preserve">2020. évi előirányzat </t>
  </si>
  <si>
    <t xml:space="preserve">Helyi önkormányzatok általános működésének és ágazati feladatainak  2020. évi várható támogatása </t>
  </si>
  <si>
    <r>
      <rPr>
        <b/>
        <sz val="9"/>
        <rFont val="Times New Roman"/>
        <family val="1"/>
        <charset val="238"/>
      </rPr>
      <t>2020. évi  állami támogatásból származó eredeti előirányzat szerint elszámolható támogatás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</si>
  <si>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2020.évre járó tényleges összeg  </t>
  </si>
  <si>
    <t>I.1.a) önkormányzati hivatal működésénak támogatása 2019 évi támogatása szerint</t>
  </si>
  <si>
    <t>KEKKH 2019. 01.01-re vomnatkozó adata: 4740 fő</t>
  </si>
  <si>
    <t>2020. február hónapban - a hivatalok törzskönyvezését követően - kerül sor az önkormányzati hivatal működésének támogatása jogcím ésa a beszámítás figyelembe vételével az önkormányzatot ténylegesen megillető támogatás megállapítására.</t>
  </si>
  <si>
    <t>373,5 ha</t>
  </si>
  <si>
    <t>25.200 Ft/ha</t>
  </si>
  <si>
    <r>
      <t>f) beszámítás, kiegészítés:  Beszámítás szerinti támogatás csökkentés összesen: = (25.671.471.729*0,55/100)*[100+(75.823-52.001)/(115.000-52.001)*(110-100)]/100=</t>
    </r>
    <r>
      <rPr>
        <b/>
        <sz val="9"/>
        <rFont val="Times New Roman"/>
        <family val="1"/>
        <charset val="238"/>
      </rPr>
      <t>146.532.071 Ft</t>
    </r>
  </si>
  <si>
    <t xml:space="preserve">II.1. Óvodában fogélalkoztatott  pedagógusok és az e pdedagógusok nevelőmunkáját közvetlenül segítők átlagbér alapú támogatása </t>
  </si>
  <si>
    <t xml:space="preserve">  II.1. (1)1 óvodapedagógusok elismert létszáma alapján járó átlagbér  támogatás összege</t>
  </si>
  <si>
    <t>124+6x2=136 fő és 107+4x2=115 fő</t>
  </si>
  <si>
    <t xml:space="preserve">  II.1.(2)1 pedagógus szakképzettséggel nem rendelkező, az óvodapedagógusok nevelő munkáját közvetlenük segítők átlagbér alapú támogatása</t>
  </si>
  <si>
    <t>Beszámítás: 2018. évi IPA alap szerint</t>
  </si>
  <si>
    <t xml:space="preserve">  II.2. (1) 1 óvodaműködtetési támogatás (óvoda napi nyitvatartási ideje eléri a 8 órát)</t>
  </si>
  <si>
    <t xml:space="preserve">  II.4.  Kiegészítő támogatás az óvodapedagógusok és pedagógus szakképzettséggel rendelkező segítők minősítéséből adódó többletkiadásokhoz</t>
  </si>
  <si>
    <t xml:space="preserve">      II. 4. a (1)Alapfokozatú végzettségű pedagógus II. kategóriába sorolt pedagógusok     kiegészíto támogatása, akik a minosítést 2019. január 1-jei átsorolással szerezték meg</t>
  </si>
  <si>
    <t>2020. január-1-ei átsorolással alapfokú II. minősítést szerzők támogatása májusban leszfelmérve . Önkormányzatunknál lesz 2 fő</t>
  </si>
  <si>
    <t xml:space="preserve">      II.4.a (2). Alapfokozatú végzettségű mesterpedagógus kategóriába sorolt pedagógusok kiegészítő támogatása, akik a minősítést 2019. január 1-jei átsorolással szerezték meg</t>
  </si>
  <si>
    <t>2020. január-1-ei átsorolással alapfgokú mester minősítést szerzők száma májusban lesz felmérve. Önkormányzatunknál lesz 2 fő</t>
  </si>
  <si>
    <t>II. összesen</t>
  </si>
  <si>
    <t>III. 1. Települési önkormányzatok szociális feladatainak egyéb támogatása 35.000 Ft/fő alatti adóerőképesség esetén differenciáltan jár</t>
  </si>
  <si>
    <t>III. 2. Egyes szociális és gyermekjóléti feladatok támogatása</t>
  </si>
  <si>
    <t xml:space="preserve"> III. 2. a) Család- és gyermekjóléti szolgálat</t>
  </si>
  <si>
    <t xml:space="preserve">   III.2 aa) Számított szakmai létszám meghatározása</t>
  </si>
  <si>
    <t xml:space="preserve">   III. 2. aaa) Számított alaplétszám (2019. 01.01-i lakosságszám szerint Cserszegtomaj 3343 fő) + (Hévíz népességnyilvántartó adata szerint 2019. 01.01: 4740 fő)</t>
  </si>
  <si>
    <t xml:space="preserve">   III. 2. aab) Számított kiegészítő létszám meghatározása közös hivatal esetén KLSZ= közöshivatal település szám szerint:0</t>
  </si>
  <si>
    <t xml:space="preserve">   III. 2. aac) Számított alaplétszám korrekciója (4 -nél kevesebb településből álló közös hivatal esetében és  minden más önkormányzat:1)</t>
  </si>
  <si>
    <t xml:space="preserve">   III. 2. ab) Támogatás  összege Hévíz 1; Cserszegtomaj 1</t>
  </si>
  <si>
    <t>Információnk szerint a felmérés a 2019. évi összeget hozza és 2020. első két hónapjában a 2019. évi támogatásnak megfelelően folyósítják a támogatást. 2020. márciustól változik a 2020. évi támogatásnak megfelelő összegre.</t>
  </si>
  <si>
    <t xml:space="preserve"> III. 2. c) Szociális étkezés</t>
  </si>
  <si>
    <r>
      <t xml:space="preserve"> </t>
    </r>
    <r>
      <rPr>
        <sz val="9"/>
        <rFont val="Times New Roman"/>
        <family val="1"/>
        <charset val="238"/>
      </rPr>
      <t xml:space="preserve">III. 2. d) Házi segítségnyújtás  </t>
    </r>
  </si>
  <si>
    <t xml:space="preserve">       III. 2. da) Szociális segítés</t>
  </si>
  <si>
    <t xml:space="preserve">       III. 2. db) Személyi gondozás</t>
  </si>
  <si>
    <t xml:space="preserve"> III. 2. f) Időskorúak nappali intézményi  ellátása</t>
  </si>
  <si>
    <t xml:space="preserve"> III. 3. Bölcsőde, mini bölcsőde támogatása</t>
  </si>
  <si>
    <t xml:space="preserve">      III.3.a) Finanszírozás szempontjából elismert szakmai dolgozók bértámogatása</t>
  </si>
  <si>
    <t xml:space="preserve">      III.3. b) Bölcsődei üzemeltetési támogatás (Miniszterek döntése alapján a települések típusát és adóerőképességét figy-be véve)</t>
  </si>
  <si>
    <t xml:space="preserve">   III. 4. a) Finanszírozás szempontjából elismert szakmai dolgozók bértámogatása                                              [45+(12 demens*1,19) ]/4=14,82</t>
  </si>
  <si>
    <t>571 fő</t>
  </si>
  <si>
    <r>
      <rPr>
        <sz val="9"/>
        <rFont val="Times New Roman"/>
        <family val="1"/>
        <charset val="238"/>
      </rPr>
      <t xml:space="preserve">V. Szolidaritási hozzájárulás: (146.802.364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759.242.056)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(75823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60001)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(125000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60001)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 xml:space="preserve">= </t>
    </r>
    <r>
      <rPr>
        <sz val="9"/>
        <rFont val="Times New Roman"/>
        <family val="1"/>
        <charset val="238"/>
      </rPr>
      <t>0</t>
    </r>
  </si>
  <si>
    <t>Kék= fajlagos érték 2019 évhez képest változik</t>
  </si>
  <si>
    <t>2020. évi költségvetés</t>
  </si>
  <si>
    <t xml:space="preserve">Költségvetési  szerveknél foglalkoztatottak 2019. dec. bérkompenzációja </t>
  </si>
  <si>
    <t xml:space="preserve">                                                                        2020. évi bérkompenzáció</t>
  </si>
  <si>
    <t>Turisztikailag frekventált térségek integrált termék és szolgáltatás fejlesztése - gyógyhely GINOP-7.1.9-16-2017-00004</t>
  </si>
  <si>
    <t>2020. évi költségvetés felhalmozási bevételek</t>
  </si>
  <si>
    <t xml:space="preserve">2020. évi bevételi előirányzat </t>
  </si>
  <si>
    <t>Ingatlanértékesítés (1455/106. hrsz-u terület; Kölcsey u-i nyilvános WC)</t>
  </si>
  <si>
    <t>Egyéb szálláshelyek 2020. évi minőségfejlesztési támogatása {192/2019. (VIII. 29.) Kt. hat.}</t>
  </si>
  <si>
    <t>2020. évi felhalmozási kiadásai</t>
  </si>
  <si>
    <t>PH felújítása (konferenciaterem + PM iroda)</t>
  </si>
  <si>
    <t>Kézilabda munkacsarnok csapadékvíz elvezetés kialakítása (1455/8 hrsz ingatlan közművesítése)</t>
  </si>
  <si>
    <t>Hévíz Város Térfigyelő kamerarendszerének  + Eon tápellátás kiépítése III. ütem (27 db kameraelhelyezése 21 helyszínen)</t>
  </si>
  <si>
    <t xml:space="preserve">Eszközbeszerzés </t>
  </si>
  <si>
    <t>áthuzodó</t>
  </si>
  <si>
    <t>Iroda felújítás</t>
  </si>
  <si>
    <t>IT eszközök közbeszerzése</t>
  </si>
  <si>
    <t>2020. évi költségvetési rendelet</t>
  </si>
  <si>
    <t>Hitelállomány 2020. 01. 01. napján</t>
  </si>
  <si>
    <t xml:space="preserve">Skoda Octavia </t>
  </si>
  <si>
    <t>Hévízi Futó és Fitnesz Egyesület</t>
  </si>
  <si>
    <t>2020 évi költségvetési rendelet</t>
  </si>
  <si>
    <r>
      <rPr>
        <u/>
        <sz val="11"/>
        <rFont val="Times New Roman"/>
        <family val="1"/>
        <charset val="238"/>
      </rPr>
      <t>Építményadó:</t>
    </r>
    <r>
      <rPr>
        <sz val="11"/>
        <rFont val="Times New Roman"/>
        <family val="1"/>
        <charset val="238"/>
      </rPr>
      <t xml:space="preserve"> 100 % adókedvezmény azon lakás és lakáshoz tartozó rendeltetésszerűen használt gépjárműtároló tulajdonosok részére, akik tárgyév január 1. napján az adott ingatlanban lakóhellyel rendelkeznek 2.287 adótárgy, 262.762 m2-re vonatkozóan.</t>
    </r>
  </si>
  <si>
    <t>2020. évi közhatalmi bevételek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</si>
  <si>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</t>
    </r>
  </si>
  <si>
    <t>1/3.</t>
  </si>
  <si>
    <t>önkormányzat által felvett hitelállomány alakulása, lejárat és eszközök alakulása szerinti bontásban</t>
  </si>
  <si>
    <t>Felvett hitel összege</t>
  </si>
  <si>
    <t xml:space="preserve">  hosszúlejáratú fejlesztési hitel</t>
  </si>
  <si>
    <t>8 év</t>
  </si>
  <si>
    <t xml:space="preserve">Euribor + 0,43 % + 1,5 % </t>
  </si>
  <si>
    <t>1/4.</t>
  </si>
  <si>
    <t>Fenntartható közlekedés  (műszaki ellenőri díjkülönbözet) nem része a pályázatnak 197/2019. (IX. 2.) kt hat</t>
  </si>
  <si>
    <t>Fenntartható közlekedés TOP-3.1.1-15-ZA1-2016-00007  megvalósítása Autobuszpályaudvar építés munkái</t>
  </si>
  <si>
    <t>Fenntartható közlekedés TOP-3.1.1-15-ZA1-2016-00007  megvalósítása Vörösmarty utcai kerékpárút  építés munkai</t>
  </si>
  <si>
    <t>Hévíz Város  fenntartható közlekedése TOP-3.1.1-15-ZA1-2016-00007</t>
  </si>
  <si>
    <t xml:space="preserve">Hévíz 1089/1hrsz-ú ( iskolaudvar)  kisméretű 20X 40 rekortán borítású pálya kiépítése </t>
  </si>
  <si>
    <t>Hévíz Széchenyi u. 54. és 56. házszámok közötti jelenleg útként és parkolóként használt kb.530m2 terület megvásárlása</t>
  </si>
  <si>
    <t>Szántó András ev. (Dr. Szántó Endre: "Hévíz története" V-VI. kötet)</t>
  </si>
  <si>
    <t>Idősek szakosított ellátása esetében méltányossági okból biztosított közvetett támogatás</t>
  </si>
  <si>
    <t>Jelzőrendszeres házi segítségnyújtás esetében méltányossági okból biztosított közvetett támogatás</t>
  </si>
  <si>
    <t xml:space="preserve">Aquamarin Szállodaüzemeltető Kft. üzletrész értékesítés </t>
  </si>
  <si>
    <t>.../2020. (... ...) önkormányzati rendelet 2/4. melléklete</t>
  </si>
  <si>
    <t>Beruházás ( Weidemann rakodógép 17.000 e Ft; egyéb 5.000 e Ft)</t>
  </si>
  <si>
    <t>Eszközbeszerzés (kisértékű tárgyi eszk 500 e Ft; Óvodai fejlesztés, napvitorla 1500 e Ft)</t>
  </si>
  <si>
    <t xml:space="preserve">Fenntartható közlekedés megvalósítása  (műszaki ellenőri tervezett kiadás, 2.111 e Ft és tartalék 733 ezer Ft) </t>
  </si>
  <si>
    <t>Musica Antiqua Együttes Baráti Köre működés</t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</si>
  <si>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</si>
  <si>
    <t>502206 Hévíz Város fenntartható közlekedése TOP-3.1.1-15ZA1-2016-00007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</si>
  <si>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</si>
  <si>
    <t>2023.</t>
  </si>
  <si>
    <t xml:space="preserve"> </t>
  </si>
  <si>
    <t>HIV/198/2020.</t>
  </si>
  <si>
    <t>HIV/280-115/2018</t>
  </si>
  <si>
    <t xml:space="preserve">Karsádi György János EV </t>
  </si>
  <si>
    <t>637-2/2009,                     HIV/724-2/2019, HIV/2699/2019.</t>
  </si>
  <si>
    <t>1621,1622,1623 Hrsz-ú ingatlanok bérlete             (DRV Zrt területe)</t>
  </si>
  <si>
    <t>HIV/1169-1/2018</t>
  </si>
  <si>
    <t>HIV/1169-2/2018</t>
  </si>
  <si>
    <t>Fehér Renátó - Héviz Folyóirat főszerkesztő-helyettesi feladatok ellátása</t>
  </si>
  <si>
    <t>HIV/590-2/2018</t>
  </si>
  <si>
    <t>HIV/9327-2/2019</t>
  </si>
  <si>
    <t>HIV/4493-7/2019</t>
  </si>
  <si>
    <t>HOSER Ker. és Szolg. KFT    -      Bérleti szerződés  (Hévíz, 1627/1/A/33. hrsz és 1627/1/A/56. hrsz.)</t>
  </si>
  <si>
    <t>PMK/22-23/2017</t>
  </si>
  <si>
    <t>HIV/552-5/2018</t>
  </si>
  <si>
    <t>ZNET Telekom Zrt - internet szolg. (ROMKERT) Zrinyi 130/b.</t>
  </si>
  <si>
    <t>HIV/4442-13/2018</t>
  </si>
  <si>
    <t>Optiterm Kft. - hivatal épület hütő-fütő rendszer karb.t.</t>
  </si>
  <si>
    <t>SZO/582-4/2016</t>
  </si>
  <si>
    <t>HIV/466-7/2019</t>
  </si>
  <si>
    <t>ZNET Telekom Zrt - internet szolg. (Rózsakert) Deák tér 1.</t>
  </si>
  <si>
    <t>HIV/1159-7/2019.</t>
  </si>
  <si>
    <t>HIV/10045-1/2018</t>
  </si>
  <si>
    <t>HIV/1169-3/2018</t>
  </si>
  <si>
    <t>Pávai Bt. - Héviz Folyóirat szerkesztőségi feladatok</t>
  </si>
  <si>
    <t>SZO/216/2016</t>
  </si>
  <si>
    <t xml:space="preserve">Szabó Béla EV </t>
  </si>
  <si>
    <t>5481/2009</t>
  </si>
  <si>
    <t>Zm.Korm.Hiv - Takarnet program használata - adatfirssités</t>
  </si>
  <si>
    <t>SZO/95-11/2013</t>
  </si>
  <si>
    <t>Hévizgyógyfürdőkórház tulajdonában lévő nyilvános WC bérleti dija</t>
  </si>
  <si>
    <t>VFO/128-3/2016</t>
  </si>
  <si>
    <t>Csiha Elektronikai és Szoftverfejlesztő Kft</t>
  </si>
  <si>
    <t>VFO/392-2/2014</t>
  </si>
  <si>
    <t>Nemzeti Mobilfizetési Zrt.-parkolás mobil fizetési rendszeren keresztül</t>
  </si>
  <si>
    <t xml:space="preserve">K-0018511 </t>
  </si>
  <si>
    <t>Invitel Távközlési Zrt. - Internetdij</t>
  </si>
  <si>
    <t>KGO/18-4/2013</t>
  </si>
  <si>
    <t>Irók Boltja Kft. - bizományosi keretszerződés Héviz folyóirat</t>
  </si>
  <si>
    <t>PMK/18-6/2017</t>
  </si>
  <si>
    <t>Hunguest Hotels Zrt - antenna bérlet</t>
  </si>
  <si>
    <t>HIV/7103-2/2019</t>
  </si>
  <si>
    <t>Héviz Folyóirat nyomdai előkészitő munkái</t>
  </si>
  <si>
    <t>HIV/9997-7/2019</t>
  </si>
  <si>
    <t>Héviz Folyóirat nyomai munkái</t>
  </si>
  <si>
    <t>HIV/1396-1/2019</t>
  </si>
  <si>
    <t>Tel-Info Bt.</t>
  </si>
  <si>
    <t>HIV/280-57/2018</t>
  </si>
  <si>
    <t xml:space="preserve">TC Informatika Kft - Adatvédelmi feladatok </t>
  </si>
  <si>
    <t>HIV/9949-2/2018</t>
  </si>
  <si>
    <t>Nagymihály Csaba - Önk.int.rendszergazdai feladatok</t>
  </si>
  <si>
    <t>HIV/280-106/2018</t>
  </si>
  <si>
    <t>Pintér Tamás EV - szerver üzemeltetés (hevizairport.com)</t>
  </si>
  <si>
    <t>HIV/280-107/2018</t>
  </si>
  <si>
    <t>Pintér Tamás EV - szerver üzemeltetés (heviz.hu)</t>
  </si>
  <si>
    <t>HIV/87-2/2019</t>
  </si>
  <si>
    <t>Pintér Tamás EV - szerver üzemeltetés (onkormanyzat.heviz.hu)</t>
  </si>
  <si>
    <t>HIV/479-7/2019</t>
  </si>
  <si>
    <t>Allfordent Kft - fogászati ügyelet ellátás Keszthely</t>
  </si>
  <si>
    <t>…/2018.dec.28.</t>
  </si>
  <si>
    <t>Szabó Béla EV - pályázati szakértői tanácsadás</t>
  </si>
  <si>
    <t>határozott - projekt záró elszámolási hi</t>
  </si>
  <si>
    <t>HIV/7342/2019.</t>
  </si>
  <si>
    <t>International Cert Hungary Kft - felülvizsgálati szerz</t>
  </si>
  <si>
    <t>Informatikai eszközök beszerzése (Hévízaiport.com szerver cseréje 2.300 e Ft és önkormányzat.heviz.hu szerver cseréje 2.300 e Ft)</t>
  </si>
  <si>
    <t>(Aquamarin Kft értékesítés vételár foglaló nélkül 1.383.694 e Ft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</si>
  <si>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</si>
  <si>
    <t>Konyha-étterem</t>
  </si>
  <si>
    <t xml:space="preserve">Műszaki csoport </t>
  </si>
  <si>
    <t>Zöldterület és köztisztasági csoport</t>
  </si>
  <si>
    <t>Technikai dolgozók csoportja</t>
  </si>
  <si>
    <t xml:space="preserve">Teréz Anya Szociális Integrált Intézmény </t>
  </si>
  <si>
    <t xml:space="preserve">Dajka </t>
  </si>
  <si>
    <t>Pedagógiai asszisztens asszisztens</t>
  </si>
  <si>
    <t xml:space="preserve">Óvodatitkár </t>
  </si>
  <si>
    <t>Kisegítő alkalmazott</t>
  </si>
  <si>
    <t>Közművelődés</t>
  </si>
  <si>
    <t>Közvetlenül az intézményvezető alá rendeltek:</t>
  </si>
  <si>
    <t>Közművelődési szakember</t>
  </si>
  <si>
    <t>Könyvtár</t>
  </si>
  <si>
    <t>Múzeumpedagógus</t>
  </si>
  <si>
    <t>Ebböl: Kötelezettséggel terhelt egyéb felhalmozási tartalék: IT eszközök beszerzése</t>
  </si>
  <si>
    <r>
      <t>Le:</t>
    </r>
    <r>
      <rPr>
        <b/>
        <i/>
        <sz val="10"/>
        <color indexed="8"/>
        <rFont val="Times New Roman"/>
        <family val="1"/>
        <charset val="238"/>
      </rPr>
      <t xml:space="preserve"> Hitel törlesztés és kamat tárgy évi. évi összege 170.000 e Ft</t>
    </r>
  </si>
  <si>
    <t>Jogi viták miatti tartalék</t>
  </si>
  <si>
    <t>Polgármesteri Hivatal *</t>
  </si>
  <si>
    <t>(g) teljesítési adatokhoz kapcsolódó korrekciós támogatás146.802.364-146.532.071=270.293 Ft)</t>
  </si>
  <si>
    <t>530,- Ft/fő/éjszaka</t>
  </si>
  <si>
    <t xml:space="preserve">2020. évi pénzügyi mérleg </t>
  </si>
  <si>
    <t xml:space="preserve">2020. évi működési pénzügyi mérleg </t>
  </si>
  <si>
    <t xml:space="preserve">2020. évi felhalmozási pénzügyi mérleg </t>
  </si>
  <si>
    <t>2020. évi egyéb működési célú támogatások ÁHT-én beülre és  és működési támogatások ÁHT-n kívülre</t>
  </si>
  <si>
    <t xml:space="preserve">2020. évi pénzügyi mérlege </t>
  </si>
  <si>
    <t xml:space="preserve">2020. évi Pénzügyi mérleg </t>
  </si>
  <si>
    <t xml:space="preserve">2020.  évi működési célú és egyéb kiadások feladatonként </t>
  </si>
  <si>
    <t>2020. évi pénzügyi mérleg</t>
  </si>
  <si>
    <t>2020. évi  engedélyezett létszámkeret</t>
  </si>
  <si>
    <t xml:space="preserve">*268/2019. (XI. 29.) Kt. határozat alapján a Polgármesteri Hivaral engedélyezett létszáma 2020. május 1-től szeptember 30-ig 2 fő adóellenőrrel egészül ki. </t>
  </si>
  <si>
    <t>Mérték  (2020. évi január 1. napjától)</t>
  </si>
  <si>
    <t xml:space="preserve">2020. évi bevételi terv  </t>
  </si>
  <si>
    <t>2020. évi terv</t>
  </si>
  <si>
    <t xml:space="preserve">2020.  évi előirányzat </t>
  </si>
  <si>
    <t xml:space="preserve">előirányzat felhasználási ütemterv a 2020. évi  költségvetési rendelethez </t>
  </si>
  <si>
    <t>Hévízi Televízió beruházási támogatás</t>
  </si>
  <si>
    <t>Termál Út Kis-Balaton Kerékpáros Egyesület működési támogatás</t>
  </si>
  <si>
    <t xml:space="preserve">505901 Egyéb ki nem emelt, éven túli kötelezettségvállalási lista 6.sz. melléklet alapján.Ebből a sorból éves lejárattal: nettó 14.500 ezer Ft támogatott beruházásokoz kapcsolódó szakmai, szakértői szolgáltatás, határon átnyúló pályázatok és nemzetközi kapcsolatok szakmai támogatása, ellátása nettó 12.800ezer Ft ) </t>
  </si>
  <si>
    <t>Igazgató megbízott</t>
  </si>
  <si>
    <t>Gazdasági  ügyintéző</t>
  </si>
  <si>
    <t>Ügyviteli alkalmazott</t>
  </si>
  <si>
    <t>Kiállítás rendező</t>
  </si>
  <si>
    <t>Múzeumi adatrögzítő</t>
  </si>
  <si>
    <t>Múzeumi adatrögzítő (üres)</t>
  </si>
  <si>
    <t>Muzeológus</t>
  </si>
  <si>
    <t>Műszaki, fenntartási alkalmazott</t>
  </si>
  <si>
    <t>Rendezvénytechnikus</t>
  </si>
  <si>
    <t>Műszaki alkalmazott (üres)</t>
  </si>
  <si>
    <t xml:space="preserve">Műszaki alkalmazott </t>
  </si>
  <si>
    <t>Ügyvitelei alkalmazott</t>
  </si>
  <si>
    <t xml:space="preserve">Könyvtáros </t>
  </si>
  <si>
    <t>Gyermek könyvtáros ( GYED miatt jelenleg üres)</t>
  </si>
  <si>
    <t>Filmszínház</t>
  </si>
  <si>
    <t>Mozgóképforgalmazó szakreferens</t>
  </si>
  <si>
    <t>Raktáros</t>
  </si>
  <si>
    <t>Művészeti vezető</t>
  </si>
  <si>
    <t>Gazdasági  ügyintéző (üres)</t>
  </si>
  <si>
    <t xml:space="preserve">Működési hiány finanszírozása felhalmozási többlet terhére </t>
  </si>
  <si>
    <t>Felhalmozásii többlet felhasználása működési hiány fedezésére</t>
  </si>
  <si>
    <t xml:space="preserve">  5/2020 (II. 12.) önkormányzati rendelet 1/1. melléklete</t>
  </si>
  <si>
    <t xml:space="preserve">  5/2020 (II. 12.) önkormányzati rendelet 1/3 melléklete</t>
  </si>
  <si>
    <t xml:space="preserve"> 5/2020 (II. 12.) önkormányzati rendelet 4. melléklete</t>
  </si>
  <si>
    <t xml:space="preserve">  5/2020 (II. 12.) önkormányzati rendelet 6. melléklete</t>
  </si>
  <si>
    <t xml:space="preserve">  5/2020 (II. 12.) önkormányzati rendelet 7. melléklete </t>
  </si>
  <si>
    <t xml:space="preserve">   5/2020 (II. 12.) önkormányzati rendelet 8. melléklete </t>
  </si>
  <si>
    <t xml:space="preserve">            Szociális és gyermekjóléti támogatás</t>
  </si>
  <si>
    <t xml:space="preserve">            Gyermekétkeztetési támogatás</t>
  </si>
  <si>
    <t>"Gyógyhely fejlesztés" GINOP-7.1.9-17-2017-00003</t>
  </si>
  <si>
    <t xml:space="preserve"> 4. számú melléklet a ../2020. (… …) rendelethez, 1/4. melléklet az 5/2020 (II. 12.) önkormányzati rendelethez </t>
  </si>
  <si>
    <t>71.</t>
  </si>
  <si>
    <t>Szociális és Gyermekvédelmi Főigazgatóság</t>
  </si>
  <si>
    <t xml:space="preserve">Happy Dixieland Band Baráti Kör Egyesület </t>
  </si>
  <si>
    <t xml:space="preserve">7. számú melléklet a ../2020. (… …) rendelethez, 1/7. melléklet az 5/2020 (II. 12.) önkormányzati rendelethez </t>
  </si>
  <si>
    <t xml:space="preserve"> 6. számú melléklet a ../2020. (… …) rendelethez, 1/6. melléklet az 5/2020 (II. 12.) önkormányzati rendelethez </t>
  </si>
  <si>
    <t xml:space="preserve"> 5. számú melléklet a ../2020. (… …) rendelethez, 1/5. melléklet az 5/2020 (II. 12.) önkormányzati rendelethez </t>
  </si>
  <si>
    <t xml:space="preserve">  8. számú melléklet a ../2020. (… …) rendelethez, 1/8. melléklet az 5/2020 (II. 12.) önkormányzati rendelethez </t>
  </si>
  <si>
    <t>Hévíz, Szabó Lőrinc utcai játszótér felújítás tervezése</t>
  </si>
  <si>
    <t>Nagyparkoló zöldterületének és közlekedési ter. megújítása (Zöldváros) TOP-2.1.2-15-ZA1-2016-00004 (+22Kv-os vill. vez. kiváltás)</t>
  </si>
  <si>
    <t>8/1.</t>
  </si>
  <si>
    <t>8/2.</t>
  </si>
  <si>
    <t>Hévíz Város Térfigyelő kamerarendszerének IV. ütem (7 db kamera+ villamos ellátásánaktervezése és kivitelezése)</t>
  </si>
  <si>
    <t xml:space="preserve">Hévízgyógyfürdő és Szent András Reumakórház kezelésében lévő Dr.Schulhoff sétány fejlesztése GINOP-7.1.9-17-2018-00015 pályázat </t>
  </si>
  <si>
    <t>Szabó Lőrinc u. új útszakasz víz- és szennyvíz közmű kiépítése (pótmunkák nettó10.593 eFt+tervezői díj Br 1.219 e Ft+műszaki ellenőr díja Br 1.551 e Ft) fordított Áfá-s</t>
  </si>
  <si>
    <t>Közvilágítás tervezés, engedélyezés és bővítés (Park utca és Strecker köz)</t>
  </si>
  <si>
    <t>Új parkolóhelyek és sétány kialakítása (Széchenyi utca Kölcsey és Ady utcák közötti szakaszán)</t>
  </si>
  <si>
    <t xml:space="preserve">Hévíz, 022/53 hrsz.hosszúföldek sportlétesítmény kialakítása </t>
  </si>
  <si>
    <t xml:space="preserve">Nagyparkoló zöldterületének és közlekedési ter. megújítása (Zöldváros) TOP-2.1.2-15-ZA1-2016-00004 </t>
  </si>
  <si>
    <t>3</t>
  </si>
  <si>
    <t>"Gyógyhely fejlesztés" GINOP-7.1.9-17-2017-00003 projekt</t>
  </si>
  <si>
    <t>Skoda Octavia személygépkocsi</t>
  </si>
  <si>
    <t>Kötelezettséggel terhelt működési céltartalék: Jogi viták miatti tartalék (Alsópáhok: 3.666 e Ft; Keszthely : 47.875 e Ft)</t>
  </si>
  <si>
    <t>Váratlan kiadások tartaléka</t>
  </si>
  <si>
    <t xml:space="preserve"> 9. számú melléklet a ../2020. (… …) rendelethez, 1/9. melléklet az 5/2020 (II. 12.) önkormányzati rendelethez </t>
  </si>
  <si>
    <t xml:space="preserve">  12. számú melléklet a ../2020. (… …) rendelethez, 2/2. melléklet az 5/2020 (II. 12.) önkormányzati rendelethez </t>
  </si>
  <si>
    <t>502220 "Kultúrbarangolás Hévízen"</t>
  </si>
  <si>
    <t>502207 "Gyógyhely fejlesztés" GINOP-7.1.9-17-2017-00003</t>
  </si>
  <si>
    <t>502211Nagyparkoló megújítás "Zöld város kialakítása" TOP-2.1.2-15 (+ előtető a 902/29 hrsz-on)</t>
  </si>
  <si>
    <t>502219 Termelői piac fejlesztés TOP-1.1.3-15-ZA1-2016-00005</t>
  </si>
  <si>
    <t xml:space="preserve">   13. számú melléklet a ../2020. (… …) rendelethez, 2/3. melléklet az 5/2020 (II. 12.) önkormányzati rendelethez    </t>
  </si>
  <si>
    <t>505603 Koronavírussal kapcsolatos veszélyhelyzet</t>
  </si>
  <si>
    <t>503107 Jelzőrendszeres Házi segítségnyújtás</t>
  </si>
  <si>
    <t>502217 Új parkoló helyek kialakítása</t>
  </si>
  <si>
    <t>502233 MLSZ pályaépítés rekortán pályaépítés</t>
  </si>
  <si>
    <t xml:space="preserve">  11. számú melléklet a ../2020. (… …) rendelethez, 2/1/1. melléklet az 5/2020 (II. 12.) önkormányzati rendelethez </t>
  </si>
  <si>
    <t xml:space="preserve"> 14. számú melléklet a ../2020. (… …) rendelethez, 3/1. melléklet az 5/2020 (II. 12.) önkormányzati rendelethez </t>
  </si>
  <si>
    <t xml:space="preserve"> 15. számú melléklet a ../2020. (… …) rendelethez, 3/2. melléklet az 5/2020 (II. 12.) önkormányzati rendelethez </t>
  </si>
  <si>
    <t xml:space="preserve">  16. számú melléklet a ../2020. (… …) rendelethez, 3/3. melléklet az 5/2020 (II. 12.) önkormányzati rendelethez </t>
  </si>
  <si>
    <t xml:space="preserve">17. számú melléklet a ../2020. (… …) rendelethez, 3/4. melléklet az 5/2020 (II. 12.) önkormányzati rendelethez </t>
  </si>
  <si>
    <t xml:space="preserve"> 18. számú melléklet a ../2020. (… …) rendelethez, 5. melléklet az 5/2020 (II. 12.) önkormányzati rendelethez  </t>
  </si>
  <si>
    <t xml:space="preserve">  10. számú melléklet a ../2020. (… …) rendelethez, 2/1. melléklet az 5/2020 (II. 12.) önkormányzati rendelethez </t>
  </si>
  <si>
    <t xml:space="preserve"> 1. számú melléklet a ../2020. (… …) rendelethez, 1. melléklet az 5/2020 (II. 12.) önkormányzati rendelethez </t>
  </si>
  <si>
    <t xml:space="preserve">   3. számú melléklet a ../2020. (… …) rendelethez, 1/3. melléklet az 5/2020 (II. 12.)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</si>
</sst>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0;[Red]0"/>
    <numFmt numFmtId="170" formatCode="m\.\ d\.;@"/>
  </numFmts>
  <fonts count="17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i/>
      <sz val="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9"/>
      <color rgb="FF00B0F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6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6" fillId="0" borderId="0"/>
    <xf numFmtId="0" fontId="115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1" fillId="0" borderId="0"/>
    <xf numFmtId="0" fontId="20" fillId="0" borderId="0"/>
    <xf numFmtId="0" fontId="94" fillId="0" borderId="0"/>
    <xf numFmtId="0" fontId="19" fillId="0" borderId="0"/>
    <xf numFmtId="0" fontId="18" fillId="0" borderId="0"/>
    <xf numFmtId="0" fontId="66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700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3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2" fillId="0" borderId="0" xfId="0" applyFont="1"/>
    <xf numFmtId="3" fontId="20" fillId="0" borderId="0" xfId="0" applyNumberFormat="1" applyFont="1"/>
    <xf numFmtId="3" fontId="52" fillId="0" borderId="0" xfId="0" applyNumberFormat="1" applyFont="1"/>
    <xf numFmtId="3" fontId="52" fillId="0" borderId="0" xfId="0" applyNumberFormat="1" applyFont="1" applyBorder="1"/>
    <xf numFmtId="0" fontId="52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7" fillId="0" borderId="0" xfId="0" applyFont="1" applyBorder="1"/>
    <xf numFmtId="0" fontId="58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59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0" fillId="0" borderId="0" xfId="78" applyFont="1"/>
    <xf numFmtId="0" fontId="30" fillId="0" borderId="0" xfId="78" applyFont="1"/>
    <xf numFmtId="3" fontId="37" fillId="0" borderId="0" xfId="78" applyNumberFormat="1" applyFont="1"/>
    <xf numFmtId="3" fontId="59" fillId="0" borderId="0" xfId="78" applyNumberFormat="1" applyFont="1"/>
    <xf numFmtId="0" fontId="56" fillId="0" borderId="0" xfId="0" applyFont="1"/>
    <xf numFmtId="0" fontId="64" fillId="0" borderId="0" xfId="0" applyFont="1"/>
    <xf numFmtId="3" fontId="56" fillId="0" borderId="0" xfId="0" applyNumberFormat="1" applyFont="1"/>
    <xf numFmtId="3" fontId="56" fillId="0" borderId="0" xfId="0" applyNumberFormat="1" applyFont="1" applyBorder="1"/>
    <xf numFmtId="3" fontId="56" fillId="0" borderId="19" xfId="0" applyNumberFormat="1" applyFont="1" applyBorder="1"/>
    <xf numFmtId="0" fontId="63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5" fillId="0" borderId="0" xfId="0" applyFont="1"/>
    <xf numFmtId="3" fontId="34" fillId="0" borderId="0" xfId="0" applyNumberFormat="1" applyFont="1" applyBorder="1"/>
    <xf numFmtId="3" fontId="63" fillId="0" borderId="0" xfId="0" applyNumberFormat="1" applyFont="1" applyBorder="1"/>
    <xf numFmtId="0" fontId="56" fillId="0" borderId="0" xfId="0" applyFont="1" applyBorder="1" applyAlignment="1">
      <alignment wrapText="1"/>
    </xf>
    <xf numFmtId="3" fontId="35" fillId="0" borderId="0" xfId="78" applyNumberFormat="1" applyFont="1" applyBorder="1"/>
    <xf numFmtId="3" fontId="67" fillId="0" borderId="0" xfId="0" applyNumberFormat="1" applyFont="1" applyBorder="1"/>
    <xf numFmtId="3" fontId="68" fillId="0" borderId="12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wrapText="1"/>
    </xf>
    <xf numFmtId="3" fontId="56" fillId="0" borderId="0" xfId="0" applyNumberFormat="1" applyFont="1" applyBorder="1" applyAlignment="1">
      <alignment wrapText="1"/>
    </xf>
    <xf numFmtId="3" fontId="63" fillId="0" borderId="21" xfId="0" applyNumberFormat="1" applyFont="1" applyBorder="1"/>
    <xf numFmtId="3" fontId="56" fillId="0" borderId="22" xfId="0" applyNumberFormat="1" applyFont="1" applyBorder="1"/>
    <xf numFmtId="3" fontId="63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5" fillId="0" borderId="0" xfId="0" applyNumberFormat="1" applyFont="1"/>
    <xf numFmtId="0" fontId="55" fillId="0" borderId="0" xfId="0" applyFont="1" applyAlignment="1">
      <alignment wrapText="1"/>
    </xf>
    <xf numFmtId="3" fontId="31" fillId="0" borderId="0" xfId="0" applyNumberFormat="1" applyFont="1"/>
    <xf numFmtId="0" fontId="70" fillId="0" borderId="0" xfId="0" applyFont="1"/>
    <xf numFmtId="0" fontId="31" fillId="0" borderId="0" xfId="0" applyFont="1"/>
    <xf numFmtId="0" fontId="55" fillId="0" borderId="0" xfId="0" applyFont="1"/>
    <xf numFmtId="3" fontId="60" fillId="0" borderId="0" xfId="78" applyNumberFormat="1" applyFont="1"/>
    <xf numFmtId="3" fontId="25" fillId="0" borderId="27" xfId="78" applyNumberFormat="1" applyFont="1" applyBorder="1"/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8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3" fillId="0" borderId="15" xfId="0" applyFont="1" applyBorder="1"/>
    <xf numFmtId="3" fontId="25" fillId="0" borderId="15" xfId="0" applyNumberFormat="1" applyFont="1" applyBorder="1"/>
    <xf numFmtId="0" fontId="56" fillId="0" borderId="0" xfId="0" applyFont="1" applyBorder="1"/>
    <xf numFmtId="3" fontId="56" fillId="0" borderId="0" xfId="74" applyNumberFormat="1" applyFont="1" applyBorder="1"/>
    <xf numFmtId="3" fontId="28" fillId="0" borderId="0" xfId="0" applyNumberFormat="1" applyFont="1" applyBorder="1"/>
    <xf numFmtId="0" fontId="62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7" fillId="0" borderId="0" xfId="0" applyFont="1" applyBorder="1"/>
    <xf numFmtId="3" fontId="67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6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3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5" fillId="0" borderId="0" xfId="71" applyFont="1" applyAlignment="1">
      <alignment vertical="center"/>
    </xf>
    <xf numFmtId="3" fontId="74" fillId="0" borderId="33" xfId="71" applyNumberFormat="1" applyFont="1" applyFill="1" applyBorder="1" applyAlignment="1">
      <alignment horizontal="center" vertical="center" wrapText="1"/>
    </xf>
    <xf numFmtId="0" fontId="55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5" fillId="0" borderId="0" xfId="71" applyNumberFormat="1" applyFont="1" applyAlignment="1">
      <alignment vertical="center"/>
    </xf>
    <xf numFmtId="0" fontId="75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8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79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79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6" fillId="0" borderId="0" xfId="0" applyFont="1" applyAlignment="1">
      <alignment horizontal="right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3" fillId="0" borderId="0" xfId="0" applyNumberFormat="1" applyFont="1" applyAlignment="1">
      <alignment horizontal="center"/>
    </xf>
    <xf numFmtId="3" fontId="63" fillId="0" borderId="35" xfId="0" applyNumberFormat="1" applyFont="1" applyBorder="1" applyAlignment="1">
      <alignment horizontal="center" vertical="center"/>
    </xf>
    <xf numFmtId="3" fontId="63" fillId="0" borderId="36" xfId="0" applyNumberFormat="1" applyFont="1" applyBorder="1" applyAlignment="1">
      <alignment horizontal="center" vertical="center" wrapText="1"/>
    </xf>
    <xf numFmtId="3" fontId="63" fillId="0" borderId="37" xfId="0" applyNumberFormat="1" applyFont="1" applyBorder="1" applyAlignment="1">
      <alignment horizontal="center" vertical="center" wrapText="1"/>
    </xf>
    <xf numFmtId="0" fontId="56" fillId="0" borderId="23" xfId="0" applyFont="1" applyBorder="1" applyAlignment="1">
      <alignment horizontal="right"/>
    </xf>
    <xf numFmtId="0" fontId="56" fillId="0" borderId="0" xfId="0" applyFont="1" applyFill="1" applyBorder="1"/>
    <xf numFmtId="3" fontId="56" fillId="0" borderId="38" xfId="0" applyNumberFormat="1" applyFont="1" applyFill="1" applyBorder="1"/>
    <xf numFmtId="3" fontId="56" fillId="0" borderId="19" xfId="0" applyNumberFormat="1" applyFont="1" applyFill="1" applyBorder="1"/>
    <xf numFmtId="3" fontId="56" fillId="0" borderId="0" xfId="0" applyNumberFormat="1" applyFont="1" applyFill="1" applyBorder="1"/>
    <xf numFmtId="3" fontId="63" fillId="0" borderId="23" xfId="0" applyNumberFormat="1" applyFont="1" applyBorder="1"/>
    <xf numFmtId="3" fontId="56" fillId="0" borderId="0" xfId="0" applyNumberFormat="1" applyFont="1" applyBorder="1" applyAlignment="1">
      <alignment horizontal="center" vertical="center" wrapText="1"/>
    </xf>
    <xf numFmtId="3" fontId="56" fillId="0" borderId="19" xfId="0" applyNumberFormat="1" applyFont="1" applyBorder="1" applyAlignment="1">
      <alignment horizontal="center" vertical="center" wrapText="1"/>
    </xf>
    <xf numFmtId="3" fontId="63" fillId="0" borderId="0" xfId="0" applyNumberFormat="1" applyFont="1"/>
    <xf numFmtId="3" fontId="56" fillId="0" borderId="22" xfId="0" applyNumberFormat="1" applyFont="1" applyFill="1" applyBorder="1"/>
    <xf numFmtId="0" fontId="56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0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6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1" fillId="0" borderId="0" xfId="0" applyFont="1"/>
    <xf numFmtId="3" fontId="57" fillId="0" borderId="0" xfId="0" applyNumberFormat="1" applyFont="1" applyBorder="1"/>
    <xf numFmtId="3" fontId="74" fillId="0" borderId="46" xfId="71" applyNumberFormat="1" applyFont="1" applyFill="1" applyBorder="1" applyAlignment="1">
      <alignment horizontal="center" vertical="center" wrapText="1"/>
    </xf>
    <xf numFmtId="3" fontId="74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horizontal="right"/>
    </xf>
    <xf numFmtId="0" fontId="31" fillId="0" borderId="0" xfId="0" applyFont="1" applyAlignment="1"/>
    <xf numFmtId="3" fontId="64" fillId="0" borderId="0" xfId="0" applyNumberFormat="1" applyFont="1"/>
    <xf numFmtId="3" fontId="57" fillId="0" borderId="0" xfId="0" applyNumberFormat="1" applyFont="1"/>
    <xf numFmtId="3" fontId="58" fillId="0" borderId="0" xfId="0" applyNumberFormat="1" applyFont="1"/>
    <xf numFmtId="3" fontId="72" fillId="0" borderId="0" xfId="0" applyNumberFormat="1" applyFont="1"/>
    <xf numFmtId="3" fontId="24" fillId="0" borderId="0" xfId="0" applyNumberFormat="1" applyFont="1"/>
    <xf numFmtId="3" fontId="77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6" fillId="0" borderId="35" xfId="0" applyNumberFormat="1" applyFont="1" applyBorder="1" applyAlignment="1">
      <alignment horizontal="center" vertical="center"/>
    </xf>
    <xf numFmtId="3" fontId="58" fillId="0" borderId="34" xfId="0" applyNumberFormat="1" applyFont="1" applyBorder="1"/>
    <xf numFmtId="0" fontId="82" fillId="0" borderId="0" xfId="0" applyFont="1"/>
    <xf numFmtId="3" fontId="63" fillId="0" borderId="51" xfId="0" applyNumberFormat="1" applyFont="1" applyBorder="1" applyAlignment="1">
      <alignment horizontal="center" vertical="center" wrapText="1"/>
    </xf>
    <xf numFmtId="3" fontId="63" fillId="0" borderId="52" xfId="0" applyNumberFormat="1" applyFont="1" applyBorder="1" applyAlignment="1">
      <alignment horizontal="center" vertical="center"/>
    </xf>
    <xf numFmtId="3" fontId="63" fillId="0" borderId="53" xfId="0" applyNumberFormat="1" applyFont="1" applyBorder="1" applyAlignment="1">
      <alignment horizontal="center" vertical="center" wrapText="1"/>
    </xf>
    <xf numFmtId="3" fontId="63" fillId="0" borderId="54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horizontal="right"/>
    </xf>
    <xf numFmtId="3" fontId="63" fillId="0" borderId="55" xfId="0" applyNumberFormat="1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horizontal="center" vertical="center" wrapText="1"/>
    </xf>
    <xf numFmtId="3" fontId="56" fillId="0" borderId="56" xfId="0" applyNumberFormat="1" applyFont="1" applyBorder="1" applyAlignment="1">
      <alignment horizontal="right" vertical="center" wrapText="1"/>
    </xf>
    <xf numFmtId="3" fontId="63" fillId="0" borderId="57" xfId="0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/>
    </xf>
    <xf numFmtId="3" fontId="57" fillId="0" borderId="58" xfId="0" applyNumberFormat="1" applyFont="1" applyBorder="1" applyAlignment="1">
      <alignment horizontal="right"/>
    </xf>
    <xf numFmtId="3" fontId="58" fillId="0" borderId="59" xfId="0" applyNumberFormat="1" applyFont="1" applyBorder="1"/>
    <xf numFmtId="49" fontId="28" fillId="0" borderId="0" xfId="78" applyNumberFormat="1" applyFont="1" applyAlignment="1">
      <alignment horizontal="center" vertical="center" wrapText="1"/>
    </xf>
    <xf numFmtId="0" fontId="83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4" fillId="0" borderId="0" xfId="0" applyFont="1"/>
    <xf numFmtId="0" fontId="88" fillId="0" borderId="0" xfId="0" applyFont="1"/>
    <xf numFmtId="0" fontId="88" fillId="0" borderId="0" xfId="0" applyFont="1" applyAlignment="1">
      <alignment horizontal="right"/>
    </xf>
    <xf numFmtId="3" fontId="90" fillId="0" borderId="28" xfId="0" applyNumberFormat="1" applyFont="1" applyBorder="1" applyAlignment="1">
      <alignment horizontal="center" vertical="center" wrapText="1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91" fillId="0" borderId="0" xfId="0" applyFont="1"/>
    <xf numFmtId="3" fontId="88" fillId="0" borderId="0" xfId="0" applyNumberFormat="1" applyFont="1" applyBorder="1"/>
    <xf numFmtId="0" fontId="88" fillId="0" borderId="0" xfId="0" applyFont="1" applyBorder="1"/>
    <xf numFmtId="0" fontId="89" fillId="0" borderId="0" xfId="0" applyFont="1"/>
    <xf numFmtId="3" fontId="89" fillId="0" borderId="0" xfId="0" applyNumberFormat="1" applyFont="1"/>
    <xf numFmtId="3" fontId="88" fillId="0" borderId="0" xfId="0" applyNumberFormat="1" applyFont="1"/>
    <xf numFmtId="3" fontId="63" fillId="0" borderId="63" xfId="0" applyNumberFormat="1" applyFont="1" applyFill="1" applyBorder="1"/>
    <xf numFmtId="3" fontId="63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2" fillId="0" borderId="12" xfId="0" applyNumberFormat="1" applyFont="1" applyBorder="1" applyAlignment="1">
      <alignment horizontal="center" vertical="center" wrapText="1"/>
    </xf>
    <xf numFmtId="3" fontId="57" fillId="0" borderId="0" xfId="74" applyNumberFormat="1" applyFont="1" applyBorder="1"/>
    <xf numFmtId="3" fontId="39" fillId="0" borderId="0" xfId="0" applyNumberFormat="1" applyFont="1" applyBorder="1"/>
    <xf numFmtId="3" fontId="65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2" fillId="0" borderId="0" xfId="73" applyFont="1"/>
    <xf numFmtId="0" fontId="47" fillId="0" borderId="0" xfId="73" applyFont="1"/>
    <xf numFmtId="0" fontId="50" fillId="0" borderId="0" xfId="73" applyFont="1"/>
    <xf numFmtId="0" fontId="23" fillId="0" borderId="0" xfId="77" applyFont="1"/>
    <xf numFmtId="0" fontId="20" fillId="0" borderId="0" xfId="77" applyFont="1"/>
    <xf numFmtId="0" fontId="52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2" fillId="0" borderId="0" xfId="77" applyFont="1"/>
    <xf numFmtId="0" fontId="42" fillId="0" borderId="0" xfId="73" applyFont="1"/>
    <xf numFmtId="3" fontId="42" fillId="0" borderId="0" xfId="73" applyNumberFormat="1" applyFont="1"/>
    <xf numFmtId="3" fontId="95" fillId="0" borderId="0" xfId="0" applyNumberFormat="1" applyFont="1"/>
    <xf numFmtId="0" fontId="51" fillId="0" borderId="0" xfId="77" applyFont="1"/>
    <xf numFmtId="3" fontId="51" fillId="0" borderId="0" xfId="77" applyNumberFormat="1" applyFont="1"/>
    <xf numFmtId="0" fontId="51" fillId="0" borderId="0" xfId="77" applyFont="1" applyAlignment="1">
      <alignment horizontal="right"/>
    </xf>
    <xf numFmtId="9" fontId="51" fillId="0" borderId="0" xfId="77" applyNumberFormat="1" applyFont="1" applyAlignment="1">
      <alignment horizontal="right"/>
    </xf>
    <xf numFmtId="3" fontId="52" fillId="0" borderId="0" xfId="77" applyNumberFormat="1" applyFont="1"/>
    <xf numFmtId="0" fontId="52" fillId="0" borderId="0" xfId="77" applyFont="1" applyAlignment="1">
      <alignment horizontal="right"/>
    </xf>
    <xf numFmtId="3" fontId="82" fillId="0" borderId="0" xfId="0" applyNumberFormat="1" applyFont="1"/>
    <xf numFmtId="0" fontId="98" fillId="0" borderId="0" xfId="72" applyFont="1" applyAlignment="1"/>
    <xf numFmtId="0" fontId="98" fillId="0" borderId="0" xfId="72" applyFont="1" applyAlignment="1">
      <alignment horizontal="center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8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1" fillId="0" borderId="0" xfId="72" applyFont="1" applyBorder="1" applyAlignment="1"/>
    <xf numFmtId="0" fontId="51" fillId="0" borderId="0" xfId="72" applyFont="1" applyBorder="1" applyAlignment="1" applyProtection="1">
      <alignment wrapText="1"/>
      <protection locked="0"/>
    </xf>
    <xf numFmtId="3" fontId="96" fillId="0" borderId="0" xfId="72" applyNumberFormat="1" applyFont="1" applyAlignment="1"/>
    <xf numFmtId="0" fontId="96" fillId="0" borderId="0" xfId="72" applyFont="1" applyBorder="1" applyAlignment="1">
      <alignment horizontal="center"/>
    </xf>
    <xf numFmtId="0" fontId="96" fillId="0" borderId="0" xfId="72" applyFont="1" applyAlignment="1">
      <alignment horizontal="left"/>
    </xf>
    <xf numFmtId="0" fontId="96" fillId="0" borderId="0" xfId="72" applyFont="1" applyAlignment="1"/>
    <xf numFmtId="14" fontId="96" fillId="0" borderId="0" xfId="72" applyNumberFormat="1" applyFont="1" applyAlignment="1">
      <alignment horizontal="right"/>
    </xf>
    <xf numFmtId="0" fontId="96" fillId="0" borderId="0" xfId="72" applyFont="1" applyBorder="1" applyAlignment="1">
      <alignment horizontal="left"/>
    </xf>
    <xf numFmtId="0" fontId="96" fillId="0" borderId="0" xfId="72" applyFont="1" applyBorder="1" applyAlignment="1">
      <alignment horizontal="left" wrapText="1"/>
    </xf>
    <xf numFmtId="14" fontId="96" fillId="0" borderId="0" xfId="72" applyNumberFormat="1" applyFont="1" applyBorder="1" applyAlignment="1">
      <alignment horizontal="right"/>
    </xf>
    <xf numFmtId="0" fontId="96" fillId="0" borderId="0" xfId="72" applyFont="1" applyBorder="1" applyAlignment="1">
      <alignment horizontal="right"/>
    </xf>
    <xf numFmtId="14" fontId="96" fillId="0" borderId="0" xfId="72" applyNumberFormat="1" applyFont="1" applyBorder="1" applyAlignment="1" applyProtection="1">
      <alignment horizontal="left"/>
      <protection locked="0"/>
    </xf>
    <xf numFmtId="0" fontId="96" fillId="0" borderId="0" xfId="72" applyFont="1" applyBorder="1" applyAlignment="1" applyProtection="1">
      <alignment horizontal="left" wrapText="1"/>
      <protection locked="0"/>
    </xf>
    <xf numFmtId="14" fontId="96" fillId="0" borderId="0" xfId="72" applyNumberFormat="1" applyFont="1" applyBorder="1" applyAlignment="1" applyProtection="1">
      <alignment horizontal="right"/>
      <protection locked="0"/>
    </xf>
    <xf numFmtId="1" fontId="96" fillId="0" borderId="0" xfId="72" applyNumberFormat="1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protection locked="0"/>
    </xf>
    <xf numFmtId="1" fontId="51" fillId="0" borderId="0" xfId="72" applyNumberFormat="1" applyFont="1" applyBorder="1" applyAlignment="1" applyProtection="1">
      <protection locked="0"/>
    </xf>
    <xf numFmtId="0" fontId="51" fillId="0" borderId="0" xfId="72" applyFont="1" applyBorder="1" applyAlignment="1" applyProtection="1">
      <alignment horizontal="right" wrapText="1"/>
      <protection locked="0"/>
    </xf>
    <xf numFmtId="3" fontId="96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6" fillId="0" borderId="0" xfId="72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6" fillId="0" borderId="0" xfId="72" applyFont="1"/>
    <xf numFmtId="0" fontId="96" fillId="0" borderId="0" xfId="72" applyFont="1" applyAlignment="1">
      <alignment horizontal="left" wrapText="1"/>
    </xf>
    <xf numFmtId="0" fontId="96" fillId="0" borderId="0" xfId="72" applyFont="1" applyAlignment="1">
      <alignment wrapText="1"/>
    </xf>
    <xf numFmtId="0" fontId="96" fillId="0" borderId="0" xfId="72" applyFont="1" applyAlignment="1">
      <alignment horizontal="right" wrapText="1"/>
    </xf>
    <xf numFmtId="3" fontId="96" fillId="0" borderId="0" xfId="72" applyNumberFormat="1" applyFont="1" applyAlignment="1">
      <alignment wrapText="1"/>
    </xf>
    <xf numFmtId="0" fontId="96" fillId="0" borderId="0" xfId="72" applyFont="1" applyBorder="1" applyAlignment="1">
      <alignment wrapText="1"/>
    </xf>
    <xf numFmtId="0" fontId="96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6" fillId="0" borderId="0" xfId="72" applyNumberFormat="1" applyFont="1"/>
    <xf numFmtId="0" fontId="52" fillId="0" borderId="0" xfId="72" applyFont="1" applyBorder="1" applyAlignment="1"/>
    <xf numFmtId="0" fontId="52" fillId="0" borderId="0" xfId="72" applyFont="1" applyAlignment="1"/>
    <xf numFmtId="49" fontId="98" fillId="0" borderId="24" xfId="72" applyNumberFormat="1" applyFont="1" applyBorder="1" applyAlignment="1">
      <alignment horizontal="center"/>
    </xf>
    <xf numFmtId="0" fontId="98" fillId="0" borderId="24" xfId="72" applyFont="1" applyBorder="1" applyAlignment="1"/>
    <xf numFmtId="49" fontId="52" fillId="0" borderId="0" xfId="72" applyNumberFormat="1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Border="1" applyAlignment="1">
      <alignment horizontal="center"/>
    </xf>
    <xf numFmtId="0" fontId="98" fillId="0" borderId="0" xfId="72" applyFont="1" applyBorder="1" applyAlignment="1">
      <alignment horizontal="right"/>
    </xf>
    <xf numFmtId="0" fontId="99" fillId="0" borderId="0" xfId="72" applyFont="1" applyBorder="1" applyAlignment="1">
      <alignment horizontal="left"/>
    </xf>
    <xf numFmtId="3" fontId="98" fillId="0" borderId="24" xfId="72" applyNumberFormat="1" applyFont="1" applyBorder="1" applyAlignment="1"/>
    <xf numFmtId="3" fontId="102" fillId="0" borderId="0" xfId="0" applyNumberFormat="1" applyFont="1"/>
    <xf numFmtId="3" fontId="56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6" fillId="0" borderId="67" xfId="0" applyNumberFormat="1" applyFont="1" applyBorder="1"/>
    <xf numFmtId="3" fontId="25" fillId="0" borderId="68" xfId="0" applyNumberFormat="1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1" fillId="0" borderId="0" xfId="73" applyFont="1" applyAlignment="1">
      <alignment horizontal="right"/>
    </xf>
    <xf numFmtId="0" fontId="52" fillId="0" borderId="0" xfId="73" applyFont="1" applyAlignment="1">
      <alignment horizontal="center"/>
    </xf>
    <xf numFmtId="0" fontId="50" fillId="0" borderId="0" xfId="73" applyFont="1" applyAlignment="1">
      <alignment horizontal="center"/>
    </xf>
    <xf numFmtId="0" fontId="50" fillId="0" borderId="0" xfId="73" applyFont="1" applyAlignment="1">
      <alignment horizontal="right"/>
    </xf>
    <xf numFmtId="0" fontId="52" fillId="0" borderId="24" xfId="73" applyFont="1" applyBorder="1" applyAlignment="1">
      <alignment horizontal="center"/>
    </xf>
    <xf numFmtId="0" fontId="52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6" fillId="0" borderId="0" xfId="73" applyFont="1"/>
    <xf numFmtId="3" fontId="35" fillId="0" borderId="69" xfId="0" applyNumberFormat="1" applyFont="1" applyBorder="1"/>
    <xf numFmtId="3" fontId="57" fillId="0" borderId="67" xfId="74" applyNumberFormat="1" applyFont="1" applyBorder="1"/>
    <xf numFmtId="3" fontId="57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5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7" fillId="0" borderId="19" xfId="0" applyNumberFormat="1" applyFont="1" applyBorder="1"/>
    <xf numFmtId="3" fontId="57" fillId="0" borderId="19" xfId="0" applyNumberFormat="1" applyFont="1" applyFill="1" applyBorder="1"/>
    <xf numFmtId="3" fontId="57" fillId="0" borderId="22" xfId="0" applyNumberFormat="1" applyFont="1" applyBorder="1"/>
    <xf numFmtId="3" fontId="57" fillId="0" borderId="0" xfId="0" applyNumberFormat="1" applyFont="1" applyFill="1" applyBorder="1"/>
    <xf numFmtId="3" fontId="58" fillId="0" borderId="73" xfId="0" applyNumberFormat="1" applyFont="1" applyBorder="1"/>
    <xf numFmtId="3" fontId="63" fillId="0" borderId="76" xfId="0" applyNumberFormat="1" applyFont="1" applyBorder="1" applyAlignment="1">
      <alignment horizontal="right" vertical="center" wrapText="1"/>
    </xf>
    <xf numFmtId="3" fontId="63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3" fillId="0" borderId="60" xfId="0" applyNumberFormat="1" applyFont="1" applyBorder="1"/>
    <xf numFmtId="0" fontId="42" fillId="0" borderId="0" xfId="0" applyFont="1" applyBorder="1"/>
    <xf numFmtId="0" fontId="30" fillId="0" borderId="22" xfId="0" applyFont="1" applyBorder="1"/>
    <xf numFmtId="0" fontId="25" fillId="0" borderId="22" xfId="0" applyFont="1" applyBorder="1"/>
    <xf numFmtId="3" fontId="25" fillId="0" borderId="18" xfId="78" applyNumberFormat="1" applyFont="1" applyBorder="1" applyAlignment="1">
      <alignment vertical="center"/>
    </xf>
    <xf numFmtId="0" fontId="56" fillId="0" borderId="0" xfId="0" applyFont="1" applyBorder="1" applyAlignment="1">
      <alignment horizontal="left"/>
    </xf>
    <xf numFmtId="3" fontId="56" fillId="0" borderId="22" xfId="0" applyNumberFormat="1" applyFont="1" applyBorder="1" applyAlignment="1">
      <alignment horizontal="right" wrapText="1"/>
    </xf>
    <xf numFmtId="3" fontId="56" fillId="0" borderId="0" xfId="0" applyNumberFormat="1" applyFont="1" applyBorder="1" applyAlignment="1"/>
    <xf numFmtId="0" fontId="63" fillId="0" borderId="49" xfId="0" applyFont="1" applyFill="1" applyBorder="1" applyAlignment="1"/>
    <xf numFmtId="3" fontId="56" fillId="0" borderId="78" xfId="0" applyNumberFormat="1" applyFont="1" applyFill="1" applyBorder="1"/>
    <xf numFmtId="3" fontId="56" fillId="0" borderId="67" xfId="0" applyNumberFormat="1" applyFont="1" applyBorder="1" applyAlignment="1">
      <alignment horizontal="center" vertical="center" wrapText="1"/>
    </xf>
    <xf numFmtId="3" fontId="63" fillId="0" borderId="67" xfId="0" applyNumberFormat="1" applyFont="1" applyBorder="1"/>
    <xf numFmtId="3" fontId="58" fillId="0" borderId="67" xfId="0" applyNumberFormat="1" applyFont="1" applyBorder="1"/>
    <xf numFmtId="3" fontId="63" fillId="0" borderId="79" xfId="0" applyNumberFormat="1" applyFont="1" applyFill="1" applyBorder="1"/>
    <xf numFmtId="3" fontId="63" fillId="0" borderId="58" xfId="0" applyNumberFormat="1" applyFont="1" applyBorder="1" applyAlignment="1">
      <alignment horizontal="right" vertical="center" wrapText="1"/>
    </xf>
    <xf numFmtId="0" fontId="63" fillId="0" borderId="80" xfId="0" applyFont="1" applyFill="1" applyBorder="1" applyAlignment="1"/>
    <xf numFmtId="3" fontId="63" fillId="0" borderId="50" xfId="0" applyNumberFormat="1" applyFont="1" applyFill="1" applyBorder="1"/>
    <xf numFmtId="3" fontId="63" fillId="0" borderId="63" xfId="0" applyNumberFormat="1" applyFont="1" applyBorder="1"/>
    <xf numFmtId="3" fontId="63" fillId="0" borderId="81" xfId="0" applyNumberFormat="1" applyFont="1" applyBorder="1"/>
    <xf numFmtId="3" fontId="63" fillId="0" borderId="82" xfId="0" applyNumberFormat="1" applyFont="1" applyBorder="1"/>
    <xf numFmtId="3" fontId="63" fillId="0" borderId="67" xfId="0" applyNumberFormat="1" applyFont="1" applyBorder="1" applyAlignment="1">
      <alignment horizontal="right"/>
    </xf>
    <xf numFmtId="0" fontId="56" fillId="0" borderId="0" xfId="0" applyFont="1" applyBorder="1" applyAlignment="1">
      <alignment horizontal="right"/>
    </xf>
    <xf numFmtId="0" fontId="88" fillId="0" borderId="0" xfId="0" applyFont="1" applyAlignment="1">
      <alignment horizontal="center"/>
    </xf>
    <xf numFmtId="3" fontId="63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1" fillId="0" borderId="0" xfId="0" applyNumberFormat="1" applyFont="1"/>
    <xf numFmtId="3" fontId="91" fillId="0" borderId="22" xfId="0" applyNumberFormat="1" applyFont="1" applyBorder="1"/>
    <xf numFmtId="0" fontId="56" fillId="0" borderId="22" xfId="0" applyFont="1" applyBorder="1"/>
    <xf numFmtId="0" fontId="91" fillId="0" borderId="0" xfId="0" applyFont="1" applyBorder="1"/>
    <xf numFmtId="0" fontId="61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8" fillId="0" borderId="63" xfId="0" applyNumberFormat="1" applyFont="1" applyFill="1" applyBorder="1"/>
    <xf numFmtId="3" fontId="58" fillId="0" borderId="81" xfId="0" applyNumberFormat="1" applyFont="1" applyFill="1" applyBorder="1"/>
    <xf numFmtId="3" fontId="79" fillId="0" borderId="0" xfId="0" applyNumberFormat="1" applyFont="1" applyAlignment="1">
      <alignment wrapText="1"/>
    </xf>
    <xf numFmtId="3" fontId="55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08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6" fillId="0" borderId="0" xfId="0" applyNumberFormat="1" applyFont="1" applyBorder="1" applyAlignment="1">
      <alignment horizontal="right"/>
    </xf>
    <xf numFmtId="0" fontId="56" fillId="0" borderId="76" xfId="0" applyFont="1" applyBorder="1"/>
    <xf numFmtId="0" fontId="56" fillId="0" borderId="67" xfId="0" applyFont="1" applyBorder="1"/>
    <xf numFmtId="0" fontId="56" fillId="0" borderId="70" xfId="0" applyFont="1" applyBorder="1"/>
    <xf numFmtId="3" fontId="63" fillId="0" borderId="70" xfId="0" applyNumberFormat="1" applyFont="1" applyBorder="1" applyAlignment="1">
      <alignment horizontal="right"/>
    </xf>
    <xf numFmtId="3" fontId="108" fillId="0" borderId="0" xfId="0" applyNumberFormat="1" applyFont="1"/>
    <xf numFmtId="3" fontId="109" fillId="0" borderId="0" xfId="0" applyNumberFormat="1" applyFont="1"/>
    <xf numFmtId="0" fontId="108" fillId="0" borderId="0" xfId="0" applyFont="1" applyBorder="1"/>
    <xf numFmtId="0" fontId="109" fillId="0" borderId="0" xfId="0" applyFont="1"/>
    <xf numFmtId="3" fontId="91" fillId="0" borderId="0" xfId="0" applyNumberFormat="1" applyFont="1" applyAlignment="1">
      <alignment wrapText="1"/>
    </xf>
    <xf numFmtId="0" fontId="28" fillId="0" borderId="0" xfId="0" applyFont="1" applyFill="1"/>
    <xf numFmtId="0" fontId="106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7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3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4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59" fillId="0" borderId="22" xfId="78" applyFont="1" applyBorder="1"/>
    <xf numFmtId="0" fontId="35" fillId="0" borderId="22" xfId="78" applyFont="1" applyBorder="1"/>
    <xf numFmtId="0" fontId="60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5" fillId="0" borderId="22" xfId="0" applyFont="1" applyBorder="1"/>
    <xf numFmtId="0" fontId="23" fillId="0" borderId="22" xfId="0" applyFont="1" applyBorder="1"/>
    <xf numFmtId="0" fontId="82" fillId="0" borderId="22" xfId="0" applyFont="1" applyBorder="1"/>
    <xf numFmtId="0" fontId="20" fillId="0" borderId="22" xfId="0" applyFont="1" applyBorder="1"/>
    <xf numFmtId="0" fontId="52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0" xfId="78" applyNumberFormat="1" applyFont="1" applyBorder="1"/>
    <xf numFmtId="3" fontId="43" fillId="0" borderId="44" xfId="0" applyNumberFormat="1" applyFont="1" applyBorder="1"/>
    <xf numFmtId="3" fontId="42" fillId="0" borderId="88" xfId="0" applyNumberFormat="1" applyFont="1" applyBorder="1"/>
    <xf numFmtId="0" fontId="42" fillId="0" borderId="89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3" fontId="31" fillId="0" borderId="26" xfId="0" applyNumberFormat="1" applyFont="1" applyBorder="1"/>
    <xf numFmtId="3" fontId="58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3" fontId="117" fillId="0" borderId="24" xfId="71" applyNumberFormat="1" applyFont="1" applyBorder="1" applyAlignment="1">
      <alignment vertical="center"/>
    </xf>
    <xf numFmtId="0" fontId="118" fillId="0" borderId="22" xfId="0" applyFont="1" applyBorder="1"/>
    <xf numFmtId="0" fontId="53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98" fillId="0" borderId="24" xfId="72" applyNumberFormat="1" applyFont="1" applyFill="1" applyBorder="1" applyAlignment="1">
      <alignment horizontal="center"/>
    </xf>
    <xf numFmtId="0" fontId="53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3" fillId="0" borderId="0" xfId="72" applyFont="1" applyFill="1" applyBorder="1" applyAlignment="1">
      <alignment horizontal="center"/>
    </xf>
    <xf numFmtId="0" fontId="53" fillId="0" borderId="0" xfId="72" applyFont="1" applyFill="1" applyAlignment="1">
      <alignment horizontal="left"/>
    </xf>
    <xf numFmtId="0" fontId="53" fillId="0" borderId="0" xfId="72" applyFont="1" applyFill="1" applyAlignment="1"/>
    <xf numFmtId="3" fontId="53" fillId="0" borderId="0" xfId="72" applyNumberFormat="1" applyFont="1" applyFill="1" applyAlignment="1"/>
    <xf numFmtId="0" fontId="53" fillId="0" borderId="0" xfId="72" applyFont="1" applyFill="1" applyBorder="1" applyAlignment="1">
      <alignment horizontal="left"/>
    </xf>
    <xf numFmtId="0" fontId="53" fillId="0" borderId="0" xfId="72" applyFont="1" applyFill="1" applyBorder="1" applyAlignment="1">
      <alignment horizontal="left" wrapText="1"/>
    </xf>
    <xf numFmtId="3" fontId="53" fillId="0" borderId="0" xfId="72" applyNumberFormat="1" applyFont="1" applyFill="1" applyBorder="1" applyAlignment="1">
      <alignment horizontal="right"/>
    </xf>
    <xf numFmtId="14" fontId="53" fillId="0" borderId="0" xfId="72" applyNumberFormat="1" applyFont="1" applyFill="1" applyBorder="1" applyAlignment="1" applyProtection="1">
      <alignment horizontal="left"/>
      <protection locked="0"/>
    </xf>
    <xf numFmtId="0" fontId="53" fillId="0" borderId="0" xfId="72" applyFont="1" applyFill="1" applyBorder="1" applyAlignment="1" applyProtection="1">
      <alignment horizontal="left" wrapText="1"/>
      <protection locked="0"/>
    </xf>
    <xf numFmtId="3" fontId="53" fillId="0" borderId="0" xfId="72" applyNumberFormat="1" applyFont="1" applyFill="1" applyBorder="1" applyAlignment="1" applyProtection="1">
      <alignment wrapText="1"/>
      <protection locked="0"/>
    </xf>
    <xf numFmtId="14" fontId="53" fillId="0" borderId="0" xfId="72" applyNumberFormat="1" applyFont="1" applyFill="1" applyBorder="1" applyAlignment="1" applyProtection="1">
      <alignment horizontal="left" vertical="center"/>
      <protection locked="0"/>
    </xf>
    <xf numFmtId="3" fontId="120" fillId="0" borderId="0" xfId="0" applyNumberFormat="1" applyFont="1" applyFill="1"/>
    <xf numFmtId="14" fontId="96" fillId="0" borderId="0" xfId="72" applyNumberFormat="1" applyFont="1" applyFill="1" applyBorder="1" applyAlignment="1" applyProtection="1">
      <alignment horizontal="left"/>
      <protection locked="0"/>
    </xf>
    <xf numFmtId="3" fontId="121" fillId="0" borderId="0" xfId="72" applyNumberFormat="1" applyFont="1" applyFill="1" applyBorder="1" applyAlignment="1" applyProtection="1">
      <alignment wrapText="1"/>
      <protection locked="0"/>
    </xf>
    <xf numFmtId="3" fontId="96" fillId="0" borderId="0" xfId="0" applyNumberFormat="1" applyFont="1" applyFill="1"/>
    <xf numFmtId="3" fontId="96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2" fillId="0" borderId="0" xfId="0" applyFont="1" applyFill="1"/>
    <xf numFmtId="0" fontId="123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3" fillId="0" borderId="0" xfId="72" applyNumberFormat="1" applyFont="1" applyFill="1" applyAlignment="1">
      <alignment horizontal="right"/>
    </xf>
    <xf numFmtId="14" fontId="53" fillId="0" borderId="0" xfId="72" applyNumberFormat="1" applyFont="1" applyFill="1" applyBorder="1" applyAlignment="1">
      <alignment horizontal="right"/>
    </xf>
    <xf numFmtId="0" fontId="53" fillId="0" borderId="0" xfId="72" applyFont="1" applyFill="1" applyAlignment="1">
      <alignment horizontal="right"/>
    </xf>
    <xf numFmtId="14" fontId="53" fillId="0" borderId="0" xfId="72" applyNumberFormat="1" applyFont="1" applyFill="1" applyBorder="1" applyAlignment="1" applyProtection="1">
      <alignment horizontal="right"/>
      <protection locked="0"/>
    </xf>
    <xf numFmtId="0" fontId="53" fillId="0" borderId="0" xfId="72" applyFont="1" applyFill="1" applyBorder="1" applyAlignment="1">
      <alignment horizontal="center" vertical="center"/>
    </xf>
    <xf numFmtId="0" fontId="53" fillId="0" borderId="0" xfId="72" applyFont="1" applyFill="1" applyBorder="1" applyAlignment="1" applyProtection="1">
      <alignment horizontal="left" vertical="center" wrapText="1"/>
      <protection locked="0"/>
    </xf>
    <xf numFmtId="14" fontId="53" fillId="0" borderId="0" xfId="72" applyNumberFormat="1" applyFont="1" applyFill="1" applyBorder="1" applyAlignment="1" applyProtection="1">
      <alignment horizontal="right" vertical="center"/>
      <protection locked="0"/>
    </xf>
    <xf numFmtId="3" fontId="53" fillId="0" borderId="0" xfId="72" applyNumberFormat="1" applyFont="1" applyFill="1" applyBorder="1" applyAlignment="1" applyProtection="1">
      <alignment vertical="center" wrapText="1"/>
      <protection locked="0"/>
    </xf>
    <xf numFmtId="14" fontId="96" fillId="0" borderId="0" xfId="72" applyNumberFormat="1" applyFont="1" applyFill="1" applyBorder="1" applyAlignment="1" applyProtection="1">
      <alignment horizontal="right"/>
      <protection locked="0"/>
    </xf>
    <xf numFmtId="0" fontId="120" fillId="0" borderId="0" xfId="0" applyFont="1" applyFill="1" applyAlignment="1">
      <alignment horizontal="center"/>
    </xf>
    <xf numFmtId="3" fontId="123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18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4" fillId="0" borderId="24" xfId="71" applyNumberFormat="1" applyFont="1" applyFill="1" applyBorder="1" applyAlignment="1">
      <alignment vertical="center"/>
    </xf>
    <xf numFmtId="0" fontId="117" fillId="0" borderId="24" xfId="71" applyFont="1" applyBorder="1" applyAlignment="1">
      <alignment vertical="center"/>
    </xf>
    <xf numFmtId="4" fontId="117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7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18" fillId="0" borderId="24" xfId="71" applyNumberFormat="1" applyFont="1" applyFill="1" applyBorder="1" applyAlignment="1">
      <alignment vertical="center"/>
    </xf>
    <xf numFmtId="3" fontId="125" fillId="0" borderId="24" xfId="71" applyNumberFormat="1" applyFont="1" applyFill="1" applyBorder="1" applyAlignment="1">
      <alignment vertical="center" wrapText="1"/>
    </xf>
    <xf numFmtId="0" fontId="117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18" fillId="0" borderId="24" xfId="71" applyNumberFormat="1" applyFont="1" applyFill="1" applyBorder="1" applyAlignment="1">
      <alignment vertical="center"/>
    </xf>
    <xf numFmtId="165" fontId="118" fillId="0" borderId="24" xfId="71" applyNumberFormat="1" applyFont="1" applyFill="1" applyBorder="1" applyAlignment="1">
      <alignment vertical="center"/>
    </xf>
    <xf numFmtId="168" fontId="118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Border="1" applyAlignment="1">
      <alignment vertical="center"/>
    </xf>
    <xf numFmtId="3" fontId="118" fillId="0" borderId="24" xfId="71" applyNumberFormat="1" applyFont="1" applyBorder="1" applyAlignment="1">
      <alignment horizontal="right" vertical="center"/>
    </xf>
    <xf numFmtId="165" fontId="118" fillId="0" borderId="24" xfId="71" applyNumberFormat="1" applyFont="1" applyBorder="1" applyAlignment="1">
      <alignment vertical="center"/>
    </xf>
    <xf numFmtId="0" fontId="126" fillId="0" borderId="24" xfId="75" applyFont="1" applyBorder="1" applyAlignment="1">
      <alignment vertical="center"/>
    </xf>
    <xf numFmtId="3" fontId="118" fillId="0" borderId="24" xfId="75" applyNumberFormat="1" applyFont="1" applyBorder="1" applyAlignment="1">
      <alignment vertical="center"/>
    </xf>
    <xf numFmtId="0" fontId="107" fillId="0" borderId="24" xfId="71" applyFont="1" applyBorder="1" applyAlignment="1">
      <alignment vertical="center" wrapText="1"/>
    </xf>
    <xf numFmtId="9" fontId="118" fillId="0" borderId="24" xfId="71" applyNumberFormat="1" applyFont="1" applyFill="1" applyBorder="1" applyAlignment="1">
      <alignment vertical="center"/>
    </xf>
    <xf numFmtId="0" fontId="117" fillId="0" borderId="25" xfId="71" applyFont="1" applyBorder="1" applyAlignment="1">
      <alignment vertical="center" wrapText="1"/>
    </xf>
    <xf numFmtId="3" fontId="118" fillId="0" borderId="25" xfId="71" applyNumberFormat="1" applyFont="1" applyBorder="1" applyAlignment="1">
      <alignment vertical="center"/>
    </xf>
    <xf numFmtId="3" fontId="118" fillId="0" borderId="25" xfId="71" applyNumberFormat="1" applyFont="1" applyFill="1" applyBorder="1" applyAlignment="1">
      <alignment vertical="center"/>
    </xf>
    <xf numFmtId="165" fontId="118" fillId="0" borderId="25" xfId="71" applyNumberFormat="1" applyFont="1" applyFill="1" applyBorder="1" applyAlignment="1">
      <alignment vertical="center"/>
    </xf>
    <xf numFmtId="3" fontId="117" fillId="0" borderId="25" xfId="71" applyNumberFormat="1" applyFont="1" applyBorder="1" applyAlignment="1">
      <alignment vertical="center"/>
    </xf>
    <xf numFmtId="4" fontId="117" fillId="0" borderId="25" xfId="71" applyNumberFormat="1" applyFont="1" applyBorder="1" applyAlignment="1">
      <alignment vertical="center"/>
    </xf>
    <xf numFmtId="0" fontId="107" fillId="0" borderId="93" xfId="71" applyFont="1" applyFill="1" applyBorder="1" applyAlignment="1">
      <alignment vertical="center"/>
    </xf>
    <xf numFmtId="3" fontId="127" fillId="0" borderId="63" xfId="71" applyNumberFormat="1" applyFont="1" applyFill="1" applyBorder="1" applyAlignment="1">
      <alignment vertical="center"/>
    </xf>
    <xf numFmtId="3" fontId="127" fillId="0" borderId="81" xfId="71" applyNumberFormat="1" applyFont="1" applyFill="1" applyBorder="1" applyAlignment="1">
      <alignment vertical="center"/>
    </xf>
    <xf numFmtId="3" fontId="127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14" fontId="96" fillId="0" borderId="0" xfId="72" applyNumberFormat="1" applyFont="1" applyFill="1" applyBorder="1" applyAlignment="1" applyProtection="1">
      <alignment horizontal="left" wrapText="1"/>
      <protection locked="0"/>
    </xf>
    <xf numFmtId="0" fontId="107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19" fillId="0" borderId="0" xfId="78" applyNumberFormat="1" applyFont="1" applyBorder="1"/>
    <xf numFmtId="0" fontId="28" fillId="0" borderId="0" xfId="78" applyFont="1" applyAlignment="1">
      <alignment vertical="center" wrapText="1"/>
    </xf>
    <xf numFmtId="0" fontId="128" fillId="0" borderId="0" xfId="0" applyFont="1"/>
    <xf numFmtId="0" fontId="129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2" fillId="0" borderId="0" xfId="73" applyNumberFormat="1" applyFont="1"/>
    <xf numFmtId="0" fontId="130" fillId="0" borderId="24" xfId="71" applyFont="1" applyBorder="1" applyAlignment="1">
      <alignment vertical="center"/>
    </xf>
    <xf numFmtId="2" fontId="118" fillId="0" borderId="24" xfId="71" applyNumberFormat="1" applyFont="1" applyFill="1" applyBorder="1" applyAlignment="1">
      <alignment vertical="center"/>
    </xf>
    <xf numFmtId="3" fontId="117" fillId="0" borderId="24" xfId="71" applyNumberFormat="1" applyFont="1" applyBorder="1" applyAlignment="1">
      <alignment vertical="center" wrapText="1"/>
    </xf>
    <xf numFmtId="0" fontId="131" fillId="0" borderId="24" xfId="71" applyFont="1" applyBorder="1" applyAlignment="1">
      <alignment vertical="center"/>
    </xf>
    <xf numFmtId="3" fontId="118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5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Border="1" applyAlignment="1">
      <alignment vertical="center" wrapText="1"/>
    </xf>
    <xf numFmtId="0" fontId="112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18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4" fillId="0" borderId="0" xfId="71" applyFont="1" applyBorder="1" applyAlignment="1">
      <alignment vertical="center"/>
    </xf>
    <xf numFmtId="0" fontId="132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3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8" fillId="0" borderId="0" xfId="0" applyFont="1" applyBorder="1" applyAlignment="1">
      <alignment horizontal="center"/>
    </xf>
    <xf numFmtId="0" fontId="0" fillId="0" borderId="0" xfId="0" applyFont="1"/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4" fillId="0" borderId="22" xfId="78" applyFont="1" applyBorder="1"/>
    <xf numFmtId="3" fontId="25" fillId="0" borderId="73" xfId="78" applyNumberFormat="1" applyFont="1" applyBorder="1"/>
    <xf numFmtId="0" fontId="65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8" fillId="0" borderId="22" xfId="0" applyFont="1" applyBorder="1"/>
    <xf numFmtId="3" fontId="57" fillId="0" borderId="0" xfId="0" applyNumberFormat="1" applyFont="1" applyBorder="1" applyAlignment="1">
      <alignment vertical="center"/>
    </xf>
    <xf numFmtId="3" fontId="57" fillId="0" borderId="67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7" fillId="0" borderId="0" xfId="0" applyFont="1" applyBorder="1" applyAlignment="1">
      <alignment horizontal="left" vertical="center" wrapText="1"/>
    </xf>
    <xf numFmtId="3" fontId="58" fillId="0" borderId="62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58" fillId="0" borderId="62" xfId="0" applyNumberFormat="1" applyFont="1" applyBorder="1"/>
    <xf numFmtId="0" fontId="57" fillId="0" borderId="0" xfId="0" applyFont="1" applyFill="1" applyBorder="1"/>
    <xf numFmtId="3" fontId="58" fillId="0" borderId="62" xfId="0" applyNumberFormat="1" applyFont="1" applyFill="1" applyBorder="1"/>
    <xf numFmtId="0" fontId="57" fillId="0" borderId="0" xfId="0" applyFont="1" applyBorder="1" applyAlignment="1">
      <alignment wrapText="1"/>
    </xf>
    <xf numFmtId="3" fontId="57" fillId="0" borderId="19" xfId="0" applyNumberFormat="1" applyFont="1" applyBorder="1" applyAlignment="1">
      <alignment vertical="center"/>
    </xf>
    <xf numFmtId="0" fontId="135" fillId="0" borderId="0" xfId="0" applyFont="1" applyBorder="1"/>
    <xf numFmtId="3" fontId="135" fillId="0" borderId="22" xfId="0" applyNumberFormat="1" applyFont="1" applyBorder="1"/>
    <xf numFmtId="0" fontId="57" fillId="0" borderId="0" xfId="0" applyFont="1" applyBorder="1" applyAlignment="1">
      <alignment vertical="center" wrapText="1"/>
    </xf>
    <xf numFmtId="0" fontId="57" fillId="0" borderId="67" xfId="0" applyFont="1" applyBorder="1" applyAlignment="1">
      <alignment horizontal="left" vertical="center" wrapText="1"/>
    </xf>
    <xf numFmtId="0" fontId="89" fillId="0" borderId="123" xfId="0" applyFont="1" applyBorder="1" applyAlignment="1">
      <alignment horizontal="center"/>
    </xf>
    <xf numFmtId="0" fontId="89" fillId="0" borderId="55" xfId="0" applyFont="1" applyBorder="1" applyAlignment="1">
      <alignment horizontal="center"/>
    </xf>
    <xf numFmtId="0" fontId="57" fillId="0" borderId="67" xfId="0" applyFont="1" applyBorder="1"/>
    <xf numFmtId="0" fontId="81" fillId="0" borderId="67" xfId="0" applyFont="1" applyBorder="1"/>
    <xf numFmtId="0" fontId="84" fillId="0" borderId="67" xfId="0" applyFont="1" applyBorder="1"/>
    <xf numFmtId="0" fontId="33" fillId="0" borderId="0" xfId="0" applyFont="1" applyBorder="1"/>
    <xf numFmtId="0" fontId="76" fillId="0" borderId="0" xfId="0" applyFont="1" applyBorder="1"/>
    <xf numFmtId="3" fontId="63" fillId="0" borderId="86" xfId="0" applyNumberFormat="1" applyFont="1" applyBorder="1" applyAlignment="1">
      <alignment horizontal="center" vertical="center" wrapText="1"/>
    </xf>
    <xf numFmtId="3" fontId="28" fillId="0" borderId="89" xfId="0" applyNumberFormat="1" applyFont="1" applyBorder="1"/>
    <xf numFmtId="3" fontId="28" fillId="25" borderId="67" xfId="0" applyNumberFormat="1" applyFont="1" applyFill="1" applyBorder="1"/>
    <xf numFmtId="0" fontId="76" fillId="0" borderId="88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2" fillId="0" borderId="0" xfId="71" applyFont="1" applyAlignment="1">
      <alignment vertical="center" wrapText="1"/>
    </xf>
    <xf numFmtId="0" fontId="119" fillId="0" borderId="0" xfId="0" applyFont="1"/>
    <xf numFmtId="3" fontId="81" fillId="0" borderId="22" xfId="0" applyNumberFormat="1" applyFont="1" applyBorder="1"/>
    <xf numFmtId="3" fontId="136" fillId="0" borderId="0" xfId="0" applyNumberFormat="1" applyFont="1" applyBorder="1"/>
    <xf numFmtId="3" fontId="39" fillId="0" borderId="22" xfId="0" applyNumberFormat="1" applyFont="1" applyBorder="1"/>
    <xf numFmtId="3" fontId="58" fillId="0" borderId="22" xfId="0" applyNumberFormat="1" applyFont="1" applyBorder="1"/>
    <xf numFmtId="3" fontId="30" fillId="0" borderId="22" xfId="0" applyNumberFormat="1" applyFont="1" applyBorder="1"/>
    <xf numFmtId="3" fontId="57" fillId="0" borderId="22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3" fontId="57" fillId="0" borderId="0" xfId="0" applyNumberFormat="1" applyFont="1" applyBorder="1" applyAlignment="1">
      <alignment wrapText="1"/>
    </xf>
    <xf numFmtId="0" fontId="30" fillId="0" borderId="86" xfId="0" applyFont="1" applyBorder="1" applyAlignment="1">
      <alignment horizontal="center" vertical="center"/>
    </xf>
    <xf numFmtId="3" fontId="92" fillId="0" borderId="86" xfId="0" applyNumberFormat="1" applyFont="1" applyBorder="1" applyAlignment="1">
      <alignment horizontal="center" vertical="center" wrapText="1"/>
    </xf>
    <xf numFmtId="3" fontId="92" fillId="0" borderId="87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8" fillId="0" borderId="88" xfId="0" applyFont="1" applyBorder="1"/>
    <xf numFmtId="3" fontId="30" fillId="0" borderId="88" xfId="0" applyNumberFormat="1" applyFont="1" applyBorder="1"/>
    <xf numFmtId="3" fontId="58" fillId="0" borderId="21" xfId="0" applyNumberFormat="1" applyFont="1" applyBorder="1"/>
    <xf numFmtId="3" fontId="135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7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07" fillId="0" borderId="24" xfId="0" applyNumberFormat="1" applyFont="1" applyBorder="1" applyAlignment="1">
      <alignment horizontal="center" vertical="center" wrapText="1"/>
    </xf>
    <xf numFmtId="0" fontId="137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7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7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2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 vertical="center"/>
    </xf>
    <xf numFmtId="1" fontId="57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2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107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1" fillId="0" borderId="24" xfId="71" applyNumberFormat="1" applyFont="1" applyBorder="1" applyAlignment="1">
      <alignment vertical="center"/>
    </xf>
    <xf numFmtId="3" fontId="139" fillId="0" borderId="24" xfId="71" applyNumberFormat="1" applyFont="1" applyFill="1" applyBorder="1" applyAlignment="1">
      <alignment vertical="center"/>
    </xf>
    <xf numFmtId="0" fontId="139" fillId="0" borderId="0" xfId="71" applyFont="1" applyAlignment="1">
      <alignment vertical="center"/>
    </xf>
    <xf numFmtId="0" fontId="140" fillId="0" borderId="0" xfId="0" applyFont="1" applyFill="1"/>
    <xf numFmtId="0" fontId="1" fillId="0" borderId="0" xfId="70" applyAlignment="1">
      <alignment vertical="center"/>
    </xf>
    <xf numFmtId="3" fontId="142" fillId="0" borderId="24" xfId="71" applyNumberFormat="1" applyFont="1" applyBorder="1" applyAlignment="1">
      <alignment vertical="center"/>
    </xf>
    <xf numFmtId="3" fontId="143" fillId="0" borderId="0" xfId="71" applyNumberFormat="1" applyFont="1" applyAlignment="1">
      <alignment vertical="center"/>
    </xf>
    <xf numFmtId="3" fontId="141" fillId="0" borderId="24" xfId="71" applyNumberFormat="1" applyFont="1" applyBorder="1" applyAlignment="1">
      <alignment vertical="center" wrapText="1"/>
    </xf>
    <xf numFmtId="165" fontId="142" fillId="0" borderId="24" xfId="71" applyNumberFormat="1" applyFont="1" applyBorder="1" applyAlignment="1">
      <alignment vertical="center"/>
    </xf>
    <xf numFmtId="167" fontId="142" fillId="0" borderId="24" xfId="71" applyNumberFormat="1" applyFont="1" applyBorder="1" applyAlignment="1">
      <alignment vertical="center"/>
    </xf>
    <xf numFmtId="4" fontId="142" fillId="0" borderId="24" xfId="71" applyNumberFormat="1" applyFont="1" applyBorder="1" applyAlignment="1">
      <alignment vertical="center"/>
    </xf>
    <xf numFmtId="3" fontId="144" fillId="0" borderId="24" xfId="71" applyNumberFormat="1" applyFont="1" applyFill="1" applyBorder="1" applyAlignment="1">
      <alignment vertical="center"/>
    </xf>
    <xf numFmtId="3" fontId="142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5" fillId="0" borderId="0" xfId="78" applyNumberFormat="1" applyFont="1" applyBorder="1" applyAlignment="1">
      <alignment vertical="center"/>
    </xf>
    <xf numFmtId="3" fontId="86" fillId="0" borderId="0" xfId="78" applyNumberFormat="1" applyFont="1" applyBorder="1" applyAlignment="1">
      <alignment vertical="center"/>
    </xf>
    <xf numFmtId="3" fontId="85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0" fontId="146" fillId="0" borderId="0" xfId="0" applyFont="1"/>
    <xf numFmtId="0" fontId="54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/>
    </xf>
    <xf numFmtId="3" fontId="57" fillId="0" borderId="19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8" fillId="0" borderId="24" xfId="72" applyFont="1" applyFill="1" applyBorder="1" applyAlignment="1">
      <alignment horizontal="center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98" fillId="0" borderId="24" xfId="0" applyFont="1" applyBorder="1" applyAlignment="1">
      <alignment horizontal="center" wrapText="1"/>
    </xf>
    <xf numFmtId="0" fontId="96" fillId="0" borderId="0" xfId="72" applyFont="1" applyFill="1" applyBorder="1" applyAlignment="1">
      <alignment horizontal="center"/>
    </xf>
    <xf numFmtId="0" fontId="96" fillId="0" borderId="0" xfId="72" applyFont="1" applyFill="1" applyAlignment="1">
      <alignment horizontal="left" wrapText="1"/>
    </xf>
    <xf numFmtId="0" fontId="96" fillId="0" borderId="0" xfId="72" applyFont="1" applyFill="1" applyAlignment="1">
      <alignment wrapText="1"/>
    </xf>
    <xf numFmtId="0" fontId="96" fillId="0" borderId="0" xfId="72" applyFont="1" applyFill="1" applyAlignment="1">
      <alignment horizontal="center"/>
    </xf>
    <xf numFmtId="3" fontId="96" fillId="0" borderId="0" xfId="72" applyNumberFormat="1" applyFont="1" applyFill="1" applyAlignment="1">
      <alignment wrapText="1"/>
    </xf>
    <xf numFmtId="0" fontId="96" fillId="0" borderId="0" xfId="72" applyFont="1" applyFill="1" applyAlignment="1">
      <alignment horizontal="left"/>
    </xf>
    <xf numFmtId="0" fontId="96" fillId="0" borderId="0" xfId="72" applyFont="1" applyFill="1" applyAlignment="1"/>
    <xf numFmtId="3" fontId="96" fillId="0" borderId="0" xfId="72" applyNumberFormat="1" applyFont="1" applyFill="1" applyAlignment="1"/>
    <xf numFmtId="14" fontId="96" fillId="0" borderId="0" xfId="72" applyNumberFormat="1" applyFont="1" applyFill="1" applyAlignment="1">
      <alignment horizontal="center"/>
    </xf>
    <xf numFmtId="0" fontId="96" fillId="0" borderId="0" xfId="72" applyFont="1" applyFill="1" applyBorder="1" applyAlignment="1">
      <alignment horizontal="left"/>
    </xf>
    <xf numFmtId="0" fontId="96" fillId="0" borderId="0" xfId="72" applyFont="1" applyFill="1" applyBorder="1" applyAlignment="1">
      <alignment horizontal="left" wrapText="1"/>
    </xf>
    <xf numFmtId="14" fontId="96" fillId="0" borderId="0" xfId="72" applyNumberFormat="1" applyFont="1" applyFill="1" applyBorder="1" applyAlignment="1">
      <alignment horizontal="center"/>
    </xf>
    <xf numFmtId="3" fontId="96" fillId="0" borderId="0" xfId="72" applyNumberFormat="1" applyFont="1" applyFill="1" applyBorder="1" applyAlignment="1">
      <alignment horizontal="right"/>
    </xf>
    <xf numFmtId="0" fontId="96" fillId="0" borderId="0" xfId="72" applyFont="1" applyFill="1" applyBorder="1" applyAlignment="1" applyProtection="1">
      <alignment wrapText="1"/>
      <protection locked="0"/>
    </xf>
    <xf numFmtId="14" fontId="96" fillId="0" borderId="0" xfId="72" applyNumberFormat="1" applyFont="1" applyFill="1" applyBorder="1" applyAlignment="1" applyProtection="1">
      <alignment horizontal="center"/>
      <protection locked="0"/>
    </xf>
    <xf numFmtId="3" fontId="96" fillId="0" borderId="0" xfId="72" applyNumberFormat="1" applyFont="1" applyFill="1" applyBorder="1" applyAlignment="1" applyProtection="1">
      <alignment horizontal="right" wrapText="1"/>
      <protection locked="0"/>
    </xf>
    <xf numFmtId="3" fontId="96" fillId="0" borderId="0" xfId="72" applyNumberFormat="1" applyFont="1" applyFill="1" applyBorder="1" applyAlignment="1" applyProtection="1">
      <protection locked="0"/>
    </xf>
    <xf numFmtId="0" fontId="96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6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6" fillId="0" borderId="0" xfId="0" applyNumberFormat="1" applyFont="1" applyFill="1" applyAlignment="1">
      <alignment horizontal="center"/>
    </xf>
    <xf numFmtId="0" fontId="96" fillId="0" borderId="0" xfId="0" applyFont="1" applyFill="1" applyAlignment="1">
      <alignment horizontal="center"/>
    </xf>
    <xf numFmtId="0" fontId="96" fillId="0" borderId="0" xfId="0" applyFont="1" applyFill="1"/>
    <xf numFmtId="0" fontId="147" fillId="0" borderId="0" xfId="0" applyFont="1" applyFill="1"/>
    <xf numFmtId="0" fontId="147" fillId="0" borderId="0" xfId="0" applyFont="1"/>
    <xf numFmtId="3" fontId="98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8" fillId="0" borderId="62" xfId="0" applyNumberFormat="1" applyFont="1" applyBorder="1" applyAlignment="1">
      <alignment horizontal="right" vertical="center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28" xfId="0" applyFont="1" applyBorder="1"/>
    <xf numFmtId="3" fontId="25" fillId="0" borderId="70" xfId="0" applyNumberFormat="1" applyFont="1" applyBorder="1"/>
    <xf numFmtId="0" fontId="35" fillId="0" borderId="128" xfId="0" applyFont="1" applyBorder="1"/>
    <xf numFmtId="3" fontId="33" fillId="0" borderId="22" xfId="0" applyNumberFormat="1" applyFont="1" applyBorder="1"/>
    <xf numFmtId="0" fontId="60" fillId="0" borderId="0" xfId="78" applyFont="1" applyBorder="1"/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2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2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5" fillId="0" borderId="0" xfId="0" applyNumberFormat="1" applyFont="1" applyBorder="1"/>
    <xf numFmtId="3" fontId="125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30" fillId="0" borderId="129" xfId="0" applyNumberFormat="1" applyFont="1" applyBorder="1"/>
    <xf numFmtId="3" fontId="25" fillId="0" borderId="129" xfId="0" applyNumberFormat="1" applyFont="1" applyBorder="1"/>
    <xf numFmtId="3" fontId="25" fillId="0" borderId="34" xfId="0" applyNumberFormat="1" applyFont="1" applyBorder="1"/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40" fillId="0" borderId="0" xfId="0" applyFont="1" applyBorder="1"/>
    <xf numFmtId="0" fontId="107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44" fillId="0" borderId="27" xfId="0" applyFont="1" applyBorder="1"/>
    <xf numFmtId="3" fontId="52" fillId="0" borderId="75" xfId="0" applyNumberFormat="1" applyFont="1" applyBorder="1" applyAlignment="1">
      <alignment vertical="center"/>
    </xf>
    <xf numFmtId="3" fontId="52" fillId="0" borderId="27" xfId="0" applyNumberFormat="1" applyFont="1" applyBorder="1" applyAlignment="1">
      <alignment vertical="center"/>
    </xf>
    <xf numFmtId="3" fontId="52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6" fillId="0" borderId="0" xfId="0" applyNumberFormat="1" applyFont="1" applyBorder="1"/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0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0" fillId="0" borderId="0" xfId="78" applyNumberFormat="1" applyFont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7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8" fillId="0" borderId="0" xfId="0" applyNumberFormat="1" applyFont="1" applyFill="1" applyBorder="1"/>
    <xf numFmtId="0" fontId="153" fillId="0" borderId="0" xfId="0" applyFont="1"/>
    <xf numFmtId="0" fontId="130" fillId="0" borderId="0" xfId="71" applyFont="1" applyAlignment="1">
      <alignment vertical="center"/>
    </xf>
    <xf numFmtId="0" fontId="117" fillId="0" borderId="0" xfId="71" applyFont="1" applyAlignment="1">
      <alignment vertical="center"/>
    </xf>
    <xf numFmtId="3" fontId="117" fillId="0" borderId="0" xfId="71" applyNumberFormat="1" applyFont="1" applyAlignment="1">
      <alignment vertical="center"/>
    </xf>
    <xf numFmtId="3" fontId="156" fillId="0" borderId="46" xfId="71" applyNumberFormat="1" applyFont="1" applyFill="1" applyBorder="1" applyAlignment="1">
      <alignment horizontal="center" vertical="center" wrapText="1"/>
    </xf>
    <xf numFmtId="3" fontId="156" fillId="0" borderId="33" xfId="71" applyNumberFormat="1" applyFont="1" applyFill="1" applyBorder="1" applyAlignment="1">
      <alignment horizontal="center" vertical="center" wrapText="1"/>
    </xf>
    <xf numFmtId="3" fontId="156" fillId="0" borderId="47" xfId="71" applyNumberFormat="1" applyFont="1" applyFill="1" applyBorder="1" applyAlignment="1">
      <alignment horizontal="center" vertical="center" wrapText="1"/>
    </xf>
    <xf numFmtId="0" fontId="130" fillId="0" borderId="0" xfId="71" applyFont="1" applyBorder="1" applyAlignment="1">
      <alignment vertical="center"/>
    </xf>
    <xf numFmtId="0" fontId="107" fillId="0" borderId="48" xfId="71" applyFont="1" applyBorder="1" applyAlignment="1">
      <alignment vertical="center"/>
    </xf>
    <xf numFmtId="3" fontId="118" fillId="0" borderId="48" xfId="71" applyNumberFormat="1" applyFont="1" applyFill="1" applyBorder="1" applyAlignment="1">
      <alignment vertical="center"/>
    </xf>
    <xf numFmtId="0" fontId="130" fillId="0" borderId="48" xfId="71" applyFont="1" applyBorder="1" applyAlignment="1">
      <alignment vertical="center"/>
    </xf>
    <xf numFmtId="0" fontId="114" fillId="0" borderId="24" xfId="71" applyFont="1" applyBorder="1" applyAlignment="1">
      <alignment vertical="center"/>
    </xf>
    <xf numFmtId="4" fontId="57" fillId="0" borderId="24" xfId="71" applyNumberFormat="1" applyFont="1" applyBorder="1" applyAlignment="1">
      <alignment vertical="center"/>
    </xf>
    <xf numFmtId="3" fontId="130" fillId="0" borderId="0" xfId="71" applyNumberFormat="1" applyFont="1" applyAlignment="1">
      <alignment vertical="center"/>
    </xf>
    <xf numFmtId="3" fontId="35" fillId="0" borderId="24" xfId="71" applyNumberFormat="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71" fillId="0" borderId="24" xfId="75" applyFont="1" applyBorder="1" applyAlignment="1">
      <alignment vertical="center"/>
    </xf>
    <xf numFmtId="165" fontId="117" fillId="0" borderId="24" xfId="71" applyNumberFormat="1" applyFont="1" applyBorder="1" applyAlignment="1">
      <alignment vertical="center"/>
    </xf>
    <xf numFmtId="0" fontId="127" fillId="0" borderId="24" xfId="71" applyFont="1" applyBorder="1" applyAlignment="1">
      <alignment vertical="center" wrapText="1"/>
    </xf>
    <xf numFmtId="0" fontId="159" fillId="0" borderId="0" xfId="71" applyFont="1" applyAlignment="1">
      <alignment vertical="center"/>
    </xf>
    <xf numFmtId="9" fontId="118" fillId="0" borderId="25" xfId="71" applyNumberFormat="1" applyFont="1" applyFill="1" applyBorder="1" applyAlignment="1">
      <alignment vertical="center"/>
    </xf>
    <xf numFmtId="0" fontId="127" fillId="0" borderId="25" xfId="71" applyFont="1" applyBorder="1" applyAlignment="1">
      <alignment vertical="center" wrapText="1"/>
    </xf>
    <xf numFmtId="0" fontId="25" fillId="0" borderId="49" xfId="0" applyFont="1" applyBorder="1" applyAlignment="1">
      <alignment wrapText="1"/>
    </xf>
    <xf numFmtId="3" fontId="58" fillId="0" borderId="27" xfId="0" applyNumberFormat="1" applyFont="1" applyBorder="1"/>
    <xf numFmtId="3" fontId="58" fillId="0" borderId="85" xfId="0" applyNumberFormat="1" applyFont="1" applyBorder="1"/>
    <xf numFmtId="0" fontId="30" fillId="0" borderId="49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107" fillId="0" borderId="26" xfId="0" applyNumberFormat="1" applyFont="1" applyBorder="1"/>
    <xf numFmtId="3" fontId="107" fillId="0" borderId="0" xfId="0" applyNumberFormat="1" applyFont="1" applyBorder="1"/>
    <xf numFmtId="0" fontId="30" fillId="0" borderId="0" xfId="78" applyFont="1" applyBorder="1" applyAlignment="1">
      <alignment vertical="center"/>
    </xf>
    <xf numFmtId="1" fontId="35" fillId="0" borderId="0" xfId="78" applyNumberFormat="1" applyFont="1"/>
    <xf numFmtId="3" fontId="59" fillId="0" borderId="22" xfId="78" applyNumberFormat="1" applyFont="1" applyBorder="1"/>
    <xf numFmtId="3" fontId="35" fillId="0" borderId="22" xfId="78" applyNumberFormat="1" applyFont="1" applyBorder="1"/>
    <xf numFmtId="0" fontId="96" fillId="0" borderId="0" xfId="73" applyFont="1" applyAlignment="1">
      <alignment wrapText="1"/>
    </xf>
    <xf numFmtId="0" fontId="34" fillId="0" borderId="0" xfId="0" applyFont="1" applyBorder="1"/>
    <xf numFmtId="0" fontId="154" fillId="0" borderId="0" xfId="0" applyFont="1" applyBorder="1"/>
    <xf numFmtId="0" fontId="134" fillId="0" borderId="0" xfId="78" applyFont="1" applyBorder="1"/>
    <xf numFmtId="3" fontId="28" fillId="0" borderId="0" xfId="0" applyNumberFormat="1" applyFont="1" applyFill="1" applyBorder="1" applyAlignment="1">
      <alignment vertical="center" wrapText="1"/>
    </xf>
    <xf numFmtId="3" fontId="28" fillId="0" borderId="41" xfId="78" applyNumberFormat="1" applyFont="1" applyFill="1" applyBorder="1" applyAlignment="1">
      <alignment vertical="center"/>
    </xf>
    <xf numFmtId="3" fontId="35" fillId="0" borderId="41" xfId="78" applyNumberFormat="1" applyFont="1" applyBorder="1" applyAlignment="1">
      <alignment vertical="center"/>
    </xf>
    <xf numFmtId="3" fontId="28" fillId="0" borderId="67" xfId="78" applyNumberFormat="1" applyFont="1" applyBorder="1"/>
    <xf numFmtId="3" fontId="28" fillId="0" borderId="67" xfId="78" applyNumberFormat="1" applyFont="1" applyBorder="1" applyAlignment="1">
      <alignment vertical="center"/>
    </xf>
    <xf numFmtId="3" fontId="28" fillId="0" borderId="70" xfId="78" applyNumberFormat="1" applyFont="1" applyBorder="1" applyAlignment="1">
      <alignment vertical="center"/>
    </xf>
    <xf numFmtId="3" fontId="30" fillId="0" borderId="67" xfId="78" applyNumberFormat="1" applyFont="1" applyBorder="1"/>
    <xf numFmtId="3" fontId="35" fillId="0" borderId="67" xfId="78" applyNumberFormat="1" applyFont="1" applyBorder="1" applyAlignment="1">
      <alignment vertical="center"/>
    </xf>
    <xf numFmtId="3" fontId="35" fillId="0" borderId="67" xfId="78" applyNumberFormat="1" applyFont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149" fillId="0" borderId="67" xfId="0" applyFont="1" applyBorder="1" applyAlignment="1">
      <alignment wrapText="1"/>
    </xf>
    <xf numFmtId="0" fontId="107" fillId="0" borderId="67" xfId="0" applyFont="1" applyBorder="1" applyAlignment="1">
      <alignment vertical="center" wrapText="1"/>
    </xf>
    <xf numFmtId="0" fontId="55" fillId="0" borderId="67" xfId="0" applyFont="1" applyBorder="1" applyAlignment="1">
      <alignment wrapText="1"/>
    </xf>
    <xf numFmtId="0" fontId="107" fillId="0" borderId="73" xfId="0" applyFont="1" applyBorder="1" applyAlignment="1">
      <alignment wrapText="1"/>
    </xf>
    <xf numFmtId="0" fontId="107" fillId="0" borderId="67" xfId="0" applyFont="1" applyBorder="1" applyAlignment="1">
      <alignment wrapText="1"/>
    </xf>
    <xf numFmtId="0" fontId="29" fillId="0" borderId="73" xfId="0" applyFont="1" applyBorder="1" applyAlignment="1">
      <alignment wrapText="1"/>
    </xf>
    <xf numFmtId="0" fontId="31" fillId="0" borderId="67" xfId="0" applyFont="1" applyBorder="1" applyAlignment="1">
      <alignment wrapText="1"/>
    </xf>
    <xf numFmtId="0" fontId="40" fillId="0" borderId="128" xfId="0" applyFont="1" applyBorder="1"/>
    <xf numFmtId="3" fontId="35" fillId="25" borderId="0" xfId="78" applyNumberFormat="1" applyFont="1" applyFill="1"/>
    <xf numFmtId="3" fontId="35" fillId="25" borderId="0" xfId="78" applyNumberFormat="1" applyFont="1" applyFill="1" applyBorder="1"/>
    <xf numFmtId="3" fontId="28" fillId="25" borderId="76" xfId="0" applyNumberFormat="1" applyFont="1" applyFill="1" applyBorder="1"/>
    <xf numFmtId="3" fontId="28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8" fillId="0" borderId="67" xfId="0" applyNumberFormat="1" applyFont="1" applyBorder="1" applyAlignment="1">
      <alignment vertical="center"/>
    </xf>
    <xf numFmtId="0" fontId="39" fillId="0" borderId="67" xfId="0" applyFont="1" applyBorder="1"/>
    <xf numFmtId="0" fontId="35" fillId="0" borderId="67" xfId="0" applyFont="1" applyBorder="1"/>
    <xf numFmtId="0" fontId="25" fillId="0" borderId="53" xfId="0" applyFont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70" fillId="0" borderId="67" xfId="0" applyFont="1" applyBorder="1"/>
    <xf numFmtId="0" fontId="31" fillId="0" borderId="67" xfId="0" applyFont="1" applyBorder="1"/>
    <xf numFmtId="0" fontId="70" fillId="0" borderId="0" xfId="0" applyFont="1" applyBorder="1"/>
    <xf numFmtId="0" fontId="31" fillId="0" borderId="0" xfId="0" applyFont="1" applyBorder="1"/>
    <xf numFmtId="3" fontId="107" fillId="0" borderId="114" xfId="0" applyNumberFormat="1" applyFont="1" applyBorder="1"/>
    <xf numFmtId="0" fontId="55" fillId="0" borderId="25" xfId="0" applyFont="1" applyBorder="1" applyAlignment="1">
      <alignment horizontal="center"/>
    </xf>
    <xf numFmtId="0" fontId="55" fillId="0" borderId="26" xfId="0" applyFont="1" applyBorder="1" applyAlignment="1">
      <alignment horizontal="center" vertical="center"/>
    </xf>
    <xf numFmtId="0" fontId="55" fillId="0" borderId="67" xfId="0" applyFont="1" applyBorder="1" applyAlignment="1">
      <alignment horizontal="center"/>
    </xf>
    <xf numFmtId="0" fontId="55" fillId="0" borderId="130" xfId="0" applyFont="1" applyBorder="1" applyAlignment="1">
      <alignment horizontal="center"/>
    </xf>
    <xf numFmtId="0" fontId="107" fillId="0" borderId="73" xfId="0" applyFont="1" applyBorder="1" applyAlignment="1">
      <alignment vertical="center" wrapText="1"/>
    </xf>
    <xf numFmtId="0" fontId="34" fillId="0" borderId="7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130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49" fontId="28" fillId="0" borderId="78" xfId="78" applyNumberFormat="1" applyFont="1" applyBorder="1" applyAlignment="1">
      <alignment horizontal="center" vertical="center" wrapText="1"/>
    </xf>
    <xf numFmtId="49" fontId="28" fillId="0" borderId="67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vertical="center" wrapText="1"/>
    </xf>
    <xf numFmtId="3" fontId="28" fillId="0" borderId="67" xfId="78" applyNumberFormat="1" applyFont="1" applyBorder="1" applyAlignment="1">
      <alignment horizontal="center" vertical="center" wrapText="1"/>
    </xf>
    <xf numFmtId="49" fontId="25" fillId="0" borderId="67" xfId="78" applyNumberFormat="1" applyFont="1" applyBorder="1" applyAlignment="1">
      <alignment horizontal="center" vertical="center" wrapText="1"/>
    </xf>
    <xf numFmtId="49" fontId="25" fillId="0" borderId="73" xfId="78" applyNumberFormat="1" applyFont="1" applyBorder="1" applyAlignment="1">
      <alignment horizontal="center" vertical="center" wrapText="1"/>
    </xf>
    <xf numFmtId="49" fontId="25" fillId="0" borderId="76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wrapText="1"/>
    </xf>
    <xf numFmtId="49" fontId="35" fillId="0" borderId="67" xfId="78" applyNumberFormat="1" applyFont="1" applyBorder="1" applyAlignment="1">
      <alignment horizontal="center" vertical="center" wrapText="1"/>
    </xf>
    <xf numFmtId="3" fontId="28" fillId="0" borderId="73" xfId="78" applyNumberFormat="1" applyFont="1" applyBorder="1" applyAlignment="1">
      <alignment horizontal="center" vertical="center" wrapText="1"/>
    </xf>
    <xf numFmtId="49" fontId="28" fillId="0" borderId="70" xfId="78" applyNumberFormat="1" applyFont="1" applyBorder="1" applyAlignment="1">
      <alignment horizontal="center" vertical="center" wrapText="1"/>
    </xf>
    <xf numFmtId="49" fontId="28" fillId="0" borderId="73" xfId="78" applyNumberFormat="1" applyFont="1" applyBorder="1" applyAlignment="1">
      <alignment horizontal="center" vertical="center" wrapText="1"/>
    </xf>
    <xf numFmtId="0" fontId="30" fillId="0" borderId="67" xfId="78" applyFont="1" applyBorder="1"/>
    <xf numFmtId="0" fontId="30" fillId="0" borderId="67" xfId="78" applyFont="1" applyBorder="1" applyAlignment="1">
      <alignment vertical="center"/>
    </xf>
    <xf numFmtId="0" fontId="35" fillId="0" borderId="67" xfId="78" applyFont="1" applyBorder="1"/>
    <xf numFmtId="3" fontId="25" fillId="0" borderId="71" xfId="78" applyNumberFormat="1" applyFont="1" applyBorder="1" applyAlignment="1">
      <alignment horizontal="center" vertical="center" wrapText="1"/>
    </xf>
    <xf numFmtId="0" fontId="37" fillId="0" borderId="67" xfId="78" applyFont="1" applyBorder="1"/>
    <xf numFmtId="0" fontId="28" fillId="0" borderId="67" xfId="78" applyFont="1" applyBorder="1"/>
    <xf numFmtId="49" fontId="25" fillId="0" borderId="71" xfId="78" applyNumberFormat="1" applyFont="1" applyBorder="1" applyAlignment="1">
      <alignment horizontal="center" vertical="center" wrapText="1"/>
    </xf>
    <xf numFmtId="0" fontId="59" fillId="0" borderId="67" xfId="78" applyFont="1" applyBorder="1"/>
    <xf numFmtId="0" fontId="60" fillId="0" borderId="67" xfId="78" applyFont="1" applyBorder="1"/>
    <xf numFmtId="3" fontId="52" fillId="0" borderId="24" xfId="0" applyNumberFormat="1" applyFont="1" applyBorder="1" applyAlignment="1">
      <alignment vertical="center"/>
    </xf>
    <xf numFmtId="0" fontId="52" fillId="0" borderId="24" xfId="0" applyFont="1" applyBorder="1" applyAlignment="1">
      <alignment vertical="center"/>
    </xf>
    <xf numFmtId="3" fontId="62" fillId="0" borderId="22" xfId="0" applyNumberFormat="1" applyFont="1" applyBorder="1"/>
    <xf numFmtId="3" fontId="35" fillId="0" borderId="0" xfId="74" applyNumberFormat="1" applyFont="1" applyBorder="1"/>
    <xf numFmtId="3" fontId="35" fillId="0" borderId="0" xfId="0" applyNumberFormat="1" applyFont="1" applyBorder="1" applyAlignment="1">
      <alignment vertical="center"/>
    </xf>
    <xf numFmtId="0" fontId="155" fillId="0" borderId="0" xfId="71" applyFont="1" applyAlignment="1">
      <alignment horizontal="right" vertical="center"/>
    </xf>
    <xf numFmtId="3" fontId="117" fillId="0" borderId="26" xfId="0" applyNumberFormat="1" applyFont="1" applyBorder="1"/>
    <xf numFmtId="3" fontId="117" fillId="0" borderId="0" xfId="0" applyNumberFormat="1" applyFont="1"/>
    <xf numFmtId="3" fontId="117" fillId="25" borderId="26" xfId="0" applyNumberFormat="1" applyFont="1" applyFill="1" applyBorder="1"/>
    <xf numFmtId="3" fontId="117" fillId="0" borderId="67" xfId="0" applyNumberFormat="1" applyFont="1" applyBorder="1"/>
    <xf numFmtId="3" fontId="127" fillId="0" borderId="26" xfId="0" applyNumberFormat="1" applyFont="1" applyBorder="1"/>
    <xf numFmtId="3" fontId="127" fillId="0" borderId="0" xfId="0" applyNumberFormat="1" applyFont="1"/>
    <xf numFmtId="3" fontId="117" fillId="0" borderId="0" xfId="71" applyNumberFormat="1" applyFont="1" applyAlignment="1">
      <alignment horizontal="right" vertical="center"/>
    </xf>
    <xf numFmtId="0" fontId="151" fillId="0" borderId="0" xfId="70" applyFont="1" applyAlignment="1">
      <alignment vertical="center"/>
    </xf>
    <xf numFmtId="3" fontId="156" fillId="0" borderId="134" xfId="71" applyNumberFormat="1" applyFont="1" applyFill="1" applyBorder="1" applyAlignment="1">
      <alignment horizontal="center" vertical="center" wrapText="1"/>
    </xf>
    <xf numFmtId="0" fontId="130" fillId="0" borderId="90" xfId="71" applyFont="1" applyBorder="1" applyAlignment="1">
      <alignment vertical="center"/>
    </xf>
    <xf numFmtId="0" fontId="130" fillId="0" borderId="45" xfId="71" applyFont="1" applyBorder="1" applyAlignment="1">
      <alignment vertical="center"/>
    </xf>
    <xf numFmtId="3" fontId="31" fillId="0" borderId="45" xfId="71" applyNumberFormat="1" applyFont="1" applyBorder="1" applyAlignment="1">
      <alignment vertical="center"/>
    </xf>
    <xf numFmtId="3" fontId="117" fillId="0" borderId="45" xfId="71" applyNumberFormat="1" applyFont="1" applyBorder="1" applyAlignment="1">
      <alignment vertical="center"/>
    </xf>
    <xf numFmtId="4" fontId="1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horizontal="right" vertical="center"/>
    </xf>
    <xf numFmtId="0" fontId="151" fillId="0" borderId="0" xfId="70" applyFont="1" applyBorder="1" applyAlignment="1">
      <alignment vertical="center"/>
    </xf>
    <xf numFmtId="0" fontId="104" fillId="0" borderId="0" xfId="71" applyFont="1" applyAlignment="1">
      <alignment vertical="center"/>
    </xf>
    <xf numFmtId="0" fontId="130" fillId="0" borderId="0" xfId="71" applyFont="1" applyBorder="1" applyAlignment="1">
      <alignment vertical="center" wrapText="1"/>
    </xf>
    <xf numFmtId="3" fontId="23" fillId="0" borderId="45" xfId="71" applyNumberFormat="1" applyFont="1" applyFill="1" applyBorder="1" applyAlignment="1">
      <alignment vertical="center"/>
    </xf>
    <xf numFmtId="0" fontId="158" fillId="0" borderId="0" xfId="71" applyFont="1" applyAlignment="1">
      <alignment vertical="center"/>
    </xf>
    <xf numFmtId="3" fontId="118" fillId="0" borderId="45" xfId="71" applyNumberFormat="1" applyFont="1" applyFill="1" applyBorder="1" applyAlignment="1">
      <alignment vertical="center"/>
    </xf>
    <xf numFmtId="0" fontId="154" fillId="0" borderId="0" xfId="70" applyFont="1" applyBorder="1" applyAlignment="1">
      <alignment vertical="center" wrapText="1"/>
    </xf>
    <xf numFmtId="0" fontId="151" fillId="0" borderId="0" xfId="70" applyFont="1" applyBorder="1" applyAlignment="1">
      <alignment vertical="center" wrapText="1"/>
    </xf>
    <xf numFmtId="0" fontId="158" fillId="0" borderId="0" xfId="71" applyFont="1" applyBorder="1" applyAlignment="1">
      <alignment vertical="center" wrapText="1"/>
    </xf>
    <xf numFmtId="3" fontId="23" fillId="0" borderId="45" xfId="75" applyNumberFormat="1" applyFont="1" applyBorder="1" applyAlignment="1">
      <alignment vertical="center"/>
    </xf>
    <xf numFmtId="3" fontId="31" fillId="0" borderId="44" xfId="71" applyNumberFormat="1" applyFont="1" applyBorder="1" applyAlignment="1">
      <alignment vertical="center"/>
    </xf>
    <xf numFmtId="3" fontId="117" fillId="0" borderId="44" xfId="71" applyNumberFormat="1" applyFont="1" applyBorder="1" applyAlignment="1">
      <alignment vertical="center"/>
    </xf>
    <xf numFmtId="3" fontId="107" fillId="0" borderId="24" xfId="71" applyNumberFormat="1" applyFont="1" applyBorder="1" applyAlignment="1">
      <alignment horizontal="right" vertical="center"/>
    </xf>
    <xf numFmtId="3" fontId="134" fillId="0" borderId="27" xfId="0" applyNumberFormat="1" applyFont="1" applyBorder="1"/>
    <xf numFmtId="3" fontId="134" fillId="0" borderId="0" xfId="0" applyNumberFormat="1" applyFont="1" applyBorder="1"/>
    <xf numFmtId="3" fontId="134" fillId="0" borderId="67" xfId="0" applyNumberFormat="1" applyFont="1" applyBorder="1"/>
    <xf numFmtId="3" fontId="125" fillId="0" borderId="0" xfId="0" applyNumberFormat="1" applyFont="1" applyBorder="1" applyAlignment="1">
      <alignment vertical="center" wrapText="1"/>
    </xf>
    <xf numFmtId="3" fontId="125" fillId="0" borderId="0" xfId="0" applyNumberFormat="1" applyFont="1"/>
    <xf numFmtId="3" fontId="35" fillId="0" borderId="67" xfId="0" applyNumberFormat="1" applyFont="1" applyBorder="1" applyAlignment="1">
      <alignment vertical="center" wrapText="1"/>
    </xf>
    <xf numFmtId="0" fontId="160" fillId="0" borderId="0" xfId="0" applyFont="1"/>
    <xf numFmtId="0" fontId="160" fillId="0" borderId="67" xfId="0" applyFont="1" applyBorder="1"/>
    <xf numFmtId="0" fontId="125" fillId="0" borderId="0" xfId="0" applyFont="1"/>
    <xf numFmtId="3" fontId="35" fillId="0" borderId="0" xfId="0" applyNumberFormat="1" applyFont="1" applyAlignment="1">
      <alignment vertical="center"/>
    </xf>
    <xf numFmtId="3" fontId="35" fillId="0" borderId="67" xfId="0" applyNumberFormat="1" applyFont="1" applyBorder="1" applyAlignment="1">
      <alignment vertical="center"/>
    </xf>
    <xf numFmtId="0" fontId="125" fillId="0" borderId="22" xfId="78" applyFont="1" applyBorder="1"/>
    <xf numFmtId="49" fontId="134" fillId="0" borderId="67" xfId="78" applyNumberFormat="1" applyFont="1" applyBorder="1" applyAlignment="1">
      <alignment horizontal="center" vertical="center" wrapText="1"/>
    </xf>
    <xf numFmtId="3" fontId="134" fillId="0" borderId="0" xfId="78" applyNumberFormat="1" applyFont="1" applyBorder="1" applyAlignment="1">
      <alignment horizontal="left" vertical="center" wrapText="1"/>
    </xf>
    <xf numFmtId="3" fontId="134" fillId="0" borderId="0" xfId="78" applyNumberFormat="1" applyFont="1" applyBorder="1"/>
    <xf numFmtId="3" fontId="134" fillId="0" borderId="0" xfId="78" applyNumberFormat="1" applyFont="1"/>
    <xf numFmtId="49" fontId="125" fillId="0" borderId="67" xfId="78" applyNumberFormat="1" applyFont="1" applyBorder="1" applyAlignment="1">
      <alignment horizontal="center" vertical="center" wrapText="1"/>
    </xf>
    <xf numFmtId="3" fontId="125" fillId="0" borderId="0" xfId="78" applyNumberFormat="1" applyFont="1" applyBorder="1" applyAlignment="1">
      <alignment horizontal="left" vertical="center" wrapText="1"/>
    </xf>
    <xf numFmtId="49" fontId="125" fillId="0" borderId="73" xfId="78" applyNumberFormat="1" applyFont="1" applyBorder="1" applyAlignment="1">
      <alignment horizontal="center" vertical="center" wrapText="1"/>
    </xf>
    <xf numFmtId="3" fontId="125" fillId="0" borderId="0" xfId="78" applyNumberFormat="1" applyFont="1" applyBorder="1"/>
    <xf numFmtId="3" fontId="125" fillId="0" borderId="0" xfId="78" applyNumberFormat="1" applyFont="1"/>
    <xf numFmtId="49" fontId="125" fillId="0" borderId="70" xfId="78" applyNumberFormat="1" applyFont="1" applyBorder="1" applyAlignment="1">
      <alignment horizontal="center" vertical="center" wrapText="1"/>
    </xf>
    <xf numFmtId="3" fontId="31" fillId="25" borderId="0" xfId="0" applyNumberFormat="1" applyFont="1" applyFill="1" applyBorder="1"/>
    <xf numFmtId="3" fontId="31" fillId="25" borderId="26" xfId="0" applyNumberFormat="1" applyFont="1" applyFill="1" applyBorder="1"/>
    <xf numFmtId="0" fontId="101" fillId="0" borderId="0" xfId="77" applyFont="1"/>
    <xf numFmtId="3" fontId="35" fillId="0" borderId="0" xfId="78" applyNumberFormat="1" applyFont="1" applyFill="1"/>
    <xf numFmtId="3" fontId="40" fillId="0" borderId="0" xfId="0" applyNumberFormat="1" applyFont="1"/>
    <xf numFmtId="3" fontId="31" fillId="25" borderId="0" xfId="0" applyNumberFormat="1" applyFont="1" applyFill="1" applyBorder="1" applyAlignment="1">
      <alignment vertical="center"/>
    </xf>
    <xf numFmtId="3" fontId="132" fillId="0" borderId="0" xfId="73" applyNumberFormat="1" applyFont="1"/>
    <xf numFmtId="0" fontId="132" fillId="0" borderId="0" xfId="73" applyFont="1"/>
    <xf numFmtId="3" fontId="116" fillId="0" borderId="0" xfId="0" applyNumberFormat="1" applyFont="1" applyBorder="1" applyAlignment="1">
      <alignment vertical="center"/>
    </xf>
    <xf numFmtId="14" fontId="51" fillId="0" borderId="0" xfId="77" applyNumberFormat="1" applyFont="1" applyAlignment="1">
      <alignment horizontal="right"/>
    </xf>
    <xf numFmtId="3" fontId="33" fillId="0" borderId="0" xfId="0" applyNumberFormat="1" applyFont="1"/>
    <xf numFmtId="0" fontId="52" fillId="0" borderId="24" xfId="77" applyFont="1" applyBorder="1" applyAlignment="1">
      <alignment horizontal="center"/>
    </xf>
    <xf numFmtId="3" fontId="116" fillId="0" borderId="0" xfId="74" applyNumberFormat="1" applyFont="1" applyBorder="1"/>
    <xf numFmtId="3" fontId="116" fillId="0" borderId="0" xfId="0" applyNumberFormat="1" applyFont="1" applyBorder="1"/>
    <xf numFmtId="3" fontId="116" fillId="0" borderId="67" xfId="74" applyNumberFormat="1" applyFont="1" applyBorder="1"/>
    <xf numFmtId="3" fontId="116" fillId="0" borderId="0" xfId="0" applyNumberFormat="1" applyFont="1"/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horizontal="center" vertical="center" wrapText="1"/>
    </xf>
    <xf numFmtId="3" fontId="116" fillId="0" borderId="0" xfId="0" applyNumberFormat="1" applyFont="1" applyBorder="1" applyAlignment="1">
      <alignment horizontal="center" vertical="center" wrapText="1"/>
    </xf>
    <xf numFmtId="3" fontId="162" fillId="0" borderId="0" xfId="0" applyNumberFormat="1" applyFont="1" applyBorder="1" applyAlignment="1">
      <alignment horizontal="center" vertical="center" wrapText="1"/>
    </xf>
    <xf numFmtId="3" fontId="162" fillId="0" borderId="19" xfId="0" applyNumberFormat="1" applyFont="1" applyBorder="1" applyAlignment="1">
      <alignment horizontal="center" vertical="center" wrapText="1"/>
    </xf>
    <xf numFmtId="3" fontId="116" fillId="0" borderId="19" xfId="0" applyNumberFormat="1" applyFont="1" applyBorder="1" applyAlignment="1">
      <alignment horizontal="center" vertical="center" wrapText="1"/>
    </xf>
    <xf numFmtId="3" fontId="162" fillId="0" borderId="61" xfId="0" applyNumberFormat="1" applyFont="1" applyBorder="1" applyAlignment="1">
      <alignment horizontal="center" vertical="center" wrapText="1"/>
    </xf>
    <xf numFmtId="3" fontId="162" fillId="0" borderId="67" xfId="0" applyNumberFormat="1" applyFont="1" applyBorder="1" applyAlignment="1">
      <alignment horizontal="center" vertical="center" wrapText="1"/>
    </xf>
    <xf numFmtId="3" fontId="116" fillId="0" borderId="22" xfId="0" applyNumberFormat="1" applyFont="1" applyBorder="1" applyAlignment="1">
      <alignment horizontal="left" vertical="center" wrapText="1"/>
    </xf>
    <xf numFmtId="3" fontId="116" fillId="0" borderId="19" xfId="0" applyNumberFormat="1" applyFont="1" applyBorder="1" applyAlignment="1">
      <alignment horizontal="right" vertical="center" wrapText="1"/>
    </xf>
    <xf numFmtId="3" fontId="116" fillId="0" borderId="22" xfId="0" applyNumberFormat="1" applyFont="1" applyBorder="1"/>
    <xf numFmtId="3" fontId="116" fillId="0" borderId="19" xfId="0" applyNumberFormat="1" applyFont="1" applyBorder="1"/>
    <xf numFmtId="3" fontId="116" fillId="0" borderId="61" xfId="0" applyNumberFormat="1" applyFont="1" applyBorder="1"/>
    <xf numFmtId="3" fontId="116" fillId="0" borderId="67" xfId="0" applyNumberFormat="1" applyFont="1" applyBorder="1"/>
    <xf numFmtId="3" fontId="116" fillId="0" borderId="22" xfId="0" applyNumberFormat="1" applyFont="1" applyFill="1" applyBorder="1"/>
    <xf numFmtId="3" fontId="116" fillId="0" borderId="19" xfId="0" applyNumberFormat="1" applyFont="1" applyBorder="1" applyAlignment="1">
      <alignment vertical="center"/>
    </xf>
    <xf numFmtId="3" fontId="116" fillId="0" borderId="61" xfId="0" applyNumberFormat="1" applyFont="1" applyBorder="1" applyAlignment="1">
      <alignment vertical="center"/>
    </xf>
    <xf numFmtId="3" fontId="116" fillId="0" borderId="67" xfId="0" applyNumberFormat="1" applyFont="1" applyBorder="1" applyAlignment="1">
      <alignment vertical="center"/>
    </xf>
    <xf numFmtId="3" fontId="116" fillId="0" borderId="22" xfId="0" applyNumberFormat="1" applyFont="1" applyBorder="1" applyAlignment="1">
      <alignment horizontal="right" vertical="center"/>
    </xf>
    <xf numFmtId="3" fontId="116" fillId="0" borderId="0" xfId="0" applyNumberFormat="1" applyFont="1" applyBorder="1" applyAlignment="1">
      <alignment horizontal="right" vertical="center"/>
    </xf>
    <xf numFmtId="3" fontId="116" fillId="0" borderId="19" xfId="0" applyNumberFormat="1" applyFont="1" applyBorder="1" applyAlignment="1">
      <alignment horizontal="right" vertical="center"/>
    </xf>
    <xf numFmtId="3" fontId="116" fillId="0" borderId="61" xfId="0" applyNumberFormat="1" applyFont="1" applyBorder="1" applyAlignment="1">
      <alignment horizontal="right" vertical="center"/>
    </xf>
    <xf numFmtId="3" fontId="116" fillId="0" borderId="67" xfId="0" applyNumberFormat="1" applyFont="1" applyBorder="1" applyAlignment="1">
      <alignment horizontal="right" vertical="center"/>
    </xf>
    <xf numFmtId="3" fontId="116" fillId="0" borderId="22" xfId="0" applyNumberFormat="1" applyFont="1" applyBorder="1" applyAlignment="1">
      <alignment vertical="center"/>
    </xf>
    <xf numFmtId="3" fontId="116" fillId="0" borderId="0" xfId="0" applyNumberFormat="1" applyFont="1" applyAlignment="1">
      <alignment vertical="center"/>
    </xf>
    <xf numFmtId="49" fontId="30" fillId="0" borderId="67" xfId="78" applyNumberFormat="1" applyFont="1" applyBorder="1" applyAlignment="1">
      <alignment horizontal="center" vertical="center" wrapText="1"/>
    </xf>
    <xf numFmtId="3" fontId="35" fillId="0" borderId="0" xfId="78" applyNumberFormat="1" applyFont="1" applyBorder="1" applyAlignment="1">
      <alignment horizontal="left" vertical="center" wrapText="1"/>
    </xf>
    <xf numFmtId="49" fontId="35" fillId="0" borderId="73" xfId="78" applyNumberFormat="1" applyFont="1" applyBorder="1" applyAlignment="1">
      <alignment horizontal="center" vertical="center" wrapText="1"/>
    </xf>
    <xf numFmtId="3" fontId="30" fillId="0" borderId="27" xfId="78" applyNumberFormat="1" applyFont="1" applyBorder="1" applyAlignment="1">
      <alignment horizontal="left" vertical="center" wrapText="1"/>
    </xf>
    <xf numFmtId="3" fontId="30" fillId="0" borderId="27" xfId="78" applyNumberFormat="1" applyFont="1" applyBorder="1" applyAlignment="1">
      <alignment vertical="center"/>
    </xf>
    <xf numFmtId="3" fontId="30" fillId="0" borderId="67" xfId="78" applyNumberFormat="1" applyFont="1" applyBorder="1" applyAlignment="1">
      <alignment vertical="center"/>
    </xf>
    <xf numFmtId="49" fontId="35" fillId="0" borderId="70" xfId="78" applyNumberFormat="1" applyFont="1" applyBorder="1" applyAlignment="1">
      <alignment horizontal="center" vertical="center" wrapText="1"/>
    </xf>
    <xf numFmtId="3" fontId="35" fillId="0" borderId="41" xfId="78" applyNumberFormat="1" applyFont="1" applyBorder="1" applyAlignment="1">
      <alignment horizontal="left" vertical="center" wrapText="1"/>
    </xf>
    <xf numFmtId="3" fontId="30" fillId="0" borderId="41" xfId="78" applyNumberFormat="1" applyFont="1" applyBorder="1" applyAlignment="1">
      <alignment vertical="center"/>
    </xf>
    <xf numFmtId="49" fontId="30" fillId="0" borderId="73" xfId="78" applyNumberFormat="1" applyFont="1" applyBorder="1" applyAlignment="1">
      <alignment horizontal="center" vertical="center" wrapText="1"/>
    </xf>
    <xf numFmtId="3" fontId="30" fillId="0" borderId="0" xfId="78" applyNumberFormat="1" applyFont="1" applyAlignment="1">
      <alignment vertical="center"/>
    </xf>
    <xf numFmtId="3" fontId="30" fillId="0" borderId="73" xfId="78" applyNumberFormat="1" applyFont="1" applyBorder="1" applyAlignment="1">
      <alignment horizontal="left" vertical="center" wrapText="1"/>
    </xf>
    <xf numFmtId="3" fontId="30" fillId="0" borderId="75" xfId="78" applyNumberFormat="1" applyFont="1" applyBorder="1" applyAlignment="1">
      <alignment vertical="center"/>
    </xf>
    <xf numFmtId="3" fontId="30" fillId="0" borderId="18" xfId="78" applyNumberFormat="1" applyFont="1" applyBorder="1" applyAlignment="1">
      <alignment horizontal="left" vertical="center" wrapText="1"/>
    </xf>
    <xf numFmtId="3" fontId="35" fillId="0" borderId="18" xfId="78" applyNumberFormat="1" applyFont="1" applyBorder="1"/>
    <xf numFmtId="3" fontId="107" fillId="0" borderId="34" xfId="0" applyNumberFormat="1" applyFont="1" applyBorder="1"/>
    <xf numFmtId="3" fontId="31" fillId="0" borderId="0" xfId="0" applyNumberFormat="1" applyFont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3" fontId="107" fillId="0" borderId="59" xfId="0" applyNumberFormat="1" applyFont="1" applyBorder="1"/>
    <xf numFmtId="3" fontId="107" fillId="0" borderId="85" xfId="0" applyNumberFormat="1" applyFont="1" applyBorder="1"/>
    <xf numFmtId="3" fontId="107" fillId="0" borderId="34" xfId="0" applyNumberFormat="1" applyFont="1" applyBorder="1" applyAlignment="1">
      <alignment vertical="center"/>
    </xf>
    <xf numFmtId="3" fontId="107" fillId="0" borderId="59" xfId="0" applyNumberFormat="1" applyFont="1" applyBorder="1" applyAlignment="1">
      <alignment vertical="center"/>
    </xf>
    <xf numFmtId="3" fontId="107" fillId="0" borderId="26" xfId="0" applyNumberFormat="1" applyFont="1" applyBorder="1" applyAlignment="1">
      <alignment vertical="center"/>
    </xf>
    <xf numFmtId="3" fontId="107" fillId="0" borderId="85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horizontal="center" vertical="center" wrapText="1"/>
    </xf>
    <xf numFmtId="3" fontId="58" fillId="0" borderId="67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right" vertical="center" wrapText="1"/>
    </xf>
    <xf numFmtId="3" fontId="57" fillId="0" borderId="61" xfId="0" applyNumberFormat="1" applyFont="1" applyFill="1" applyBorder="1"/>
    <xf numFmtId="3" fontId="57" fillId="0" borderId="67" xfId="0" applyNumberFormat="1" applyFont="1" applyFill="1" applyBorder="1"/>
    <xf numFmtId="3" fontId="57" fillId="0" borderId="22" xfId="0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 wrapText="1"/>
    </xf>
    <xf numFmtId="3" fontId="57" fillId="0" borderId="22" xfId="0" applyNumberFormat="1" applyFont="1" applyBorder="1" applyAlignment="1">
      <alignment vertical="center"/>
    </xf>
    <xf numFmtId="3" fontId="57" fillId="0" borderId="0" xfId="0" applyNumberFormat="1" applyFont="1" applyAlignment="1">
      <alignment vertical="center"/>
    </xf>
    <xf numFmtId="3" fontId="57" fillId="0" borderId="61" xfId="0" applyNumberFormat="1" applyFont="1" applyBorder="1" applyAlignment="1">
      <alignment horizontal="center" vertical="center" wrapText="1"/>
    </xf>
    <xf numFmtId="3" fontId="57" fillId="0" borderId="67" xfId="0" applyNumberFormat="1" applyFont="1" applyBorder="1" applyAlignment="1">
      <alignment horizontal="center" vertical="center" wrapText="1"/>
    </xf>
    <xf numFmtId="0" fontId="98" fillId="0" borderId="0" xfId="72" applyFont="1" applyAlignment="1">
      <alignment horizontal="center"/>
    </xf>
    <xf numFmtId="0" fontId="0" fillId="0" borderId="0" xfId="0" applyFont="1" applyAlignment="1">
      <alignment horizontal="center"/>
    </xf>
    <xf numFmtId="0" fontId="96" fillId="0" borderId="0" xfId="72" applyFont="1" applyAlignment="1">
      <alignment horizontal="center"/>
    </xf>
    <xf numFmtId="0" fontId="98" fillId="0" borderId="24" xfId="72" applyFont="1" applyBorder="1" applyAlignment="1">
      <alignment horizontal="center"/>
    </xf>
    <xf numFmtId="3" fontId="52" fillId="0" borderId="34" xfId="0" applyNumberFormat="1" applyFont="1" applyBorder="1" applyAlignment="1">
      <alignment vertical="center"/>
    </xf>
    <xf numFmtId="3" fontId="57" fillId="0" borderId="0" xfId="0" applyNumberFormat="1" applyFont="1" applyBorder="1" applyAlignment="1">
      <alignment vertical="center" wrapText="1"/>
    </xf>
    <xf numFmtId="3" fontId="58" fillId="0" borderId="0" xfId="0" applyNumberFormat="1" applyFont="1" applyBorder="1" applyAlignment="1">
      <alignment vertical="center"/>
    </xf>
    <xf numFmtId="0" fontId="164" fillId="0" borderId="24" xfId="0" applyFont="1" applyBorder="1" applyAlignment="1">
      <alignment horizontal="center"/>
    </xf>
    <xf numFmtId="0" fontId="121" fillId="0" borderId="0" xfId="72" applyFont="1" applyFill="1" applyAlignment="1">
      <alignment horizontal="left"/>
    </xf>
    <xf numFmtId="0" fontId="121" fillId="0" borderId="0" xfId="72" applyFont="1" applyFill="1" applyAlignment="1"/>
    <xf numFmtId="14" fontId="121" fillId="0" borderId="0" xfId="72" applyNumberFormat="1" applyFont="1" applyFill="1" applyBorder="1" applyAlignment="1" applyProtection="1">
      <alignment horizontal="center"/>
      <protection locked="0"/>
    </xf>
    <xf numFmtId="3" fontId="121" fillId="0" borderId="0" xfId="0" applyNumberFormat="1" applyFont="1" applyFill="1"/>
    <xf numFmtId="0" fontId="151" fillId="0" borderId="0" xfId="0" applyFont="1"/>
    <xf numFmtId="14" fontId="121" fillId="0" borderId="0" xfId="72" applyNumberFormat="1" applyFont="1" applyFill="1" applyBorder="1" applyAlignment="1" applyProtection="1">
      <alignment horizontal="left"/>
      <protection locked="0"/>
    </xf>
    <xf numFmtId="0" fontId="96" fillId="0" borderId="0" xfId="72" applyFont="1" applyFill="1" applyBorder="1" applyAlignment="1">
      <alignment horizontal="center" wrapText="1"/>
    </xf>
    <xf numFmtId="0" fontId="147" fillId="0" borderId="0" xfId="0" applyFont="1" applyFill="1" applyAlignment="1">
      <alignment wrapText="1"/>
    </xf>
    <xf numFmtId="0" fontId="20" fillId="0" borderId="0" xfId="0" applyFont="1" applyFill="1" applyAlignment="1">
      <alignment horizontal="center" wrapText="1"/>
    </xf>
    <xf numFmtId="3" fontId="96" fillId="0" borderId="0" xfId="0" applyNumberFormat="1" applyFont="1" applyFill="1" applyAlignment="1">
      <alignment wrapText="1"/>
    </xf>
    <xf numFmtId="0" fontId="96" fillId="0" borderId="0" xfId="0" applyFont="1" applyFill="1" applyAlignment="1">
      <alignment horizontal="left"/>
    </xf>
    <xf numFmtId="0" fontId="96" fillId="0" borderId="0" xfId="0" applyFont="1" applyFill="1" applyAlignment="1">
      <alignment wrapText="1"/>
    </xf>
    <xf numFmtId="14" fontId="96" fillId="0" borderId="0" xfId="0" applyNumberFormat="1" applyFont="1" applyFill="1" applyAlignment="1">
      <alignment horizontal="center" wrapText="1"/>
    </xf>
    <xf numFmtId="0" fontId="96" fillId="0" borderId="0" xfId="0" applyFont="1" applyFill="1" applyAlignment="1">
      <alignment horizontal="center" wrapText="1"/>
    </xf>
    <xf numFmtId="14" fontId="96" fillId="0" borderId="0" xfId="0" applyNumberFormat="1" applyFont="1" applyFill="1" applyAlignment="1">
      <alignment horizontal="left"/>
    </xf>
    <xf numFmtId="14" fontId="20" fillId="0" borderId="0" xfId="72" applyNumberFormat="1" applyFont="1" applyFill="1" applyBorder="1" applyAlignment="1" applyProtection="1">
      <alignment horizontal="left"/>
      <protection locked="0"/>
    </xf>
    <xf numFmtId="14" fontId="20" fillId="0" borderId="0" xfId="0" applyNumberFormat="1" applyFont="1" applyFill="1" applyAlignment="1">
      <alignment horizontal="center"/>
    </xf>
    <xf numFmtId="0" fontId="165" fillId="0" borderId="0" xfId="0" applyFont="1"/>
    <xf numFmtId="3" fontId="96" fillId="0" borderId="0" xfId="0" applyNumberFormat="1" applyFont="1"/>
    <xf numFmtId="0" fontId="96" fillId="0" borderId="0" xfId="0" applyFont="1" applyAlignment="1">
      <alignment horizontal="center"/>
    </xf>
    <xf numFmtId="0" fontId="96" fillId="0" borderId="0" xfId="0" applyFont="1"/>
    <xf numFmtId="0" fontId="9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3" fontId="96" fillId="0" borderId="0" xfId="0" applyNumberFormat="1" applyFont="1" applyAlignment="1">
      <alignment wrapText="1"/>
    </xf>
    <xf numFmtId="0" fontId="96" fillId="0" borderId="0" xfId="0" applyFont="1" applyAlignment="1">
      <alignment horizontal="center" wrapText="1"/>
    </xf>
    <xf numFmtId="14" fontId="96" fillId="0" borderId="0" xfId="0" applyNumberFormat="1" applyFont="1" applyAlignment="1">
      <alignment horizontal="center"/>
    </xf>
    <xf numFmtId="0" fontId="20" fillId="0" borderId="0" xfId="0" applyFont="1" applyFill="1"/>
    <xf numFmtId="0" fontId="166" fillId="0" borderId="0" xfId="0" applyFont="1"/>
    <xf numFmtId="14" fontId="96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wrapText="1"/>
    </xf>
    <xf numFmtId="3" fontId="98" fillId="0" borderId="0" xfId="0" applyNumberFormat="1" applyFont="1"/>
    <xf numFmtId="0" fontId="132" fillId="0" borderId="0" xfId="0" applyFont="1" applyBorder="1" applyAlignment="1">
      <alignment horizontal="center"/>
    </xf>
    <xf numFmtId="0" fontId="167" fillId="24" borderId="12" xfId="0" applyFont="1" applyFill="1" applyBorder="1" applyAlignment="1">
      <alignment horizontal="left" vertical="center" wrapText="1"/>
    </xf>
    <xf numFmtId="1" fontId="167" fillId="24" borderId="12" xfId="0" applyNumberFormat="1" applyFont="1" applyFill="1" applyBorder="1" applyAlignment="1">
      <alignment horizontal="right" vertical="center"/>
    </xf>
    <xf numFmtId="49" fontId="167" fillId="24" borderId="12" xfId="0" applyNumberFormat="1" applyFont="1" applyFill="1" applyBorder="1" applyAlignment="1">
      <alignment horizontal="right" vertical="center"/>
    </xf>
    <xf numFmtId="167" fontId="167" fillId="24" borderId="12" xfId="0" applyNumberFormat="1" applyFont="1" applyFill="1" applyBorder="1" applyAlignment="1">
      <alignment horizontal="right" vertical="center"/>
    </xf>
    <xf numFmtId="0" fontId="161" fillId="0" borderId="0" xfId="0" applyFont="1" applyBorder="1" applyAlignment="1">
      <alignment horizontal="center" vertical="center" wrapText="1"/>
    </xf>
    <xf numFmtId="49" fontId="134" fillId="0" borderId="0" xfId="0" applyNumberFormat="1" applyFont="1" applyBorder="1" applyAlignment="1">
      <alignment horizontal="center" vertical="center"/>
    </xf>
    <xf numFmtId="166" fontId="134" fillId="0" borderId="0" xfId="0" applyNumberFormat="1" applyFont="1" applyBorder="1" applyAlignment="1">
      <alignment horizontal="center" vertical="center"/>
    </xf>
    <xf numFmtId="0" fontId="118" fillId="0" borderId="0" xfId="0" applyFont="1" applyAlignment="1">
      <alignment horizontal="center"/>
    </xf>
    <xf numFmtId="0" fontId="167" fillId="0" borderId="12" xfId="0" applyFont="1" applyBorder="1" applyAlignment="1">
      <alignment wrapText="1"/>
    </xf>
    <xf numFmtId="0" fontId="167" fillId="0" borderId="12" xfId="0" applyFont="1" applyBorder="1"/>
    <xf numFmtId="0" fontId="167" fillId="0" borderId="12" xfId="0" applyFont="1" applyBorder="1" applyAlignment="1">
      <alignment horizontal="right"/>
    </xf>
    <xf numFmtId="167" fontId="167" fillId="0" borderId="12" xfId="0" applyNumberFormat="1" applyFont="1" applyBorder="1" applyAlignment="1">
      <alignment horizontal="right"/>
    </xf>
    <xf numFmtId="0" fontId="132" fillId="0" borderId="0" xfId="0" applyFont="1"/>
    <xf numFmtId="0" fontId="168" fillId="0" borderId="0" xfId="0" applyFont="1" applyBorder="1" applyAlignment="1">
      <alignment wrapText="1"/>
    </xf>
    <xf numFmtId="0" fontId="168" fillId="0" borderId="0" xfId="0" applyFont="1" applyBorder="1"/>
    <xf numFmtId="0" fontId="168" fillId="0" borderId="0" xfId="0" applyFont="1" applyBorder="1" applyAlignment="1">
      <alignment horizontal="right"/>
    </xf>
    <xf numFmtId="0" fontId="167" fillId="0" borderId="0" xfId="0" applyFont="1" applyBorder="1" applyAlignment="1">
      <alignment horizontal="right"/>
    </xf>
    <xf numFmtId="0" fontId="167" fillId="0" borderId="0" xfId="0" applyFont="1" applyBorder="1" applyAlignment="1"/>
    <xf numFmtId="0" fontId="167" fillId="0" borderId="14" xfId="0" applyFont="1" applyBorder="1" applyAlignment="1">
      <alignment wrapText="1"/>
    </xf>
    <xf numFmtId="0" fontId="167" fillId="0" borderId="14" xfId="0" applyFont="1" applyBorder="1"/>
    <xf numFmtId="0" fontId="167" fillId="0" borderId="14" xfId="0" applyFont="1" applyBorder="1" applyAlignment="1">
      <alignment horizontal="right"/>
    </xf>
    <xf numFmtId="0" fontId="121" fillId="0" borderId="14" xfId="0" applyFont="1" applyBorder="1" applyAlignment="1">
      <alignment horizontal="right"/>
    </xf>
    <xf numFmtId="0" fontId="121" fillId="0" borderId="12" xfId="0" applyFont="1" applyBorder="1" applyAlignment="1">
      <alignment wrapText="1"/>
    </xf>
    <xf numFmtId="0" fontId="121" fillId="0" borderId="12" xfId="0" applyFont="1" applyBorder="1" applyAlignment="1">
      <alignment horizontal="right"/>
    </xf>
    <xf numFmtId="0" fontId="121" fillId="0" borderId="12" xfId="0" applyFont="1" applyBorder="1"/>
    <xf numFmtId="0" fontId="168" fillId="0" borderId="12" xfId="0" applyFont="1" applyBorder="1" applyAlignment="1">
      <alignment horizontal="right"/>
    </xf>
    <xf numFmtId="165" fontId="167" fillId="0" borderId="12" xfId="0" applyNumberFormat="1" applyFont="1" applyBorder="1" applyAlignment="1">
      <alignment horizontal="right"/>
    </xf>
    <xf numFmtId="0" fontId="168" fillId="0" borderId="20" xfId="0" applyFont="1" applyBorder="1" applyAlignment="1">
      <alignment wrapText="1"/>
    </xf>
    <xf numFmtId="0" fontId="168" fillId="0" borderId="20" xfId="0" applyFont="1" applyBorder="1"/>
    <xf numFmtId="0" fontId="168" fillId="0" borderId="20" xfId="0" applyFont="1" applyBorder="1" applyAlignment="1">
      <alignment horizontal="right"/>
    </xf>
    <xf numFmtId="0" fontId="167" fillId="0" borderId="20" xfId="0" applyFont="1" applyBorder="1" applyAlignment="1">
      <alignment horizontal="right"/>
    </xf>
    <xf numFmtId="0" fontId="121" fillId="0" borderId="0" xfId="0" applyFont="1" applyBorder="1" applyAlignment="1">
      <alignment horizontal="right"/>
    </xf>
    <xf numFmtId="0" fontId="168" fillId="0" borderId="15" xfId="0" applyFont="1" applyBorder="1" applyAlignment="1">
      <alignment wrapText="1"/>
    </xf>
    <xf numFmtId="0" fontId="168" fillId="0" borderId="15" xfId="0" applyFont="1" applyBorder="1"/>
    <xf numFmtId="0" fontId="168" fillId="0" borderId="15" xfId="0" applyFont="1" applyBorder="1" applyAlignment="1">
      <alignment horizontal="right"/>
    </xf>
    <xf numFmtId="0" fontId="167" fillId="0" borderId="15" xfId="0" applyFont="1" applyBorder="1" applyAlignment="1">
      <alignment horizontal="right"/>
    </xf>
    <xf numFmtId="0" fontId="121" fillId="0" borderId="10" xfId="0" applyFont="1" applyBorder="1" applyAlignment="1">
      <alignment horizontal="right"/>
    </xf>
    <xf numFmtId="0" fontId="167" fillId="0" borderId="0" xfId="0" applyFont="1" applyBorder="1"/>
    <xf numFmtId="0" fontId="169" fillId="0" borderId="14" xfId="0" applyFont="1" applyBorder="1" applyAlignment="1">
      <alignment wrapText="1"/>
    </xf>
    <xf numFmtId="0" fontId="169" fillId="0" borderId="12" xfId="0" applyFont="1" applyBorder="1"/>
    <xf numFmtId="0" fontId="169" fillId="0" borderId="12" xfId="0" applyFont="1" applyBorder="1" applyAlignment="1">
      <alignment wrapText="1"/>
    </xf>
    <xf numFmtId="4" fontId="167" fillId="0" borderId="12" xfId="0" applyNumberFormat="1" applyFont="1" applyBorder="1" applyAlignment="1">
      <alignment horizontal="right"/>
    </xf>
    <xf numFmtId="0" fontId="167" fillId="0" borderId="20" xfId="0" applyFont="1" applyBorder="1" applyAlignment="1">
      <alignment wrapText="1"/>
    </xf>
    <xf numFmtId="0" fontId="167" fillId="0" borderId="20" xfId="0" applyFont="1" applyBorder="1"/>
    <xf numFmtId="0" fontId="121" fillId="0" borderId="20" xfId="0" applyFont="1" applyBorder="1" applyAlignment="1">
      <alignment horizontal="right"/>
    </xf>
    <xf numFmtId="4" fontId="167" fillId="0" borderId="20" xfId="0" applyNumberFormat="1" applyFont="1" applyBorder="1" applyAlignment="1">
      <alignment horizontal="right"/>
    </xf>
    <xf numFmtId="0" fontId="167" fillId="0" borderId="0" xfId="0" applyFont="1" applyBorder="1" applyAlignment="1">
      <alignment wrapText="1"/>
    </xf>
    <xf numFmtId="4" fontId="167" fillId="0" borderId="0" xfId="0" applyNumberFormat="1" applyFont="1" applyBorder="1" applyAlignment="1">
      <alignment horizontal="right"/>
    </xf>
    <xf numFmtId="0" fontId="163" fillId="0" borderId="0" xfId="0" applyFont="1"/>
    <xf numFmtId="0" fontId="169" fillId="0" borderId="15" xfId="0" applyFont="1" applyBorder="1" applyAlignment="1">
      <alignment wrapText="1"/>
    </xf>
    <xf numFmtId="0" fontId="167" fillId="0" borderId="24" xfId="0" applyFont="1" applyBorder="1"/>
    <xf numFmtId="0" fontId="168" fillId="0" borderId="24" xfId="0" applyFont="1" applyBorder="1" applyAlignment="1">
      <alignment horizontal="right"/>
    </xf>
    <xf numFmtId="0" fontId="121" fillId="0" borderId="24" xfId="0" applyFont="1" applyBorder="1" applyAlignment="1">
      <alignment horizontal="right"/>
    </xf>
    <xf numFmtId="0" fontId="167" fillId="0" borderId="24" xfId="0" applyFont="1" applyBorder="1" applyAlignment="1">
      <alignment horizontal="right"/>
    </xf>
    <xf numFmtId="1" fontId="167" fillId="0" borderId="24" xfId="0" applyNumberFormat="1" applyFont="1" applyBorder="1" applyAlignment="1">
      <alignment horizontal="right"/>
    </xf>
    <xf numFmtId="0" fontId="121" fillId="0" borderId="15" xfId="0" applyFont="1" applyBorder="1" applyAlignment="1">
      <alignment wrapText="1"/>
    </xf>
    <xf numFmtId="165" fontId="167" fillId="0" borderId="24" xfId="0" applyNumberFormat="1" applyFont="1" applyBorder="1" applyAlignment="1">
      <alignment horizontal="right"/>
    </xf>
    <xf numFmtId="167" fontId="167" fillId="0" borderId="24" xfId="0" applyNumberFormat="1" applyFont="1" applyBorder="1" applyAlignment="1">
      <alignment horizontal="right"/>
    </xf>
    <xf numFmtId="0" fontId="167" fillId="0" borderId="15" xfId="0" applyFont="1" applyBorder="1" applyAlignment="1">
      <alignment wrapText="1"/>
    </xf>
    <xf numFmtId="0" fontId="167" fillId="0" borderId="94" xfId="0" applyFont="1" applyBorder="1"/>
    <xf numFmtId="0" fontId="168" fillId="0" borderId="94" xfId="0" applyFont="1" applyBorder="1" applyAlignment="1">
      <alignment horizontal="right"/>
    </xf>
    <xf numFmtId="0" fontId="121" fillId="0" borderId="94" xfId="0" applyFont="1" applyBorder="1" applyAlignment="1">
      <alignment horizontal="right"/>
    </xf>
    <xf numFmtId="0" fontId="167" fillId="0" borderId="94" xfId="0" applyFont="1" applyBorder="1" applyAlignment="1">
      <alignment horizontal="right"/>
    </xf>
    <xf numFmtId="4" fontId="167" fillId="0" borderId="94" xfId="0" applyNumberFormat="1" applyFont="1" applyBorder="1" applyAlignment="1">
      <alignment horizontal="right"/>
    </xf>
    <xf numFmtId="0" fontId="118" fillId="0" borderId="0" xfId="0" applyFont="1" applyBorder="1" applyAlignment="1">
      <alignment horizontal="center"/>
    </xf>
    <xf numFmtId="167" fontId="167" fillId="0" borderId="12" xfId="0" applyNumberFormat="1" applyFont="1" applyBorder="1"/>
    <xf numFmtId="0" fontId="167" fillId="0" borderId="10" xfId="0" applyFont="1" applyBorder="1" applyAlignment="1">
      <alignment horizontal="right"/>
    </xf>
    <xf numFmtId="165" fontId="167" fillId="0" borderId="10" xfId="0" applyNumberFormat="1" applyFont="1" applyBorder="1" applyAlignment="1">
      <alignment horizontal="right"/>
    </xf>
    <xf numFmtId="49" fontId="167" fillId="0" borderId="12" xfId="0" applyNumberFormat="1" applyFont="1" applyBorder="1" applyAlignment="1">
      <alignment horizontal="right"/>
    </xf>
    <xf numFmtId="169" fontId="167" fillId="0" borderId="12" xfId="0" applyNumberFormat="1" applyFont="1" applyBorder="1" applyAlignment="1">
      <alignment horizontal="right"/>
    </xf>
    <xf numFmtId="1" fontId="167" fillId="0" borderId="12" xfId="0" applyNumberFormat="1" applyFont="1" applyBorder="1" applyAlignment="1">
      <alignment horizontal="right"/>
    </xf>
    <xf numFmtId="0" fontId="167" fillId="0" borderId="12" xfId="0" applyNumberFormat="1" applyFont="1" applyBorder="1" applyAlignment="1">
      <alignment horizontal="right"/>
    </xf>
    <xf numFmtId="1" fontId="167" fillId="0" borderId="28" xfId="0" applyNumberFormat="1" applyFont="1" applyBorder="1" applyAlignment="1">
      <alignment horizontal="right"/>
    </xf>
    <xf numFmtId="0" fontId="167" fillId="0" borderId="28" xfId="0" applyNumberFormat="1" applyFont="1" applyBorder="1" applyAlignment="1">
      <alignment horizontal="right"/>
    </xf>
    <xf numFmtId="165" fontId="167" fillId="0" borderId="28" xfId="0" applyNumberFormat="1" applyFont="1" applyBorder="1" applyAlignment="1">
      <alignment horizontal="right"/>
    </xf>
    <xf numFmtId="49" fontId="167" fillId="0" borderId="0" xfId="0" applyNumberFormat="1" applyFont="1" applyBorder="1" applyAlignment="1">
      <alignment horizontal="right"/>
    </xf>
    <xf numFmtId="0" fontId="167" fillId="0" borderId="0" xfId="0" applyNumberFormat="1" applyFont="1" applyBorder="1" applyAlignment="1">
      <alignment horizontal="right"/>
    </xf>
    <xf numFmtId="0" fontId="132" fillId="0" borderId="0" xfId="0" applyFont="1" applyAlignment="1">
      <alignment wrapText="1"/>
    </xf>
    <xf numFmtId="3" fontId="118" fillId="0" borderId="0" xfId="0" applyNumberFormat="1" applyFont="1"/>
    <xf numFmtId="0" fontId="98" fillId="0" borderId="12" xfId="0" applyFont="1" applyBorder="1" applyAlignment="1">
      <alignment wrapText="1"/>
    </xf>
    <xf numFmtId="0" fontId="98" fillId="0" borderId="12" xfId="0" applyFont="1" applyBorder="1"/>
    <xf numFmtId="0" fontId="98" fillId="0" borderId="12" xfId="0" applyFont="1" applyBorder="1" applyAlignment="1">
      <alignment horizontal="right"/>
    </xf>
    <xf numFmtId="167" fontId="98" fillId="0" borderId="12" xfId="0" applyNumberFormat="1" applyFont="1" applyBorder="1" applyAlignment="1">
      <alignment horizontal="right"/>
    </xf>
    <xf numFmtId="3" fontId="43" fillId="0" borderId="0" xfId="0" applyNumberFormat="1" applyFont="1" applyBorder="1"/>
    <xf numFmtId="0" fontId="57" fillId="0" borderId="22" xfId="0" applyFont="1" applyBorder="1" applyAlignment="1">
      <alignment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35" fillId="0" borderId="0" xfId="0" applyNumberFormat="1" applyFont="1" applyAlignment="1">
      <alignment wrapText="1"/>
    </xf>
    <xf numFmtId="0" fontId="30" fillId="0" borderId="27" xfId="0" applyFont="1" applyBorder="1" applyAlignment="1">
      <alignment wrapText="1"/>
    </xf>
    <xf numFmtId="3" fontId="30" fillId="0" borderId="85" xfId="0" applyNumberFormat="1" applyFont="1" applyFill="1" applyBorder="1"/>
    <xf numFmtId="0" fontId="98" fillId="0" borderId="14" xfId="0" applyFont="1" applyBorder="1" applyAlignment="1">
      <alignment wrapText="1"/>
    </xf>
    <xf numFmtId="0" fontId="98" fillId="0" borderId="14" xfId="0" applyFont="1" applyBorder="1"/>
    <xf numFmtId="0" fontId="98" fillId="0" borderId="14" xfId="0" applyFont="1" applyBorder="1" applyAlignment="1">
      <alignment horizontal="right"/>
    </xf>
    <xf numFmtId="0" fontId="98" fillId="0" borderId="0" xfId="0" applyFont="1" applyBorder="1" applyAlignment="1">
      <alignment horizontal="right"/>
    </xf>
    <xf numFmtId="0" fontId="96" fillId="0" borderId="12" xfId="0" applyFont="1" applyBorder="1" applyAlignment="1">
      <alignment wrapText="1"/>
    </xf>
    <xf numFmtId="0" fontId="96" fillId="0" borderId="12" xfId="0" applyFont="1" applyBorder="1"/>
    <xf numFmtId="0" fontId="96" fillId="0" borderId="12" xfId="0" applyFont="1" applyBorder="1" applyAlignment="1">
      <alignment horizontal="right"/>
    </xf>
    <xf numFmtId="0" fontId="96" fillId="0" borderId="12" xfId="0" applyFont="1" applyBorder="1" applyAlignment="1">
      <alignment horizontal="right" vertical="center"/>
    </xf>
    <xf numFmtId="0" fontId="98" fillId="0" borderId="12" xfId="0" applyFont="1" applyBorder="1" applyAlignment="1">
      <alignment horizontal="right" vertical="center"/>
    </xf>
    <xf numFmtId="0" fontId="99" fillId="0" borderId="12" xfId="0" applyFont="1" applyBorder="1" applyAlignment="1">
      <alignment horizontal="right"/>
    </xf>
    <xf numFmtId="165" fontId="98" fillId="0" borderId="12" xfId="0" applyNumberFormat="1" applyFont="1" applyBorder="1" applyAlignment="1">
      <alignment horizontal="right"/>
    </xf>
    <xf numFmtId="167" fontId="98" fillId="24" borderId="12" xfId="0" applyNumberFormat="1" applyFont="1" applyFill="1" applyBorder="1" applyAlignment="1">
      <alignment horizontal="right" vertical="center"/>
    </xf>
    <xf numFmtId="165" fontId="96" fillId="0" borderId="12" xfId="0" applyNumberFormat="1" applyFont="1" applyBorder="1"/>
    <xf numFmtId="0" fontId="23" fillId="0" borderId="0" xfId="0" applyFont="1" applyAlignment="1">
      <alignment horizontal="center"/>
    </xf>
    <xf numFmtId="0" fontId="96" fillId="0" borderId="14" xfId="0" applyFont="1" applyBorder="1" applyAlignment="1">
      <alignment horizontal="right"/>
    </xf>
    <xf numFmtId="0" fontId="98" fillId="0" borderId="14" xfId="0" applyFont="1" applyBorder="1" applyAlignment="1"/>
    <xf numFmtId="0" fontId="23" fillId="0" borderId="0" xfId="0" applyFont="1" applyBorder="1" applyAlignment="1">
      <alignment horizontal="center"/>
    </xf>
    <xf numFmtId="0" fontId="98" fillId="0" borderId="0" xfId="0" applyFont="1" applyBorder="1" applyAlignment="1">
      <alignment wrapText="1"/>
    </xf>
    <xf numFmtId="0" fontId="98" fillId="0" borderId="0" xfId="0" applyFont="1" applyBorder="1"/>
    <xf numFmtId="0" fontId="99" fillId="0" borderId="0" xfId="0" applyFont="1" applyBorder="1" applyAlignment="1">
      <alignment horizontal="right"/>
    </xf>
    <xf numFmtId="0" fontId="96" fillId="0" borderId="0" xfId="0" applyFont="1" applyBorder="1" applyAlignment="1">
      <alignment horizontal="right"/>
    </xf>
    <xf numFmtId="4" fontId="98" fillId="0" borderId="0" xfId="0" applyNumberFormat="1" applyFont="1" applyBorder="1" applyAlignment="1">
      <alignment horizontal="right"/>
    </xf>
    <xf numFmtId="0" fontId="96" fillId="0" borderId="24" xfId="0" applyFont="1" applyBorder="1" applyAlignment="1">
      <alignment wrapText="1"/>
    </xf>
    <xf numFmtId="0" fontId="98" fillId="0" borderId="24" xfId="0" applyFont="1" applyBorder="1"/>
    <xf numFmtId="0" fontId="99" fillId="0" borderId="24" xfId="0" applyFont="1" applyBorder="1" applyAlignment="1">
      <alignment horizontal="right"/>
    </xf>
    <xf numFmtId="0" fontId="96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98" fillId="0" borderId="0" xfId="0" applyFont="1" applyBorder="1" applyAlignment="1">
      <alignment shrinkToFit="1"/>
    </xf>
    <xf numFmtId="0" fontId="96" fillId="0" borderId="24" xfId="0" applyFont="1" applyBorder="1"/>
    <xf numFmtId="0" fontId="97" fillId="0" borderId="24" xfId="0" applyFont="1" applyBorder="1" applyAlignment="1">
      <alignment horizontal="right"/>
    </xf>
    <xf numFmtId="167" fontId="98" fillId="0" borderId="24" xfId="0" applyNumberFormat="1" applyFont="1" applyBorder="1" applyAlignment="1">
      <alignment horizontal="right"/>
    </xf>
    <xf numFmtId="0" fontId="98" fillId="0" borderId="45" xfId="0" applyFont="1" applyBorder="1" applyAlignment="1">
      <alignment shrinkToFit="1"/>
    </xf>
    <xf numFmtId="0" fontId="96" fillId="0" borderId="91" xfId="0" applyFont="1" applyBorder="1"/>
    <xf numFmtId="0" fontId="97" fillId="0" borderId="91" xfId="0" applyFont="1" applyBorder="1" applyAlignment="1">
      <alignment horizontal="right"/>
    </xf>
    <xf numFmtId="0" fontId="96" fillId="0" borderId="91" xfId="0" applyFont="1" applyBorder="1" applyAlignment="1">
      <alignment horizontal="right"/>
    </xf>
    <xf numFmtId="0" fontId="98" fillId="0" borderId="91" xfId="0" applyFont="1" applyBorder="1" applyAlignment="1">
      <alignment horizontal="right"/>
    </xf>
    <xf numFmtId="0" fontId="98" fillId="0" borderId="92" xfId="0" applyFont="1" applyFill="1" applyBorder="1" applyAlignment="1">
      <alignment horizontal="right"/>
    </xf>
    <xf numFmtId="0" fontId="167" fillId="0" borderId="88" xfId="0" applyFont="1" applyBorder="1" applyAlignment="1">
      <alignment horizontal="right"/>
    </xf>
    <xf numFmtId="0" fontId="98" fillId="0" borderId="15" xfId="0" applyFont="1" applyBorder="1" applyAlignment="1">
      <alignment horizontal="right"/>
    </xf>
    <xf numFmtId="0" fontId="98" fillId="0" borderId="10" xfId="0" applyFont="1" applyBorder="1" applyAlignment="1">
      <alignment horizontal="right"/>
    </xf>
    <xf numFmtId="0" fontId="20" fillId="0" borderId="0" xfId="0" applyFont="1" applyAlignment="1">
      <alignment vertical="center"/>
    </xf>
    <xf numFmtId="0" fontId="99" fillId="0" borderId="15" xfId="0" applyFont="1" applyBorder="1" applyAlignment="1">
      <alignment wrapText="1"/>
    </xf>
    <xf numFmtId="1" fontId="98" fillId="0" borderId="24" xfId="0" applyNumberFormat="1" applyFont="1" applyBorder="1" applyAlignment="1">
      <alignment horizontal="right"/>
    </xf>
    <xf numFmtId="0" fontId="96" fillId="0" borderId="15" xfId="0" applyFont="1" applyBorder="1" applyAlignment="1">
      <alignment wrapText="1"/>
    </xf>
    <xf numFmtId="0" fontId="171" fillId="0" borderId="24" xfId="0" applyFont="1" applyBorder="1"/>
    <xf numFmtId="0" fontId="170" fillId="0" borderId="24" xfId="0" applyFont="1" applyBorder="1" applyAlignment="1">
      <alignment horizontal="right"/>
    </xf>
    <xf numFmtId="0" fontId="172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 vertical="center"/>
    </xf>
    <xf numFmtId="1" fontId="98" fillId="0" borderId="24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58" fillId="0" borderId="0" xfId="0" applyFont="1" applyBorder="1" applyAlignment="1">
      <alignment wrapText="1"/>
    </xf>
    <xf numFmtId="0" fontId="20" fillId="0" borderId="0" xfId="0" applyFont="1" applyAlignment="1">
      <alignment horizontal="center" vertical="center"/>
    </xf>
    <xf numFmtId="3" fontId="52" fillId="0" borderId="73" xfId="0" applyNumberFormat="1" applyFont="1" applyBorder="1" applyAlignment="1">
      <alignment vertical="center"/>
    </xf>
    <xf numFmtId="0" fontId="22" fillId="0" borderId="67" xfId="0" applyFont="1" applyBorder="1" applyAlignment="1">
      <alignment horizontal="left" vertical="center"/>
    </xf>
    <xf numFmtId="0" fontId="43" fillId="0" borderId="70" xfId="0" applyFont="1" applyBorder="1" applyAlignment="1">
      <alignment vertical="center" wrapText="1"/>
    </xf>
    <xf numFmtId="0" fontId="55" fillId="0" borderId="67" xfId="0" applyFont="1" applyBorder="1" applyAlignment="1">
      <alignment horizontal="center" vertical="center"/>
    </xf>
    <xf numFmtId="170" fontId="28" fillId="0" borderId="12" xfId="0" applyNumberFormat="1" applyFont="1" applyBorder="1" applyAlignment="1">
      <alignment horizontal="center" vertical="center"/>
    </xf>
    <xf numFmtId="0" fontId="174" fillId="0" borderId="0" xfId="71" applyFont="1" applyAlignment="1">
      <alignment vertical="center"/>
    </xf>
    <xf numFmtId="0" fontId="20" fillId="0" borderId="12" xfId="0" applyFont="1" applyBorder="1" applyAlignment="1">
      <alignment horizontal="center"/>
    </xf>
    <xf numFmtId="0" fontId="52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2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2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2" fillId="0" borderId="45" xfId="0" applyFont="1" applyBorder="1"/>
    <xf numFmtId="3" fontId="26" fillId="0" borderId="94" xfId="0" applyNumberFormat="1" applyFont="1" applyBorder="1"/>
    <xf numFmtId="3" fontId="26" fillId="0" borderId="99" xfId="0" applyNumberFormat="1" applyFont="1" applyBorder="1"/>
    <xf numFmtId="0" fontId="52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52" fillId="0" borderId="94" xfId="0" applyFont="1" applyBorder="1"/>
    <xf numFmtId="0" fontId="20" fillId="0" borderId="20" xfId="0" applyFont="1" applyBorder="1"/>
    <xf numFmtId="3" fontId="23" fillId="0" borderId="20" xfId="0" applyNumberFormat="1" applyFont="1" applyBorder="1"/>
    <xf numFmtId="3" fontId="26" fillId="0" borderId="20" xfId="0" applyNumberFormat="1" applyFont="1" applyBorder="1"/>
    <xf numFmtId="0" fontId="52" fillId="0" borderId="20" xfId="0" applyFont="1" applyBorder="1"/>
    <xf numFmtId="0" fontId="99" fillId="0" borderId="0" xfId="0" applyFont="1" applyBorder="1" applyAlignment="1">
      <alignment wrapText="1"/>
    </xf>
    <xf numFmtId="0" fontId="98" fillId="0" borderId="48" xfId="0" applyFont="1" applyBorder="1"/>
    <xf numFmtId="0" fontId="99" fillId="0" borderId="48" xfId="0" applyFont="1" applyBorder="1" applyAlignment="1">
      <alignment horizontal="right"/>
    </xf>
    <xf numFmtId="0" fontId="96" fillId="0" borderId="48" xfId="0" applyFont="1" applyBorder="1" applyAlignment="1">
      <alignment horizontal="right"/>
    </xf>
    <xf numFmtId="0" fontId="98" fillId="0" borderId="48" xfId="0" applyFont="1" applyBorder="1" applyAlignment="1">
      <alignment horizontal="right"/>
    </xf>
    <xf numFmtId="1" fontId="98" fillId="0" borderId="48" xfId="0" applyNumberFormat="1" applyFont="1" applyBorder="1" applyAlignment="1">
      <alignment horizontal="right"/>
    </xf>
    <xf numFmtId="0" fontId="20" fillId="0" borderId="24" xfId="0" applyFont="1" applyBorder="1"/>
    <xf numFmtId="3" fontId="98" fillId="0" borderId="24" xfId="0" applyNumberFormat="1" applyFont="1" applyBorder="1" applyAlignment="1">
      <alignment horizontal="right"/>
    </xf>
    <xf numFmtId="4" fontId="98" fillId="0" borderId="24" xfId="0" applyNumberFormat="1" applyFont="1" applyBorder="1" applyAlignment="1">
      <alignment horizontal="right"/>
    </xf>
    <xf numFmtId="2" fontId="98" fillId="0" borderId="24" xfId="0" applyNumberFormat="1" applyFont="1" applyBorder="1" applyAlignment="1">
      <alignment horizontal="right"/>
    </xf>
    <xf numFmtId="2" fontId="98" fillId="0" borderId="48" xfId="0" applyNumberFormat="1" applyFont="1" applyBorder="1" applyAlignment="1">
      <alignment horizontal="right"/>
    </xf>
    <xf numFmtId="2" fontId="167" fillId="0" borderId="24" xfId="0" applyNumberFormat="1" applyFont="1" applyBorder="1" applyAlignment="1">
      <alignment horizontal="right"/>
    </xf>
    <xf numFmtId="2" fontId="98" fillId="0" borderId="24" xfId="0" applyNumberFormat="1" applyFont="1" applyBorder="1" applyAlignment="1">
      <alignment horizontal="right" vertical="center"/>
    </xf>
    <xf numFmtId="0" fontId="172" fillId="0" borderId="15" xfId="0" applyFont="1" applyBorder="1" applyAlignment="1">
      <alignment wrapText="1"/>
    </xf>
    <xf numFmtId="1" fontId="98" fillId="0" borderId="28" xfId="0" applyNumberFormat="1" applyFont="1" applyBorder="1" applyAlignment="1">
      <alignment horizontal="right"/>
    </xf>
    <xf numFmtId="0" fontId="98" fillId="0" borderId="28" xfId="0" applyNumberFormat="1" applyFont="1" applyBorder="1" applyAlignment="1">
      <alignment horizontal="right"/>
    </xf>
    <xf numFmtId="2" fontId="98" fillId="0" borderId="12" xfId="0" applyNumberFormat="1" applyFont="1" applyBorder="1"/>
    <xf numFmtId="1" fontId="98" fillId="24" borderId="12" xfId="0" applyNumberFormat="1" applyFont="1" applyFill="1" applyBorder="1" applyAlignment="1">
      <alignment horizontal="right" vertical="center"/>
    </xf>
    <xf numFmtId="49" fontId="98" fillId="24" borderId="12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/>
    </xf>
    <xf numFmtId="0" fontId="98" fillId="24" borderId="12" xfId="0" applyFont="1" applyFill="1" applyBorder="1" applyAlignment="1">
      <alignment horizontal="left" vertical="center" wrapText="1"/>
    </xf>
    <xf numFmtId="49" fontId="98" fillId="0" borderId="12" xfId="0" applyNumberFormat="1" applyFont="1" applyBorder="1" applyAlignment="1">
      <alignment horizontal="right"/>
    </xf>
    <xf numFmtId="169" fontId="98" fillId="0" borderId="12" xfId="0" applyNumberFormat="1" applyFont="1" applyBorder="1" applyAlignment="1">
      <alignment horizontal="right"/>
    </xf>
    <xf numFmtId="1" fontId="98" fillId="0" borderId="12" xfId="0" applyNumberFormat="1" applyFont="1" applyBorder="1" applyAlignment="1">
      <alignment horizontal="right"/>
    </xf>
    <xf numFmtId="0" fontId="98" fillId="0" borderId="12" xfId="0" applyNumberFormat="1" applyFont="1" applyBorder="1" applyAlignment="1">
      <alignment horizontal="right"/>
    </xf>
    <xf numFmtId="2" fontId="98" fillId="0" borderId="12" xfId="0" applyNumberFormat="1" applyFont="1" applyBorder="1" applyAlignment="1">
      <alignment horizontal="right"/>
    </xf>
    <xf numFmtId="0" fontId="23" fillId="0" borderId="0" xfId="0" applyFont="1" applyAlignment="1">
      <alignment horizontal="center" vertical="center"/>
    </xf>
    <xf numFmtId="3" fontId="37" fillId="0" borderId="78" xfId="78" applyNumberFormat="1" applyFont="1" applyBorder="1"/>
    <xf numFmtId="3" fontId="37" fillId="0" borderId="67" xfId="78" applyNumberFormat="1" applyFont="1" applyBorder="1"/>
    <xf numFmtId="3" fontId="30" fillId="0" borderId="71" xfId="78" applyNumberFormat="1" applyFont="1" applyBorder="1"/>
    <xf numFmtId="3" fontId="25" fillId="0" borderId="67" xfId="78" applyNumberFormat="1" applyFont="1" applyBorder="1"/>
    <xf numFmtId="3" fontId="59" fillId="0" borderId="67" xfId="78" applyNumberFormat="1" applyFont="1" applyBorder="1"/>
    <xf numFmtId="3" fontId="85" fillId="0" borderId="67" xfId="78" applyNumberFormat="1" applyFont="1" applyBorder="1" applyAlignment="1">
      <alignment vertical="center"/>
    </xf>
    <xf numFmtId="3" fontId="25" fillId="0" borderId="71" xfId="78" applyNumberFormat="1" applyFont="1" applyBorder="1"/>
    <xf numFmtId="3" fontId="35" fillId="0" borderId="67" xfId="78" applyNumberFormat="1" applyFont="1" applyBorder="1"/>
    <xf numFmtId="3" fontId="30" fillId="0" borderId="73" xfId="78" applyNumberFormat="1" applyFont="1" applyBorder="1" applyAlignment="1">
      <alignment vertical="center"/>
    </xf>
    <xf numFmtId="3" fontId="125" fillId="0" borderId="67" xfId="78" applyNumberFormat="1" applyFont="1" applyBorder="1"/>
    <xf numFmtId="3" fontId="134" fillId="0" borderId="67" xfId="78" applyNumberFormat="1" applyFont="1" applyBorder="1"/>
    <xf numFmtId="0" fontId="28" fillId="0" borderId="0" xfId="78" applyFont="1" applyBorder="1"/>
    <xf numFmtId="0" fontId="37" fillId="0" borderId="0" xfId="78" applyFont="1" applyBorder="1"/>
    <xf numFmtId="1" fontId="35" fillId="0" borderId="0" xfId="78" applyNumberFormat="1" applyFont="1" applyBorder="1"/>
    <xf numFmtId="0" fontId="59" fillId="0" borderId="0" xfId="78" applyFont="1" applyBorder="1"/>
    <xf numFmtId="0" fontId="25" fillId="0" borderId="0" xfId="0" applyFont="1" applyBorder="1" applyAlignment="1">
      <alignment horizontal="center" vertical="center"/>
    </xf>
    <xf numFmtId="3" fontId="92" fillId="0" borderId="136" xfId="0" applyNumberFormat="1" applyFont="1" applyBorder="1" applyAlignment="1">
      <alignment horizontal="center" vertical="center" wrapText="1"/>
    </xf>
    <xf numFmtId="3" fontId="116" fillId="0" borderId="22" xfId="0" applyNumberFormat="1" applyFont="1" applyBorder="1" applyAlignment="1">
      <alignment horizontal="center" vertical="center" wrapText="1"/>
    </xf>
    <xf numFmtId="2" fontId="20" fillId="0" borderId="0" xfId="0" applyNumberFormat="1" applyFont="1"/>
    <xf numFmtId="3" fontId="34" fillId="0" borderId="0" xfId="0" applyNumberFormat="1" applyFont="1" applyBorder="1" applyAlignment="1">
      <alignment horizontal="right"/>
    </xf>
    <xf numFmtId="3" fontId="63" fillId="0" borderId="12" xfId="0" applyNumberFormat="1" applyFont="1" applyBorder="1" applyAlignment="1">
      <alignment horizontal="center" vertical="center"/>
    </xf>
    <xf numFmtId="3" fontId="63" fillId="0" borderId="29" xfId="0" applyNumberFormat="1" applyFont="1" applyBorder="1" applyAlignment="1">
      <alignment horizontal="center" vertical="center"/>
    </xf>
    <xf numFmtId="3" fontId="63" fillId="0" borderId="136" xfId="0" applyNumberFormat="1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8" fillId="0" borderId="0" xfId="0" applyFont="1" applyBorder="1" applyAlignment="1">
      <alignment horizontal="center"/>
    </xf>
    <xf numFmtId="0" fontId="63" fillId="0" borderId="2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10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5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8" fillId="0" borderId="12" xfId="0" applyNumberFormat="1" applyFont="1" applyBorder="1" applyAlignment="1">
      <alignment horizontal="center" vertical="center"/>
    </xf>
    <xf numFmtId="3" fontId="58" fillId="0" borderId="29" xfId="0" applyNumberFormat="1" applyFont="1" applyBorder="1" applyAlignment="1">
      <alignment horizontal="center" vertical="center"/>
    </xf>
    <xf numFmtId="3" fontId="58" fillId="0" borderId="136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6" xfId="0" applyNumberFormat="1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3" fillId="0" borderId="10" xfId="0" applyNumberFormat="1" applyFont="1" applyBorder="1" applyAlignment="1">
      <alignment horizontal="center" vertical="center"/>
    </xf>
    <xf numFmtId="3" fontId="73" fillId="0" borderId="105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3" fontId="107" fillId="0" borderId="34" xfId="71" applyNumberFormat="1" applyFont="1" applyBorder="1" applyAlignment="1">
      <alignment horizontal="right" vertical="center"/>
    </xf>
    <xf numFmtId="3" fontId="107" fillId="0" borderId="75" xfId="71" applyNumberFormat="1" applyFont="1" applyBorder="1" applyAlignment="1">
      <alignment horizontal="right" vertical="center"/>
    </xf>
    <xf numFmtId="0" fontId="155" fillId="0" borderId="0" xfId="71" applyFont="1" applyAlignment="1">
      <alignment horizontal="right" vertical="center"/>
    </xf>
    <xf numFmtId="0" fontId="156" fillId="0" borderId="97" xfId="71" applyFont="1" applyFill="1" applyBorder="1" applyAlignment="1">
      <alignment horizontal="center" vertical="center"/>
    </xf>
    <xf numFmtId="0" fontId="156" fillId="0" borderId="98" xfId="71" applyFont="1" applyFill="1" applyBorder="1" applyAlignment="1">
      <alignment horizontal="center" vertical="center"/>
    </xf>
    <xf numFmtId="3" fontId="156" fillId="0" borderId="49" xfId="71" applyNumberFormat="1" applyFont="1" applyFill="1" applyBorder="1" applyAlignment="1">
      <alignment horizontal="center" vertical="center"/>
    </xf>
    <xf numFmtId="3" fontId="156" fillId="0" borderId="27" xfId="71" applyNumberFormat="1" applyFont="1" applyFill="1" applyBorder="1" applyAlignment="1">
      <alignment horizontal="center" vertical="center"/>
    </xf>
    <xf numFmtId="3" fontId="156" fillId="0" borderId="49" xfId="71" applyNumberFormat="1" applyFont="1" applyFill="1" applyBorder="1" applyAlignment="1">
      <alignment horizontal="center" vertical="center" wrapText="1"/>
    </xf>
    <xf numFmtId="3" fontId="156" fillId="0" borderId="27" xfId="71" applyNumberFormat="1" applyFont="1" applyFill="1" applyBorder="1" applyAlignment="1">
      <alignment horizontal="center" vertical="center" wrapText="1"/>
    </xf>
    <xf numFmtId="0" fontId="104" fillId="0" borderId="0" xfId="71" applyFont="1" applyAlignment="1">
      <alignment horizontal="left" wrapText="1"/>
    </xf>
    <xf numFmtId="0" fontId="103" fillId="0" borderId="0" xfId="71" applyFont="1" applyAlignment="1">
      <alignment horizontal="left" vertical="center" wrapText="1"/>
    </xf>
    <xf numFmtId="3" fontId="104" fillId="0" borderId="0" xfId="71" applyNumberFormat="1" applyFont="1" applyAlignment="1">
      <alignment vertical="center" wrapText="1"/>
    </xf>
    <xf numFmtId="0" fontId="112" fillId="0" borderId="0" xfId="71" applyFont="1" applyAlignment="1">
      <alignment horizontal="left" vertical="center" wrapText="1"/>
    </xf>
    <xf numFmtId="0" fontId="152" fillId="0" borderId="0" xfId="75" applyFont="1" applyAlignment="1">
      <alignment horizontal="right"/>
    </xf>
    <xf numFmtId="0" fontId="107" fillId="0" borderId="0" xfId="71" applyFont="1" applyAlignment="1">
      <alignment horizontal="center" vertical="center"/>
    </xf>
    <xf numFmtId="3" fontId="156" fillId="0" borderId="133" xfId="71" applyNumberFormat="1" applyFont="1" applyFill="1" applyBorder="1" applyAlignment="1">
      <alignment horizontal="center" vertical="center" wrapText="1"/>
    </xf>
    <xf numFmtId="3" fontId="156" fillId="0" borderId="135" xfId="71" applyNumberFormat="1" applyFont="1" applyFill="1" applyBorder="1" applyAlignment="1">
      <alignment horizontal="center" vertical="center" wrapText="1"/>
    </xf>
    <xf numFmtId="3" fontId="107" fillId="0" borderId="59" xfId="71" applyNumberFormat="1" applyFont="1" applyBorder="1" applyAlignment="1">
      <alignment horizontal="right" vertical="center"/>
    </xf>
    <xf numFmtId="0" fontId="27" fillId="0" borderId="0" xfId="75" applyFont="1" applyAlignment="1">
      <alignment horizontal="right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74" fillId="0" borderId="97" xfId="71" applyFont="1" applyFill="1" applyBorder="1" applyAlignment="1">
      <alignment horizontal="center" vertical="center"/>
    </xf>
    <xf numFmtId="0" fontId="74" fillId="0" borderId="98" xfId="71" applyFont="1" applyFill="1" applyBorder="1" applyAlignment="1">
      <alignment horizontal="center" vertical="center"/>
    </xf>
    <xf numFmtId="3" fontId="74" fillId="0" borderId="49" xfId="71" applyNumberFormat="1" applyFont="1" applyFill="1" applyBorder="1" applyAlignment="1">
      <alignment horizontal="center" vertical="center"/>
    </xf>
    <xf numFmtId="3" fontId="74" fillId="0" borderId="27" xfId="71" applyNumberFormat="1" applyFont="1" applyFill="1" applyBorder="1" applyAlignment="1">
      <alignment horizontal="center"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 vertical="top" wrapText="1"/>
    </xf>
    <xf numFmtId="0" fontId="80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7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7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6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45" fillId="0" borderId="34" xfId="71" applyNumberFormat="1" applyFont="1" applyBorder="1" applyAlignment="1">
      <alignment horizontal="right" vertical="center"/>
    </xf>
    <xf numFmtId="3" fontId="145" fillId="0" borderId="59" xfId="71" applyNumberFormat="1" applyFont="1" applyBorder="1" applyAlignment="1">
      <alignment horizontal="right" vertical="center"/>
    </xf>
    <xf numFmtId="0" fontId="114" fillId="0" borderId="0" xfId="71" applyFont="1" applyAlignment="1">
      <alignment horizontal="right" vertical="center"/>
    </xf>
    <xf numFmtId="3" fontId="74" fillId="0" borderId="49" xfId="71" applyNumberFormat="1" applyFont="1" applyFill="1" applyBorder="1" applyAlignment="1">
      <alignment horizontal="center" vertical="center" wrapText="1"/>
    </xf>
    <xf numFmtId="3" fontId="74" fillId="0" borderId="27" xfId="71" applyNumberFormat="1" applyFont="1" applyFill="1" applyBorder="1" applyAlignment="1">
      <alignment horizontal="center" vertical="center" wrapText="1"/>
    </xf>
    <xf numFmtId="3" fontId="74" fillId="0" borderId="85" xfId="71" applyNumberFormat="1" applyFont="1" applyFill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34" fillId="0" borderId="131" xfId="0" applyFont="1" applyBorder="1" applyAlignment="1">
      <alignment horizontal="center" vertical="center" wrapText="1"/>
    </xf>
    <xf numFmtId="0" fontId="34" fillId="0" borderId="132" xfId="0" applyFont="1" applyBorder="1" applyAlignment="1">
      <alignment horizontal="center" vertical="center" wrapText="1"/>
    </xf>
    <xf numFmtId="0" fontId="25" fillId="0" borderId="117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69" fillId="0" borderId="0" xfId="0" applyFont="1" applyBorder="1" applyAlignment="1">
      <alignment horizontal="right"/>
    </xf>
    <xf numFmtId="3" fontId="29" fillId="0" borderId="91" xfId="0" applyNumberFormat="1" applyFont="1" applyBorder="1" applyAlignment="1">
      <alignment horizontal="right"/>
    </xf>
    <xf numFmtId="0" fontId="0" fillId="0" borderId="91" xfId="0" applyBorder="1" applyAlignment="1"/>
    <xf numFmtId="0" fontId="29" fillId="0" borderId="24" xfId="0" applyFont="1" applyBorder="1" applyAlignment="1">
      <alignment horizontal="center" vertical="center" wrapText="1"/>
    </xf>
    <xf numFmtId="0" fontId="107" fillId="0" borderId="99" xfId="0" applyFont="1" applyBorder="1" applyAlignment="1">
      <alignment horizontal="center" vertical="center" wrapText="1"/>
    </xf>
    <xf numFmtId="3" fontId="107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99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0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1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4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1" xfId="0" applyFont="1" applyBorder="1" applyAlignment="1">
      <alignment horizontal="right"/>
    </xf>
    <xf numFmtId="0" fontId="0" fillId="0" borderId="91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25" fillId="0" borderId="96" xfId="0" applyNumberFormat="1" applyFont="1" applyBorder="1" applyAlignment="1">
      <alignment horizontal="center" vertical="center"/>
    </xf>
    <xf numFmtId="0" fontId="63" fillId="0" borderId="0" xfId="74" applyFont="1" applyBorder="1" applyAlignment="1">
      <alignment horizontal="center"/>
    </xf>
    <xf numFmtId="3" fontId="148" fillId="0" borderId="96" xfId="0" applyNumberFormat="1" applyFont="1" applyBorder="1" applyAlignment="1">
      <alignment horizontal="center" vertical="center"/>
    </xf>
    <xf numFmtId="3" fontId="63" fillId="0" borderId="12" xfId="0" applyNumberFormat="1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horizontal="center" vertical="center" wrapText="1"/>
    </xf>
    <xf numFmtId="3" fontId="63" fillId="0" borderId="55" xfId="0" applyNumberFormat="1" applyFont="1" applyBorder="1" applyAlignment="1">
      <alignment horizontal="center" vertical="center" wrapText="1"/>
    </xf>
    <xf numFmtId="3" fontId="63" fillId="0" borderId="104" xfId="0" applyNumberFormat="1" applyFont="1" applyBorder="1" applyAlignment="1">
      <alignment horizontal="center" vertical="center" wrapText="1"/>
    </xf>
    <xf numFmtId="3" fontId="63" fillId="0" borderId="106" xfId="0" applyNumberFormat="1" applyFont="1" applyBorder="1" applyAlignment="1">
      <alignment horizontal="center" vertical="center" wrapText="1"/>
    </xf>
    <xf numFmtId="3" fontId="62" fillId="0" borderId="0" xfId="0" applyNumberFormat="1" applyFont="1" applyBorder="1" applyAlignment="1">
      <alignment horizontal="right"/>
    </xf>
    <xf numFmtId="0" fontId="77" fillId="0" borderId="0" xfId="0" applyFont="1" applyAlignment="1">
      <alignment horizontal="right"/>
    </xf>
    <xf numFmtId="0" fontId="77" fillId="0" borderId="0" xfId="0" applyFont="1" applyAlignment="1"/>
    <xf numFmtId="3" fontId="63" fillId="0" borderId="16" xfId="0" applyNumberFormat="1" applyFont="1" applyBorder="1" applyAlignment="1">
      <alignment horizontal="center" vertical="center"/>
    </xf>
    <xf numFmtId="3" fontId="57" fillId="0" borderId="0" xfId="0" applyNumberFormat="1" applyFont="1" applyAlignment="1">
      <alignment horizontal="center"/>
    </xf>
    <xf numFmtId="3" fontId="63" fillId="0" borderId="60" xfId="0" applyNumberFormat="1" applyFont="1" applyBorder="1" applyAlignment="1">
      <alignment horizontal="right"/>
    </xf>
    <xf numFmtId="3" fontId="63" fillId="0" borderId="107" xfId="0" applyNumberFormat="1" applyFont="1" applyBorder="1" applyAlignment="1">
      <alignment horizontal="center" vertical="center" wrapText="1"/>
    </xf>
    <xf numFmtId="0" fontId="63" fillId="0" borderId="121" xfId="0" applyFont="1" applyBorder="1" applyAlignment="1">
      <alignment horizontal="center" vertical="center" readingOrder="2"/>
    </xf>
    <xf numFmtId="0" fontId="77" fillId="0" borderId="10" xfId="0" applyFont="1" applyBorder="1" applyAlignment="1">
      <alignment horizontal="center" vertical="center"/>
    </xf>
    <xf numFmtId="0" fontId="77" fillId="0" borderId="119" xfId="0" applyFont="1" applyBorder="1" applyAlignment="1">
      <alignment horizontal="center" vertical="center"/>
    </xf>
    <xf numFmtId="0" fontId="56" fillId="0" borderId="100" xfId="0" applyFont="1" applyBorder="1" applyAlignment="1">
      <alignment horizontal="center" vertical="center" textRotation="255"/>
    </xf>
    <xf numFmtId="3" fontId="63" fillId="0" borderId="17" xfId="0" applyNumberFormat="1" applyFont="1" applyBorder="1" applyAlignment="1">
      <alignment horizontal="center" vertical="center"/>
    </xf>
    <xf numFmtId="3" fontId="63" fillId="0" borderId="118" xfId="0" applyNumberFormat="1" applyFont="1" applyBorder="1" applyAlignment="1">
      <alignment horizontal="center" vertical="center"/>
    </xf>
    <xf numFmtId="3" fontId="63" fillId="0" borderId="116" xfId="0" applyNumberFormat="1" applyFont="1" applyBorder="1" applyAlignment="1">
      <alignment horizontal="center" vertical="center"/>
    </xf>
    <xf numFmtId="3" fontId="63" fillId="0" borderId="117" xfId="0" applyNumberFormat="1" applyFont="1" applyBorder="1" applyAlignment="1">
      <alignment horizontal="center" vertical="center"/>
    </xf>
    <xf numFmtId="3" fontId="63" fillId="0" borderId="10" xfId="0" applyNumberFormat="1" applyFont="1" applyBorder="1" applyAlignment="1">
      <alignment horizontal="center" vertical="center"/>
    </xf>
    <xf numFmtId="3" fontId="77" fillId="0" borderId="10" xfId="0" applyNumberFormat="1" applyFont="1" applyBorder="1" applyAlignment="1">
      <alignment horizontal="center" vertical="center"/>
    </xf>
    <xf numFmtId="3" fontId="77" fillId="0" borderId="119" xfId="0" applyNumberFormat="1" applyFont="1" applyBorder="1" applyAlignment="1">
      <alignment horizontal="center" vertical="center"/>
    </xf>
    <xf numFmtId="0" fontId="77" fillId="0" borderId="120" xfId="0" applyFont="1" applyBorder="1" applyAlignment="1">
      <alignment horizontal="center" vertical="center"/>
    </xf>
    <xf numFmtId="3" fontId="63" fillId="0" borderId="115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63" fillId="0" borderId="49" xfId="0" applyFont="1" applyFill="1" applyBorder="1" applyAlignment="1"/>
    <xf numFmtId="0" fontId="77" fillId="0" borderId="85" xfId="0" applyFont="1" applyBorder="1" applyAlignment="1"/>
    <xf numFmtId="0" fontId="63" fillId="0" borderId="114" xfId="0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/>
    </xf>
    <xf numFmtId="0" fontId="63" fillId="0" borderId="42" xfId="0" applyFont="1" applyBorder="1" applyAlignment="1">
      <alignment horizontal="center" vertical="center"/>
    </xf>
    <xf numFmtId="3" fontId="63" fillId="0" borderId="28" xfId="0" applyNumberFormat="1" applyFont="1" applyBorder="1" applyAlignment="1">
      <alignment horizontal="center" vertical="center" wrapText="1"/>
    </xf>
    <xf numFmtId="3" fontId="56" fillId="0" borderId="107" xfId="0" applyNumberFormat="1" applyFont="1" applyBorder="1" applyAlignment="1">
      <alignment horizontal="center" vertical="center" wrapText="1"/>
    </xf>
    <xf numFmtId="3" fontId="56" fillId="0" borderId="108" xfId="0" applyNumberFormat="1" applyFont="1" applyBorder="1" applyAlignment="1">
      <alignment horizontal="center" vertical="center" wrapText="1"/>
    </xf>
    <xf numFmtId="0" fontId="56" fillId="0" borderId="109" xfId="0" applyFont="1" applyBorder="1" applyAlignment="1">
      <alignment horizontal="center" vertical="center" textRotation="255"/>
    </xf>
    <xf numFmtId="0" fontId="56" fillId="0" borderId="110" xfId="0" applyFont="1" applyBorder="1" applyAlignment="1">
      <alignment horizontal="center" vertical="center" textRotation="255"/>
    </xf>
    <xf numFmtId="0" fontId="0" fillId="0" borderId="111" xfId="0" applyBorder="1" applyAlignment="1"/>
    <xf numFmtId="3" fontId="63" fillId="0" borderId="112" xfId="0" applyNumberFormat="1" applyFont="1" applyBorder="1" applyAlignment="1">
      <alignment horizontal="center" vertical="center" wrapText="1"/>
    </xf>
    <xf numFmtId="3" fontId="63" fillId="0" borderId="113" xfId="0" applyNumberFormat="1" applyFont="1" applyBorder="1" applyAlignment="1">
      <alignment horizontal="center" vertical="center" wrapText="1"/>
    </xf>
    <xf numFmtId="3" fontId="63" fillId="0" borderId="122" xfId="0" applyNumberFormat="1" applyFont="1" applyBorder="1" applyAlignment="1">
      <alignment horizontal="center"/>
    </xf>
    <xf numFmtId="3" fontId="88" fillId="0" borderId="123" xfId="0" applyNumberFormat="1" applyFont="1" applyBorder="1" applyAlignment="1">
      <alignment horizontal="center"/>
    </xf>
    <xf numFmtId="0" fontId="87" fillId="0" borderId="0" xfId="0" applyFont="1" applyBorder="1" applyAlignment="1"/>
    <xf numFmtId="0" fontId="89" fillId="0" borderId="0" xfId="0" applyFont="1" applyBorder="1" applyAlignment="1">
      <alignment horizontal="center"/>
    </xf>
    <xf numFmtId="0" fontId="87" fillId="0" borderId="0" xfId="0" applyFont="1" applyAlignment="1"/>
    <xf numFmtId="0" fontId="88" fillId="0" borderId="25" xfId="0" applyFont="1" applyBorder="1" applyAlignment="1">
      <alignment horizontal="center" vertical="center" textRotation="255"/>
    </xf>
    <xf numFmtId="0" fontId="88" fillId="0" borderId="26" xfId="0" applyFont="1" applyBorder="1" applyAlignment="1">
      <alignment horizontal="center" vertical="center" textRotation="255"/>
    </xf>
    <xf numFmtId="0" fontId="88" fillId="0" borderId="48" xfId="0" applyFont="1" applyBorder="1" applyAlignment="1">
      <alignment horizontal="center" vertical="center" textRotation="255"/>
    </xf>
    <xf numFmtId="3" fontId="89" fillId="0" borderId="28" xfId="0" applyNumberFormat="1" applyFont="1" applyBorder="1" applyAlignment="1">
      <alignment horizontal="center" vertical="center" wrapText="1"/>
    </xf>
    <xf numFmtId="3" fontId="89" fillId="0" borderId="12" xfId="0" applyNumberFormat="1" applyFont="1" applyBorder="1" applyAlignment="1">
      <alignment horizontal="center" vertical="center" wrapText="1"/>
    </xf>
    <xf numFmtId="3" fontId="89" fillId="0" borderId="122" xfId="0" applyNumberFormat="1" applyFon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3" fontId="89" fillId="0" borderId="124" xfId="0" applyNumberFormat="1" applyFont="1" applyBorder="1" applyAlignment="1">
      <alignment horizontal="center" vertical="center" wrapText="1"/>
    </xf>
    <xf numFmtId="3" fontId="89" fillId="0" borderId="62" xfId="0" applyNumberFormat="1" applyFont="1" applyBorder="1" applyAlignment="1">
      <alignment horizontal="center" vertical="center" wrapText="1"/>
    </xf>
    <xf numFmtId="0" fontId="87" fillId="0" borderId="125" xfId="0" applyFont="1" applyBorder="1" applyAlignment="1">
      <alignment horizontal="center" vertical="center" wrapText="1"/>
    </xf>
    <xf numFmtId="0" fontId="89" fillId="0" borderId="91" xfId="0" applyFont="1" applyBorder="1" applyAlignment="1">
      <alignment horizontal="right"/>
    </xf>
    <xf numFmtId="3" fontId="63" fillId="0" borderId="29" xfId="0" applyNumberFormat="1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105" xfId="0" applyFont="1" applyBorder="1" applyAlignment="1">
      <alignment horizontal="center"/>
    </xf>
    <xf numFmtId="3" fontId="89" fillId="0" borderId="29" xfId="0" applyNumberFormat="1" applyFont="1" applyBorder="1" applyAlignment="1">
      <alignment horizontal="center" vertical="center" wrapText="1"/>
    </xf>
    <xf numFmtId="0" fontId="89" fillId="0" borderId="89" xfId="0" applyFont="1" applyBorder="1" applyAlignment="1">
      <alignment horizontal="center" vertical="center" wrapText="1"/>
    </xf>
    <xf numFmtId="0" fontId="89" fillId="0" borderId="67" xfId="0" applyFont="1" applyBorder="1" applyAlignment="1">
      <alignment horizontal="center" vertical="center" wrapText="1"/>
    </xf>
    <xf numFmtId="0" fontId="87" fillId="0" borderId="92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left"/>
    </xf>
    <xf numFmtId="0" fontId="58" fillId="0" borderId="73" xfId="0" applyFont="1" applyBorder="1" applyAlignment="1">
      <alignment horizontal="left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3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3" fillId="0" borderId="55" xfId="0" applyNumberFormat="1" applyFont="1" applyBorder="1" applyAlignment="1">
      <alignment horizontal="center" vertical="center"/>
    </xf>
    <xf numFmtId="3" fontId="73" fillId="0" borderId="106" xfId="0" applyNumberFormat="1" applyFont="1" applyBorder="1" applyAlignment="1">
      <alignment horizontal="center" vertical="center"/>
    </xf>
    <xf numFmtId="3" fontId="63" fillId="0" borderId="28" xfId="0" applyNumberFormat="1" applyFont="1" applyBorder="1" applyAlignment="1">
      <alignment horizontal="center" vertical="center"/>
    </xf>
    <xf numFmtId="3" fontId="58" fillId="0" borderId="10" xfId="0" applyNumberFormat="1" applyFont="1" applyBorder="1" applyAlignment="1">
      <alignment horizontal="center" vertical="center"/>
    </xf>
    <xf numFmtId="3" fontId="58" fillId="0" borderId="28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39" fillId="0" borderId="0" xfId="0" applyNumberFormat="1" applyFont="1" applyBorder="1" applyAlignment="1">
      <alignment horizontal="right"/>
    </xf>
    <xf numFmtId="0" fontId="52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97" fillId="0" borderId="0" xfId="0" applyFont="1" applyBorder="1" applyAlignment="1">
      <alignment horizontal="right"/>
    </xf>
    <xf numFmtId="0" fontId="97" fillId="0" borderId="0" xfId="0" applyFont="1" applyBorder="1" applyAlignment="1">
      <alignment horizontal="left" vertical="top" wrapText="1"/>
    </xf>
    <xf numFmtId="0" fontId="169" fillId="0" borderId="0" xfId="0" applyFont="1" applyBorder="1" applyAlignment="1">
      <alignment horizontal="left" wrapText="1"/>
    </xf>
    <xf numFmtId="0" fontId="55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12" xfId="0" applyFont="1" applyBorder="1" applyAlignment="1">
      <alignment horizontal="center"/>
    </xf>
    <xf numFmtId="0" fontId="48" fillId="0" borderId="28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169" fillId="0" borderId="0" xfId="0" applyFont="1" applyBorder="1" applyAlignment="1">
      <alignment horizontal="left" vertical="top" wrapText="1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10" fillId="0" borderId="24" xfId="72" applyFont="1" applyBorder="1" applyAlignment="1">
      <alignment horizontal="center"/>
    </xf>
    <xf numFmtId="0" fontId="48" fillId="0" borderId="99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1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98" fillId="0" borderId="24" xfId="72" applyFont="1" applyBorder="1" applyAlignment="1">
      <alignment horizontal="center" vertical="center"/>
    </xf>
    <xf numFmtId="0" fontId="98" fillId="0" borderId="99" xfId="72" applyFont="1" applyBorder="1" applyAlignment="1">
      <alignment horizontal="center" wrapText="1"/>
    </xf>
    <xf numFmtId="0" fontId="98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98" fillId="0" borderId="0" xfId="72" applyFont="1" applyAlignment="1"/>
    <xf numFmtId="0" fontId="98" fillId="0" borderId="45" xfId="72" applyFont="1" applyBorder="1" applyAlignment="1">
      <alignment horizontal="center"/>
    </xf>
    <xf numFmtId="0" fontId="98" fillId="0" borderId="94" xfId="72" applyFont="1" applyBorder="1" applyAlignment="1">
      <alignment horizontal="center"/>
    </xf>
    <xf numFmtId="0" fontId="98" fillId="0" borderId="99" xfId="72" applyFont="1" applyBorder="1" applyAlignment="1">
      <alignment horizontal="center"/>
    </xf>
    <xf numFmtId="0" fontId="97" fillId="0" borderId="0" xfId="72" applyFont="1" applyAlignment="1">
      <alignment horizontal="right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6" fillId="0" borderId="24" xfId="72" applyFont="1" applyBorder="1" applyAlignment="1">
      <alignment horizontal="center"/>
    </xf>
    <xf numFmtId="0" fontId="98" fillId="0" borderId="24" xfId="72" applyFont="1" applyBorder="1" applyAlignment="1">
      <alignment horizontal="center"/>
    </xf>
    <xf numFmtId="0" fontId="51" fillId="0" borderId="0" xfId="73" applyFont="1" applyAlignment="1">
      <alignment horizontal="right" wrapText="1"/>
    </xf>
    <xf numFmtId="0" fontId="52" fillId="0" borderId="24" xfId="73" applyFont="1" applyBorder="1" applyAlignment="1">
      <alignment horizontal="center" textRotation="180"/>
    </xf>
    <xf numFmtId="0" fontId="52" fillId="0" borderId="0" xfId="73" applyFont="1" applyAlignment="1">
      <alignment horizontal="center"/>
    </xf>
    <xf numFmtId="0" fontId="52" fillId="0" borderId="0" xfId="77" applyFont="1" applyAlignment="1">
      <alignment horizontal="center"/>
    </xf>
    <xf numFmtId="0" fontId="52" fillId="0" borderId="91" xfId="77" applyFont="1" applyBorder="1" applyAlignment="1">
      <alignment horizontal="right"/>
    </xf>
    <xf numFmtId="0" fontId="52" fillId="0" borderId="24" xfId="77" applyFont="1" applyBorder="1" applyAlignment="1">
      <alignment horizontal="center" vertical="center" textRotation="180"/>
    </xf>
    <xf numFmtId="0" fontId="20" fillId="0" borderId="24" xfId="77" applyFont="1" applyBorder="1" applyAlignment="1">
      <alignment horizontal="center" vertical="center" textRotation="180"/>
    </xf>
    <xf numFmtId="0" fontId="52" fillId="0" borderId="25" xfId="77" applyFont="1" applyBorder="1" applyAlignment="1">
      <alignment horizontal="center" vertical="center"/>
    </xf>
    <xf numFmtId="0" fontId="52" fillId="0" borderId="48" xfId="77" applyFont="1" applyBorder="1" applyAlignment="1">
      <alignment horizontal="center" vertical="center"/>
    </xf>
    <xf numFmtId="0" fontId="52" fillId="0" borderId="25" xfId="77" applyFont="1" applyBorder="1" applyAlignment="1">
      <alignment horizontal="center" vertical="center" wrapText="1"/>
    </xf>
    <xf numFmtId="0" fontId="52" fillId="0" borderId="48" xfId="77" applyFont="1" applyBorder="1" applyAlignment="1">
      <alignment horizontal="center" vertical="center" wrapText="1"/>
    </xf>
    <xf numFmtId="0" fontId="52" fillId="0" borderId="44" xfId="77" applyFont="1" applyBorder="1" applyAlignment="1">
      <alignment horizontal="center" vertical="center"/>
    </xf>
    <xf numFmtId="0" fontId="52" fillId="0" borderId="90" xfId="77" applyFont="1" applyBorder="1" applyAlignment="1">
      <alignment horizontal="center" vertical="center"/>
    </xf>
    <xf numFmtId="0" fontId="52" fillId="0" borderId="24" xfId="77" applyFont="1" applyBorder="1" applyAlignment="1">
      <alignment horizontal="center"/>
    </xf>
    <xf numFmtId="0" fontId="51" fillId="0" borderId="0" xfId="77" applyFont="1" applyAlignment="1">
      <alignment horizontal="right"/>
    </xf>
    <xf numFmtId="0" fontId="52" fillId="0" borderId="24" xfId="77" applyFont="1" applyBorder="1" applyAlignment="1">
      <alignment horizontal="center" vertical="center" textRotation="178"/>
    </xf>
    <xf numFmtId="3" fontId="35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31" fillId="0" borderId="130" xfId="0" applyFont="1" applyBorder="1" applyAlignment="1">
      <alignment horizontal="center"/>
    </xf>
    <xf numFmtId="0" fontId="31" fillId="0" borderId="67" xfId="0" applyFont="1" applyBorder="1" applyAlignment="1">
      <alignment horizontal="center"/>
    </xf>
    <xf numFmtId="0" fontId="31" fillId="0" borderId="130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3" fontId="28" fillId="0" borderId="0" xfId="78" applyNumberFormat="1" applyFont="1" applyAlignment="1">
      <alignment vertical="center"/>
    </xf>
    <xf numFmtId="3" fontId="43" fillId="0" borderId="70" xfId="0" applyNumberFormat="1" applyFont="1" applyBorder="1" applyAlignment="1">
      <alignment horizontal="right" vertical="center"/>
    </xf>
    <xf numFmtId="1" fontId="57" fillId="0" borderId="26" xfId="0" applyNumberFormat="1" applyFont="1" applyBorder="1" applyAlignment="1">
      <alignment horizontal="center" vertical="center"/>
    </xf>
    <xf numFmtId="0" fontId="57" fillId="0" borderId="42" xfId="0" applyFont="1" applyBorder="1" applyAlignment="1">
      <alignment vertical="center" wrapText="1"/>
    </xf>
    <xf numFmtId="0" fontId="152" fillId="0" borderId="0" xfId="0" applyFont="1" applyBorder="1" applyAlignment="1">
      <alignment horizontal="right" wrapText="1"/>
    </xf>
    <xf numFmtId="0" fontId="150" fillId="0" borderId="0" xfId="0" applyFont="1" applyBorder="1" applyAlignment="1">
      <alignment horizontal="right" wrapText="1"/>
    </xf>
    <xf numFmtId="0" fontId="151" fillId="0" borderId="0" xfId="0" applyFont="1" applyAlignment="1">
      <alignment horizontal="right" wrapText="1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14" customWidth="1"/>
    <col min="2" max="2" width="36.28515625" style="114" customWidth="1"/>
    <col min="3" max="3" width="13.28515625" style="115" customWidth="1"/>
    <col min="4" max="4" width="11.140625" style="115" customWidth="1"/>
    <col min="5" max="5" width="13.42578125" style="115" customWidth="1"/>
    <col min="6" max="6" width="36.85546875" style="115" customWidth="1"/>
    <col min="7" max="8" width="12" style="115" customWidth="1"/>
    <col min="9" max="9" width="14" style="115" customWidth="1"/>
    <col min="10" max="12" width="0" style="114" hidden="1" customWidth="1"/>
    <col min="13" max="22" width="9.140625" style="114"/>
    <col min="23" max="16384" width="9.140625" style="10"/>
  </cols>
  <sheetData>
    <row r="1" spans="1:22" ht="12.75" customHeight="1" x14ac:dyDescent="0.2">
      <c r="A1" s="1403" t="s">
        <v>1406</v>
      </c>
      <c r="B1" s="1403"/>
      <c r="C1" s="1403"/>
      <c r="D1" s="1403"/>
      <c r="E1" s="1403"/>
      <c r="F1" s="1403"/>
      <c r="G1" s="1403"/>
      <c r="H1" s="1403"/>
      <c r="I1" s="1403"/>
    </row>
    <row r="2" spans="1:22" ht="20.25" x14ac:dyDescent="0.3">
      <c r="B2" s="776"/>
      <c r="I2" s="116"/>
    </row>
    <row r="3" spans="1:22" s="86" customFormat="1" x14ac:dyDescent="0.2">
      <c r="A3" s="117"/>
      <c r="B3" s="1407" t="s">
        <v>54</v>
      </c>
      <c r="C3" s="1407"/>
      <c r="D3" s="1407"/>
      <c r="E3" s="1407"/>
      <c r="F3" s="1407"/>
      <c r="G3" s="1407"/>
      <c r="H3" s="1407"/>
      <c r="I3" s="140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s="86" customFormat="1" x14ac:dyDescent="0.2">
      <c r="A4" s="117"/>
      <c r="B4" s="1409" t="s">
        <v>1316</v>
      </c>
      <c r="C4" s="1409"/>
      <c r="D4" s="1409"/>
      <c r="E4" s="1409"/>
      <c r="F4" s="1409"/>
      <c r="G4" s="1409"/>
      <c r="H4" s="1409"/>
      <c r="I4" s="1409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s="86" customFormat="1" x14ac:dyDescent="0.2">
      <c r="A5" s="117"/>
      <c r="B5" s="1408" t="s">
        <v>298</v>
      </c>
      <c r="C5" s="1408"/>
      <c r="D5" s="1408"/>
      <c r="E5" s="1408"/>
      <c r="F5" s="1408"/>
      <c r="G5" s="1408"/>
      <c r="H5" s="1408"/>
      <c r="I5" s="1408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86" customFormat="1" ht="12.75" customHeight="1" x14ac:dyDescent="0.2">
      <c r="A6" s="1413" t="s">
        <v>56</v>
      </c>
      <c r="B6" s="1414" t="s">
        <v>57</v>
      </c>
      <c r="C6" s="1415" t="s">
        <v>58</v>
      </c>
      <c r="D6" s="1415"/>
      <c r="E6" s="1416"/>
      <c r="F6" s="1417" t="s">
        <v>59</v>
      </c>
      <c r="G6" s="1410" t="s">
        <v>60</v>
      </c>
      <c r="H6" s="1411"/>
      <c r="I6" s="1412"/>
      <c r="J6" s="117"/>
      <c r="K6" s="117"/>
      <c r="L6" s="117"/>
      <c r="M6" s="117"/>
      <c r="N6" s="117"/>
      <c r="O6" s="117"/>
      <c r="P6" s="117"/>
    </row>
    <row r="7" spans="1:22" s="86" customFormat="1" ht="12.75" customHeight="1" x14ac:dyDescent="0.2">
      <c r="A7" s="1413"/>
      <c r="B7" s="1414"/>
      <c r="C7" s="1404" t="s">
        <v>1136</v>
      </c>
      <c r="D7" s="1404"/>
      <c r="E7" s="1405"/>
      <c r="F7" s="1418"/>
      <c r="G7" s="1404" t="s">
        <v>1136</v>
      </c>
      <c r="H7" s="1404"/>
      <c r="I7" s="1406"/>
      <c r="J7" s="117"/>
      <c r="K7" s="117"/>
      <c r="L7" s="117"/>
      <c r="M7" s="117"/>
      <c r="N7" s="117"/>
      <c r="O7" s="117"/>
      <c r="P7" s="117"/>
    </row>
    <row r="8" spans="1:22" s="87" customFormat="1" ht="36.6" customHeight="1" x14ac:dyDescent="0.2">
      <c r="A8" s="1413"/>
      <c r="B8" s="118" t="s">
        <v>61</v>
      </c>
      <c r="C8" s="94" t="s">
        <v>62</v>
      </c>
      <c r="D8" s="94" t="s">
        <v>63</v>
      </c>
      <c r="E8" s="119" t="s">
        <v>64</v>
      </c>
      <c r="F8" s="120" t="s">
        <v>65</v>
      </c>
      <c r="G8" s="94" t="s">
        <v>62</v>
      </c>
      <c r="H8" s="94" t="s">
        <v>63</v>
      </c>
      <c r="I8" s="94" t="s">
        <v>64</v>
      </c>
      <c r="J8" s="144"/>
      <c r="K8" s="144"/>
      <c r="L8" s="144"/>
      <c r="M8" s="144"/>
      <c r="N8" s="144"/>
      <c r="O8" s="144"/>
      <c r="P8" s="144"/>
    </row>
    <row r="9" spans="1:22" ht="11.45" customHeight="1" x14ac:dyDescent="0.2">
      <c r="A9" s="121">
        <v>1</v>
      </c>
      <c r="B9" s="122" t="s">
        <v>24</v>
      </c>
      <c r="C9" s="123"/>
      <c r="D9" s="123"/>
      <c r="E9" s="123"/>
      <c r="F9" s="97" t="s">
        <v>25</v>
      </c>
      <c r="G9" s="123"/>
      <c r="H9" s="123"/>
      <c r="I9" s="383"/>
      <c r="J9" s="137"/>
      <c r="Q9" s="10"/>
      <c r="R9" s="10"/>
      <c r="S9" s="10"/>
      <c r="T9" s="10"/>
      <c r="U9" s="10"/>
      <c r="V9" s="10"/>
    </row>
    <row r="10" spans="1:22" x14ac:dyDescent="0.2">
      <c r="A10" s="121">
        <f t="shared" ref="A10:A55" si="0">A9+1</f>
        <v>2</v>
      </c>
      <c r="B10" s="124" t="s">
        <v>190</v>
      </c>
      <c r="C10" s="239"/>
      <c r="D10" s="239"/>
      <c r="E10" s="227"/>
      <c r="F10" s="422" t="s">
        <v>208</v>
      </c>
      <c r="G10" s="234">
        <f>'pü.mérleg Önkorm.'!G10+'pü.mérleg Hivatal'!H12+'püm. GAMESZ. '!G12+'püm-TASZII.'!G12+püm.Brunszvik!G12+'püm Festetics'!G12</f>
        <v>643557</v>
      </c>
      <c r="H10" s="234">
        <f>'pü.mérleg Önkorm.'!H10+'pü.mérleg Hivatal'!I12+'püm. GAMESZ. '!H12+'püm-TASZII.'!H12+püm.Brunszvik!H12+'püm Festetics'!H12</f>
        <v>312324</v>
      </c>
      <c r="I10" s="748">
        <f>SUM(G10:H10)</f>
        <v>955881</v>
      </c>
      <c r="J10" s="126" t="e">
        <f>'pü.mérleg Önkorm.'!#REF!+'pü.mérleg Hivatal'!#REF!+'püm. GAMESZ. '!#REF!+püm.Brunszvik!#REF!+'püm-TASZII.'!#REF!</f>
        <v>#REF!</v>
      </c>
      <c r="K10" s="115" t="e">
        <f>'pü.mérleg Önkorm.'!#REF!+'pü.mérleg Hivatal'!#REF!+'püm. GAMESZ. '!#REF!++'püm-TASZII.'!#REF!+püm.Brunszvik!#REF!</f>
        <v>#REF!</v>
      </c>
      <c r="L10" s="115" t="e">
        <f>'pü.mérleg Önkorm.'!#REF!+'pü.mérleg Hivatal'!#REF!+'püm. GAMESZ. '!#REF!+püm.Brunszvik!#REF!+'püm-TASZII.'!#REF!</f>
        <v>#REF!</v>
      </c>
      <c r="N10" s="115"/>
      <c r="Q10" s="10"/>
      <c r="R10" s="10"/>
      <c r="S10" s="10"/>
      <c r="T10" s="10"/>
      <c r="U10" s="10"/>
      <c r="V10" s="10"/>
    </row>
    <row r="11" spans="1:22" x14ac:dyDescent="0.2">
      <c r="A11" s="121">
        <f t="shared" si="0"/>
        <v>3</v>
      </c>
      <c r="B11" s="124" t="s">
        <v>184</v>
      </c>
      <c r="C11" s="232">
        <f>'tám, végl. pe.átv  '!C11+'tám, végl. pe.átv  '!C19+'tám, végl. pe.átv  '!C20</f>
        <v>456362</v>
      </c>
      <c r="D11" s="232">
        <f>'tám, végl. pe.átv  '!D11+'tám, végl. pe.átv  '!D19+'tám, végl. pe.átv  '!D20</f>
        <v>120326</v>
      </c>
      <c r="E11" s="232">
        <f>'tám, végl. pe.átv  '!E11+'tám, végl. pe.átv  '!E19+'tám, végl. pe.átv  '!E20</f>
        <v>576688</v>
      </c>
      <c r="F11" s="712" t="s">
        <v>209</v>
      </c>
      <c r="G11" s="234">
        <f>'pü.mérleg Önkorm.'!G11+'pü.mérleg Hivatal'!H13+'püm. GAMESZ. '!G13+püm.Brunszvik!G13+'püm-TASZII.'!G13+'püm Festetics'!G13</f>
        <v>124475</v>
      </c>
      <c r="H11" s="234">
        <f>'pü.mérleg Önkorm.'!H11+'pü.mérleg Hivatal'!I13+'püm. GAMESZ. '!H13+püm.Brunszvik!H13+'püm-TASZII.'!H13+'püm Festetics'!H13</f>
        <v>64699</v>
      </c>
      <c r="I11" s="401">
        <f>SUM(G11:H11)</f>
        <v>189174</v>
      </c>
      <c r="J11" s="115" t="e">
        <f>'pü.mérleg Önkorm.'!#REF!+'pü.mérleg Hivatal'!#REF!+'püm. GAMESZ. '!#REF!+püm.Brunszvik!#REF!+'püm-TASZII.'!#REF!</f>
        <v>#REF!</v>
      </c>
      <c r="K11" s="115" t="e">
        <f>'pü.mérleg Önkorm.'!#REF!+'pü.mérleg Hivatal'!#REF!+'püm. GAMESZ. '!#REF!+püm.Brunszvik!#REF!+'püm-TASZII.'!#REF!</f>
        <v>#REF!</v>
      </c>
      <c r="L11" s="115" t="e">
        <f>'pü.mérleg Önkorm.'!#REF!+'pü.mérleg Hivatal'!#REF!+'püm. GAMESZ. '!#REF!+püm.Brunszvik!#REF!+'püm-TASZII.'!#REF!</f>
        <v>#REF!</v>
      </c>
      <c r="N11" s="115"/>
      <c r="Q11" s="10"/>
      <c r="R11" s="10"/>
      <c r="S11" s="10"/>
      <c r="T11" s="10"/>
      <c r="U11" s="10"/>
      <c r="V11" s="10"/>
    </row>
    <row r="12" spans="1:22" x14ac:dyDescent="0.2">
      <c r="A12" s="121">
        <f t="shared" si="0"/>
        <v>4</v>
      </c>
      <c r="B12" s="124" t="s">
        <v>182</v>
      </c>
      <c r="C12" s="232">
        <f>'pü.mérleg Önkorm.'!C12</f>
        <v>0</v>
      </c>
      <c r="D12" s="232">
        <f>'pü.mérleg Önkorm.'!D12</f>
        <v>0</v>
      </c>
      <c r="E12" s="232">
        <f>'pü.mérleg Önkorm.'!E12</f>
        <v>0</v>
      </c>
      <c r="F12" s="422" t="s">
        <v>210</v>
      </c>
      <c r="G12" s="234">
        <f>'pü.mérleg Önkorm.'!G12+'pü.mérleg Hivatal'!H14+'püm. GAMESZ. '!G14+püm.Brunszvik!G14+'püm-TASZII.'!G14+'püm Festetics'!G14</f>
        <v>671757</v>
      </c>
      <c r="H12" s="234">
        <f>'pü.mérleg Önkorm.'!H12+'pü.mérleg Hivatal'!I14+'püm. GAMESZ. '!H14+püm.Brunszvik!H14+'püm-TASZII.'!H14+'püm Festetics'!H14</f>
        <v>524907</v>
      </c>
      <c r="I12" s="401">
        <f>SUM(G12:H12)</f>
        <v>1196664</v>
      </c>
      <c r="J12" s="115" t="e">
        <f>'pü.mérleg Önkorm.'!#REF!+'pü.mérleg Hivatal'!#REF!+'püm. GAMESZ. '!#REF!+püm.Brunszvik!#REF!+'püm-TASZII.'!#REF!</f>
        <v>#REF!</v>
      </c>
      <c r="K12" s="115" t="e">
        <f>'pü.mérleg Önkorm.'!#REF!+'pü.mérleg Hivatal'!#REF!+'püm. GAMESZ. '!#REF!+püm.Brunszvik!#REF!+'püm-TASZII.'!#REF!</f>
        <v>#REF!</v>
      </c>
      <c r="L12" s="115" t="e">
        <f>'pü.mérleg Önkorm.'!#REF!+'pü.mérleg Hivatal'!#REF!+'püm. GAMESZ. '!#REF!+püm.Brunszvik!#REF!+'püm-TASZII.'!#REF!</f>
        <v>#REF!</v>
      </c>
      <c r="N12" s="115"/>
      <c r="Q12" s="10"/>
      <c r="R12" s="10"/>
      <c r="S12" s="10"/>
      <c r="T12" s="10"/>
      <c r="U12" s="10"/>
      <c r="V12" s="10"/>
    </row>
    <row r="13" spans="1:22" ht="12" customHeight="1" x14ac:dyDescent="0.2">
      <c r="A13" s="121">
        <f t="shared" si="0"/>
        <v>5</v>
      </c>
      <c r="B13" s="457" t="s">
        <v>185</v>
      </c>
      <c r="C13" s="232">
        <f>'tám, végl. pe.átv  '!C40+'tám, végl. pe.átv  '!C50+'tám, végl. pe.átv  '!C56+'tám, végl. pe.átv  '!C73</f>
        <v>166118</v>
      </c>
      <c r="D13" s="232">
        <f>'tám, végl. pe.átv  '!D40+'tám, végl. pe.átv  '!D50+'tám, végl. pe.átv  '!D56+'tám, végl. pe.átv  '!D73+'tám, végl. pe.átv  '!D61</f>
        <v>2992</v>
      </c>
      <c r="E13" s="232">
        <f>'tám, végl. pe.átv  '!E40+'tám, végl. pe.átv  '!E50+'tám, végl. pe.átv  '!E56+'tám, végl. pe.átv  '!E73+'tám, végl. pe.átv  '!E61</f>
        <v>169110</v>
      </c>
      <c r="F13" s="422"/>
      <c r="G13" s="232"/>
      <c r="H13" s="232"/>
      <c r="I13" s="748"/>
      <c r="J13" s="137"/>
      <c r="O13" s="137"/>
      <c r="Q13" s="10"/>
      <c r="R13" s="10"/>
      <c r="S13" s="10"/>
      <c r="T13" s="10"/>
      <c r="U13" s="10"/>
      <c r="V13" s="10"/>
    </row>
    <row r="14" spans="1:22" x14ac:dyDescent="0.2">
      <c r="A14" s="121">
        <f t="shared" si="0"/>
        <v>6</v>
      </c>
      <c r="B14" s="124" t="s">
        <v>1040</v>
      </c>
      <c r="C14" s="232"/>
      <c r="D14" s="232"/>
      <c r="E14" s="234"/>
      <c r="F14" s="422" t="s">
        <v>211</v>
      </c>
      <c r="G14" s="234">
        <f>'pü.mérleg Önkorm.'!G14+'pü.mérleg Hivatal'!H16</f>
        <v>2690</v>
      </c>
      <c r="H14" s="234">
        <f>'pü.mérleg Önkorm.'!H14+'pü.mérleg Hivatal'!I16</f>
        <v>13950</v>
      </c>
      <c r="I14" s="401">
        <f>'pü.mérleg Önkorm.'!I14+'pü.mérleg Hivatal'!J16</f>
        <v>16640</v>
      </c>
      <c r="J14" s="115" t="e">
        <f>'pü.mérleg Önkorm.'!#REF!+'pü.mérleg Hivatal'!#REF!</f>
        <v>#REF!</v>
      </c>
      <c r="K14" s="115" t="e">
        <f>'pü.mérleg Önkorm.'!#REF!+'pü.mérleg Hivatal'!#REF!</f>
        <v>#REF!</v>
      </c>
      <c r="L14" s="115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21">
        <f t="shared" si="0"/>
        <v>7</v>
      </c>
      <c r="B15" s="124" t="s">
        <v>1038</v>
      </c>
      <c r="C15" s="232">
        <f>'pü.mérleg Önkorm.'!C15</f>
        <v>0</v>
      </c>
      <c r="D15" s="232">
        <f>'pü.mérleg Önkorm.'!D15</f>
        <v>0</v>
      </c>
      <c r="E15" s="232">
        <f>'pü.mérleg Önkorm.'!E15</f>
        <v>0</v>
      </c>
      <c r="F15" s="422"/>
      <c r="G15" s="234"/>
      <c r="H15" s="234"/>
      <c r="I15" s="401"/>
      <c r="J15" s="115"/>
      <c r="K15" s="115"/>
      <c r="L15" s="115"/>
      <c r="Q15" s="10"/>
      <c r="R15" s="10"/>
      <c r="S15" s="10"/>
      <c r="T15" s="10"/>
      <c r="U15" s="10"/>
      <c r="V15" s="10"/>
    </row>
    <row r="16" spans="1:22" x14ac:dyDescent="0.2">
      <c r="A16" s="121">
        <f t="shared" si="0"/>
        <v>8</v>
      </c>
      <c r="B16" s="893" t="s">
        <v>1039</v>
      </c>
      <c r="C16" s="232">
        <f>'pü.mérleg Önkorm.'!C16+'pü.mérleg Hivatal'!D16+'püm. GAMESZ. '!C16+püm.Brunszvik!C16+'püm Festetics'!C16+'püm-TASZII.'!C16</f>
        <v>1566466</v>
      </c>
      <c r="D16" s="232">
        <f>'pü.mérleg Önkorm.'!D16+'pü.mérleg Hivatal'!E16+'püm. GAMESZ. '!D16+püm.Brunszvik!D16+'püm Festetics'!D16+'püm-TASZII.'!D16</f>
        <v>0</v>
      </c>
      <c r="E16" s="232">
        <f>'pü.mérleg Önkorm.'!E16+'pü.mérleg Hivatal'!F16+'püm. GAMESZ. '!E16+püm.Brunszvik!E16+'püm Festetics'!E16+'püm-TASZII.'!E16</f>
        <v>1566466</v>
      </c>
      <c r="F16" s="422" t="s">
        <v>212</v>
      </c>
      <c r="G16" s="234"/>
      <c r="H16" s="234"/>
      <c r="I16" s="748"/>
      <c r="J16" s="137"/>
      <c r="Q16" s="10"/>
      <c r="R16" s="10"/>
      <c r="S16" s="10"/>
      <c r="T16" s="10"/>
      <c r="U16" s="10"/>
      <c r="V16" s="10"/>
    </row>
    <row r="17" spans="1:22" x14ac:dyDescent="0.2">
      <c r="A17" s="121">
        <f t="shared" si="0"/>
        <v>9</v>
      </c>
      <c r="B17" s="124" t="s">
        <v>186</v>
      </c>
      <c r="C17" s="232">
        <f>'pü.mérleg Önkorm.'!C17+'püm. GAMESZ. '!C18+püm.Brunszvik!C18+'püm-TASZII.'!C18+'pü.mérleg Hivatal'!D17+püm.Brunszvik!C18</f>
        <v>743715</v>
      </c>
      <c r="D17" s="232">
        <f>'mük. bev.Önkor és Hivatal '!F40</f>
        <v>17385</v>
      </c>
      <c r="E17" s="234">
        <f>SUM(C17:D17)</f>
        <v>761100</v>
      </c>
      <c r="F17" s="422" t="s">
        <v>213</v>
      </c>
      <c r="G17" s="234">
        <f>'pü.mérleg Önkorm.'!G17+'pü.mérleg Hivatal'!H18</f>
        <v>5850</v>
      </c>
      <c r="H17" s="234">
        <f>'pü.mérleg Önkorm.'!H17+'pü.mérleg Hivatal'!I18</f>
        <v>114841</v>
      </c>
      <c r="I17" s="401">
        <f>'pü.mérleg Önkorm.'!I17+'pü.mérleg Hivatal'!J18</f>
        <v>120691</v>
      </c>
      <c r="J17" s="227">
        <f>'pü.mérleg Önkorm.'!J17+'pü.mérleg Hivatal'!K18</f>
        <v>0</v>
      </c>
      <c r="K17" s="227">
        <f>'pü.mérleg Önkorm.'!K17+'pü.mérleg Hivatal'!L18</f>
        <v>0</v>
      </c>
      <c r="L17" s="227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21">
        <f t="shared" si="0"/>
        <v>10</v>
      </c>
      <c r="B18" s="127" t="s">
        <v>40</v>
      </c>
      <c r="C18" s="232">
        <f>'pü.mérleg Önkorm.'!C18+'püm. GAMESZ. '!C19+püm.Brunszvik!C19+'püm-TASZII.'!C19+'pü.mérleg Hivatal'!D18+püm.Brunszvik!C19</f>
        <v>0</v>
      </c>
      <c r="D18" s="1015"/>
      <c r="E18" s="1015"/>
      <c r="F18" s="422" t="s">
        <v>214</v>
      </c>
      <c r="G18" s="234">
        <f>'pü.mérleg Önkorm.'!G18+'pü.mérleg Hivatal'!H19</f>
        <v>150640</v>
      </c>
      <c r="H18" s="234">
        <f>'pü.mérleg Önkorm.'!H18+'pü.mérleg Hivatal'!I19</f>
        <v>158790</v>
      </c>
      <c r="I18" s="234">
        <f>'pü.mérleg Önkorm.'!I18+'pü.mérleg Hivatal'!J19</f>
        <v>309430</v>
      </c>
      <c r="J18" s="115" t="e">
        <f>'pü.mérleg Önkorm.'!#REF!</f>
        <v>#REF!</v>
      </c>
      <c r="K18" s="115" t="e">
        <f>'pü.mérleg Önkorm.'!#REF!</f>
        <v>#REF!</v>
      </c>
      <c r="L18" s="115" t="e">
        <f>'pü.mérleg Önkorm.'!#REF!</f>
        <v>#REF!</v>
      </c>
      <c r="M18" s="141"/>
      <c r="Q18" s="10"/>
      <c r="R18" s="10"/>
      <c r="S18" s="10"/>
      <c r="T18" s="10"/>
      <c r="U18" s="10"/>
      <c r="V18" s="10"/>
    </row>
    <row r="19" spans="1:22" x14ac:dyDescent="0.2">
      <c r="A19" s="121">
        <f t="shared" si="0"/>
        <v>11</v>
      </c>
      <c r="B19" s="127"/>
      <c r="C19" s="232"/>
      <c r="D19" s="1015"/>
      <c r="E19" s="1015"/>
      <c r="F19" s="422" t="s">
        <v>215</v>
      </c>
      <c r="G19" s="234">
        <f>'pü.mérleg Önkorm.'!G19+'pü.mérleg Hivatal'!H20+'püm. GAMESZ. '!G20+püm.Brunszvik!G20+'püm Festetics'!G20+'püm-TASZII.'!G20</f>
        <v>0</v>
      </c>
      <c r="H19" s="234">
        <f>'pü.mérleg Önkorm.'!H19+'pü.mérleg Hivatal'!I20+'püm. GAMESZ. '!H20+püm.Brunszvik!H20+'püm Festetics'!H20+'püm-TASZII.'!H20</f>
        <v>0</v>
      </c>
      <c r="I19" s="234">
        <f>'pü.mérleg Önkorm.'!I19+'pü.mérleg Hivatal'!J20+'püm. GAMESZ. '!I20+püm.Brunszvik!I20+'püm Festetics'!I20+'püm-TASZII.'!I20</f>
        <v>0</v>
      </c>
      <c r="J19" s="83">
        <f>'pü.mérleg Önkorm.'!J19+'pü.mérleg Hivatal'!K20+'püm. GAMESZ. '!J20+püm.Brunszvik!J20+'püm Festetics'!J20+'püm-TASZII.'!J20</f>
        <v>0</v>
      </c>
      <c r="K19" s="83">
        <f>'pü.mérleg Önkorm.'!K19+'pü.mérleg Hivatal'!L20+'püm. GAMESZ. '!K20+püm.Brunszvik!K20+'püm Festetics'!K20+'püm-TASZII.'!K20</f>
        <v>0</v>
      </c>
      <c r="L19" s="83">
        <f>'pü.mérleg Önkorm.'!L19+'pü.mérleg Hivatal'!M20+'püm. GAMESZ. '!L20+püm.Brunszvik!L20+'püm Festetics'!L20+'püm-TASZII.'!L20</f>
        <v>0</v>
      </c>
      <c r="M19" s="141"/>
      <c r="Q19" s="10"/>
      <c r="R19" s="10"/>
      <c r="S19" s="10"/>
      <c r="T19" s="10"/>
      <c r="U19" s="10"/>
      <c r="V19" s="10"/>
    </row>
    <row r="20" spans="1:22" x14ac:dyDescent="0.2">
      <c r="A20" s="121">
        <f t="shared" si="0"/>
        <v>12</v>
      </c>
      <c r="B20" s="80" t="s">
        <v>187</v>
      </c>
      <c r="C20" s="232">
        <f>'pü.mérleg Önkorm.'!C20+'pü.mérleg Hivatal'!D20+'püm. GAMESZ. '!C20+püm.Brunszvik!C20+'püm-TASZII.'!C20+'püm Festetics'!C20</f>
        <v>161248</v>
      </c>
      <c r="D20" s="232">
        <f>'pü.mérleg Önkorm.'!D20+'pü.mérleg Hivatal'!E20+'püm. GAMESZ. '!D20+püm.Brunszvik!D20+'püm-TASZII.'!D20+'püm Festetics'!D20</f>
        <v>1017523</v>
      </c>
      <c r="E20" s="232">
        <f>SUM(C20:D20)</f>
        <v>1178771</v>
      </c>
      <c r="F20" s="422" t="s">
        <v>216</v>
      </c>
      <c r="G20" s="234"/>
      <c r="H20" s="234">
        <f>'pü.mérleg Önkorm.'!H20</f>
        <v>177269</v>
      </c>
      <c r="I20" s="748">
        <f>SUM(G20:H20)</f>
        <v>177269</v>
      </c>
      <c r="J20" s="137"/>
      <c r="Q20" s="10"/>
      <c r="R20" s="10"/>
      <c r="S20" s="10"/>
      <c r="T20" s="10"/>
      <c r="U20" s="10"/>
      <c r="V20" s="10"/>
    </row>
    <row r="21" spans="1:22" x14ac:dyDescent="0.2">
      <c r="A21" s="121">
        <f t="shared" si="0"/>
        <v>13</v>
      </c>
      <c r="C21" s="1015"/>
      <c r="D21" s="1015"/>
      <c r="E21" s="1015"/>
      <c r="F21" s="422" t="s">
        <v>217</v>
      </c>
      <c r="G21" s="234">
        <f>'pü.mérleg Önkorm.'!G21</f>
        <v>176</v>
      </c>
      <c r="H21" s="234">
        <f>'pü.mérleg Önkorm.'!H21</f>
        <v>175792</v>
      </c>
      <c r="I21" s="748">
        <f>SUM(G21:H21)</f>
        <v>175968</v>
      </c>
      <c r="J21" s="137"/>
      <c r="Q21" s="10"/>
      <c r="R21" s="10"/>
      <c r="S21" s="10"/>
      <c r="T21" s="10"/>
      <c r="U21" s="10"/>
      <c r="V21" s="10"/>
    </row>
    <row r="22" spans="1:22" s="88" customFormat="1" x14ac:dyDescent="0.2">
      <c r="A22" s="121">
        <f t="shared" si="0"/>
        <v>14</v>
      </c>
      <c r="B22" s="80" t="s">
        <v>189</v>
      </c>
      <c r="C22" s="1015"/>
      <c r="D22" s="1015"/>
      <c r="E22" s="1015"/>
      <c r="F22" s="518"/>
      <c r="G22" s="234"/>
      <c r="H22" s="234"/>
      <c r="I22" s="401"/>
      <c r="J22" s="538"/>
      <c r="K22" s="145"/>
      <c r="L22" s="145"/>
      <c r="M22" s="145"/>
      <c r="N22" s="145"/>
      <c r="O22" s="145"/>
      <c r="P22" s="145"/>
    </row>
    <row r="23" spans="1:22" s="88" customFormat="1" x14ac:dyDescent="0.2">
      <c r="A23" s="121">
        <f t="shared" si="0"/>
        <v>15</v>
      </c>
      <c r="B23" s="80" t="s">
        <v>188</v>
      </c>
      <c r="C23" s="1015"/>
      <c r="D23" s="1015"/>
      <c r="E23" s="1015"/>
      <c r="F23" s="518"/>
      <c r="G23" s="234"/>
      <c r="H23" s="234"/>
      <c r="I23" s="401"/>
      <c r="J23" s="538"/>
      <c r="K23" s="145"/>
      <c r="L23" s="145"/>
      <c r="M23" s="145"/>
      <c r="N23" s="538"/>
      <c r="O23" s="145"/>
      <c r="P23" s="145"/>
    </row>
    <row r="24" spans="1:22" x14ac:dyDescent="0.2">
      <c r="A24" s="121">
        <f t="shared" si="0"/>
        <v>16</v>
      </c>
      <c r="B24" s="124" t="s">
        <v>191</v>
      </c>
      <c r="C24" s="234">
        <f>'felh. bev.  '!D12</f>
        <v>2028</v>
      </c>
      <c r="D24" s="234">
        <f>'pü.mérleg Önkorm.'!D24+'pü.mérleg Hivatal'!E24+'püm. GAMESZ. '!D24+püm.Brunszvik!D24+'püm-TASZII.'!D24</f>
        <v>0</v>
      </c>
      <c r="E24" s="1015">
        <f>SUM(C24:D24)</f>
        <v>2028</v>
      </c>
      <c r="F24" s="714" t="s">
        <v>66</v>
      </c>
      <c r="G24" s="295">
        <f>SUM(G10:G22)</f>
        <v>1599145</v>
      </c>
      <c r="H24" s="295">
        <f>SUM(H10:H22)</f>
        <v>1542572</v>
      </c>
      <c r="I24" s="402">
        <f>SUM(I10:I22)</f>
        <v>3141717</v>
      </c>
      <c r="J24" s="115" t="e">
        <f>'pü.mérleg Önkorm.'!#REF!+'pü.mérleg Hivatal'!#REF!+'püm. GAMESZ. '!#REF!+püm.Brunszvik!#REF!+'püm-TASZII.'!#REF!</f>
        <v>#REF!</v>
      </c>
      <c r="K24" s="115" t="e">
        <f>'pü.mérleg Önkorm.'!#REF!+'pü.mérleg Hivatal'!#REF!+'püm. GAMESZ. '!#REF!+püm.Brunszvik!#REF!+'püm-TASZII.'!#REF!</f>
        <v>#REF!</v>
      </c>
      <c r="L24" s="115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21">
        <f t="shared" si="0"/>
        <v>17</v>
      </c>
      <c r="B25" s="124" t="s">
        <v>192</v>
      </c>
      <c r="C25" s="1015">
        <f>'felh. bev.  '!D13</f>
        <v>0</v>
      </c>
      <c r="D25" s="1015">
        <f>'felh. bev.  '!E13+'felh. bev.  '!E14</f>
        <v>0</v>
      </c>
      <c r="E25" s="1015">
        <f>'felh. bev.  '!F13+'felh. bev.  '!F14</f>
        <v>0</v>
      </c>
      <c r="F25" s="518"/>
      <c r="G25" s="234"/>
      <c r="H25" s="234"/>
      <c r="I25" s="401"/>
      <c r="J25" s="137"/>
      <c r="Q25" s="10"/>
      <c r="R25" s="10"/>
      <c r="S25" s="10"/>
      <c r="T25" s="10"/>
      <c r="U25" s="10"/>
      <c r="V25" s="10"/>
    </row>
    <row r="26" spans="1:22" x14ac:dyDescent="0.2">
      <c r="A26" s="121">
        <f t="shared" si="0"/>
        <v>18</v>
      </c>
      <c r="B26" s="80" t="s">
        <v>193</v>
      </c>
      <c r="C26" s="297"/>
      <c r="D26" s="234">
        <f>'pü.mérleg Önkorm.'!D26</f>
        <v>750000</v>
      </c>
      <c r="E26" s="1015">
        <f>SUM(C26:D26)</f>
        <v>750000</v>
      </c>
      <c r="F26" s="715" t="s">
        <v>218</v>
      </c>
      <c r="G26" s="297"/>
      <c r="H26" s="297"/>
      <c r="I26" s="401"/>
      <c r="J26" s="137"/>
      <c r="Q26" s="10"/>
      <c r="R26" s="10"/>
      <c r="S26" s="10"/>
      <c r="T26" s="10"/>
      <c r="U26" s="10"/>
      <c r="V26" s="10"/>
    </row>
    <row r="27" spans="1:22" x14ac:dyDescent="0.2">
      <c r="A27" s="121">
        <f t="shared" si="0"/>
        <v>19</v>
      </c>
      <c r="B27" s="124" t="s">
        <v>194</v>
      </c>
      <c r="C27" s="234"/>
      <c r="D27" s="234"/>
      <c r="E27" s="234"/>
      <c r="F27" s="422" t="s">
        <v>219</v>
      </c>
      <c r="G27" s="234">
        <f>'pü.mérleg Önkorm.'!G27+'pü.mérleg Hivatal'!H27+'püm. GAMESZ. '!G27+'püm-TASZII.'!G27+püm.Brunszvik!G27+'püm Festetics'!G27</f>
        <v>2553715</v>
      </c>
      <c r="H27" s="234">
        <f>'pü.mérleg Önkorm.'!H27+'pü.mérleg Hivatal'!I27+'püm. GAMESZ. '!H27+'püm-TASZII.'!H27+'püm Festetics'!H27</f>
        <v>266941</v>
      </c>
      <c r="I27" s="401">
        <f>SUM(G27:H27)</f>
        <v>2820656</v>
      </c>
      <c r="J27" s="115" t="e">
        <f>'pü.mérleg Önkorm.'!#REF!+'pü.mérleg Hivatal'!#REF!+'püm. GAMESZ. '!#REF!+püm.Brunszvik!#REF!+'püm-TASZII.'!#REF!</f>
        <v>#REF!</v>
      </c>
      <c r="K27" s="115" t="e">
        <f>'pü.mérleg Önkorm.'!#REF!+'pü.mérleg Hivatal'!#REF!+'püm. GAMESZ. '!#REF!+püm.Brunszvik!#REF!+'püm-TASZII.'!#REF!</f>
        <v>#REF!</v>
      </c>
      <c r="L27" s="115" t="e">
        <f>'pü.mérleg Önkorm.'!#REF!+'pü.mérleg Hivatal'!#REF!+'püm. GAMESZ. '!#REF!+püm.Brunszvik!#REF!+'püm-TASZII.'!#REF!</f>
        <v>#REF!</v>
      </c>
      <c r="M27" s="115"/>
      <c r="N27" s="115"/>
      <c r="Q27" s="10"/>
      <c r="R27" s="10"/>
      <c r="S27" s="10"/>
      <c r="T27" s="10"/>
      <c r="U27" s="10"/>
      <c r="V27" s="10"/>
    </row>
    <row r="28" spans="1:22" x14ac:dyDescent="0.2">
      <c r="A28" s="121">
        <f t="shared" si="0"/>
        <v>20</v>
      </c>
      <c r="B28" s="124"/>
      <c r="C28" s="234"/>
      <c r="D28" s="234"/>
      <c r="E28" s="234"/>
      <c r="F28" s="422" t="s">
        <v>220</v>
      </c>
      <c r="G28" s="234">
        <f>'felhalm. kiad.  '!H22</f>
        <v>10615</v>
      </c>
      <c r="H28" s="234">
        <f>'felhalm. kiad.  '!I22</f>
        <v>19050</v>
      </c>
      <c r="I28" s="401">
        <f>SUM(G28:H28)</f>
        <v>29665</v>
      </c>
      <c r="J28" s="137"/>
      <c r="Q28" s="10"/>
      <c r="R28" s="10"/>
      <c r="S28" s="10"/>
      <c r="T28" s="10"/>
      <c r="U28" s="10"/>
      <c r="V28" s="10"/>
    </row>
    <row r="29" spans="1:22" x14ac:dyDescent="0.2">
      <c r="A29" s="121">
        <f t="shared" si="0"/>
        <v>21</v>
      </c>
      <c r="B29" s="80" t="s">
        <v>195</v>
      </c>
      <c r="C29" s="234">
        <f>'tám, végl. pe.átv  '!C44+'tám, végl. pe.átv  '!C63</f>
        <v>0</v>
      </c>
      <c r="D29" s="234">
        <f>'tám, végl. pe.átv  '!D44+'tám, végl. pe.átv  '!D63</f>
        <v>0</v>
      </c>
      <c r="E29" s="234">
        <f>'tám, végl. pe.átv  '!E44+'tám, végl. pe.átv  '!E63</f>
        <v>0</v>
      </c>
      <c r="F29" s="422" t="s">
        <v>221</v>
      </c>
      <c r="G29" s="234"/>
      <c r="H29" s="234"/>
      <c r="I29" s="401"/>
      <c r="J29" s="137"/>
      <c r="Q29" s="10"/>
      <c r="R29" s="10"/>
      <c r="S29" s="10"/>
      <c r="T29" s="10"/>
      <c r="U29" s="10"/>
      <c r="V29" s="10"/>
    </row>
    <row r="30" spans="1:22" s="88" customFormat="1" x14ac:dyDescent="0.2">
      <c r="A30" s="121">
        <f t="shared" si="0"/>
        <v>22</v>
      </c>
      <c r="B30" s="80" t="s">
        <v>196</v>
      </c>
      <c r="C30" s="234">
        <f>'felh. bev.  '!D36+'felh. bev.  '!D40</f>
        <v>0</v>
      </c>
      <c r="D30" s="234">
        <f>'felh. bev.  '!E36+'felh. bev.  '!E40</f>
        <v>3006</v>
      </c>
      <c r="E30" s="234">
        <f>'felh. bev.  '!F36+'felh. bev.  '!F40</f>
        <v>3006</v>
      </c>
      <c r="F30" s="712" t="s">
        <v>222</v>
      </c>
      <c r="G30" s="234">
        <f>'felhalm. kiad.  '!H77</f>
        <v>0</v>
      </c>
      <c r="H30" s="234">
        <f>'felhalm. kiad.  '!I77</f>
        <v>0</v>
      </c>
      <c r="I30" s="401">
        <f>SUM(G30:H30)</f>
        <v>0</v>
      </c>
      <c r="J30" s="538"/>
      <c r="K30" s="145"/>
      <c r="L30" s="145"/>
      <c r="M30" s="145"/>
      <c r="N30" s="145"/>
      <c r="O30" s="145"/>
      <c r="P30" s="145"/>
    </row>
    <row r="31" spans="1:22" s="88" customFormat="1" x14ac:dyDescent="0.2">
      <c r="A31" s="121">
        <f t="shared" si="0"/>
        <v>23</v>
      </c>
      <c r="B31" s="80"/>
      <c r="C31" s="227"/>
      <c r="D31" s="227"/>
      <c r="E31" s="227"/>
      <c r="F31" s="712" t="s">
        <v>1048</v>
      </c>
      <c r="G31" s="234">
        <f>'pü.mérleg Önkorm.'!G31</f>
        <v>0</v>
      </c>
      <c r="H31" s="234">
        <f>'pü.mérleg Önkorm.'!H31</f>
        <v>5000</v>
      </c>
      <c r="I31" s="234">
        <f>'pü.mérleg Önkorm.'!I31</f>
        <v>5000</v>
      </c>
      <c r="J31" s="234">
        <f>'pü.mérleg Önkorm.'!J31</f>
        <v>0</v>
      </c>
      <c r="K31" s="234">
        <f>'pü.mérleg Önkorm.'!K31</f>
        <v>0</v>
      </c>
      <c r="L31" s="234">
        <f>'pü.mérleg Önkorm.'!L31</f>
        <v>0</v>
      </c>
      <c r="M31" s="453"/>
      <c r="N31" s="145"/>
      <c r="O31" s="145"/>
      <c r="P31" s="145"/>
    </row>
    <row r="32" spans="1:22" x14ac:dyDescent="0.2">
      <c r="A32" s="121">
        <f t="shared" si="0"/>
        <v>24</v>
      </c>
      <c r="C32" s="227"/>
      <c r="D32" s="227"/>
      <c r="E32" s="227"/>
      <c r="F32" s="712" t="s">
        <v>272</v>
      </c>
      <c r="G32" s="234">
        <f>'pü.mérleg Önkorm.'!G32+'pü.mérleg Hivatal'!H31+'püm. GAMESZ. '!G31+'püm-TASZII.'!G31</f>
        <v>28681</v>
      </c>
      <c r="H32" s="234">
        <f>'pü.mérleg Önkorm.'!H32+'pü.mérleg Hivatal'!I31+'püm. GAMESZ. '!H31+'püm-TASZII.'!H31</f>
        <v>16000</v>
      </c>
      <c r="I32" s="401">
        <f>SUM(G32:H32)</f>
        <v>44681</v>
      </c>
      <c r="J32" s="115" t="e">
        <f>'pü.mérleg Önkorm.'!#REF!+'pü.mérleg Hivatal'!#REF!+'püm. GAMESZ. '!#REF!</f>
        <v>#REF!</v>
      </c>
      <c r="K32" s="115" t="e">
        <f>'pü.mérleg Önkorm.'!#REF!+'pü.mérleg Hivatal'!#REF!+'püm. GAMESZ. '!#REF!</f>
        <v>#REF!</v>
      </c>
      <c r="L32" s="115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21">
        <f t="shared" si="0"/>
        <v>25</v>
      </c>
      <c r="B33" s="131" t="s">
        <v>52</v>
      </c>
      <c r="C33" s="749">
        <f>C12+C20+C11+C17+C13+C29</f>
        <v>1527443</v>
      </c>
      <c r="D33" s="749">
        <f>D12+D20+D11+D17+D13+D29</f>
        <v>1158226</v>
      </c>
      <c r="E33" s="749">
        <f>E12+E20+E11+E17+E13+E29</f>
        <v>2685669</v>
      </c>
      <c r="F33" s="422" t="s">
        <v>273</v>
      </c>
      <c r="G33" s="232">
        <f>tartalék!C18</f>
        <v>0</v>
      </c>
      <c r="H33" s="232">
        <f>tartalék!D18</f>
        <v>66939</v>
      </c>
      <c r="I33" s="401">
        <f>tartalék!E18</f>
        <v>66939</v>
      </c>
      <c r="J33" s="135"/>
      <c r="K33" s="140"/>
      <c r="L33" s="140"/>
      <c r="M33" s="140"/>
      <c r="N33" s="140"/>
      <c r="O33" s="140"/>
      <c r="P33" s="140"/>
    </row>
    <row r="34" spans="1:22" x14ac:dyDescent="0.2">
      <c r="A34" s="121">
        <f t="shared" si="0"/>
        <v>26</v>
      </c>
      <c r="B34" s="127" t="s">
        <v>67</v>
      </c>
      <c r="C34" s="295">
        <f>C15+C16+C23+C24+C25+C26+C27+C30</f>
        <v>1568494</v>
      </c>
      <c r="D34" s="295">
        <f t="shared" ref="D34" si="1">D15+D16+D23+D24+D25+D26+D27+D30</f>
        <v>753006</v>
      </c>
      <c r="E34" s="295">
        <f>E15+E16+E23+E24+E25+E26+E27+E30</f>
        <v>2321500</v>
      </c>
      <c r="F34" s="695" t="s">
        <v>68</v>
      </c>
      <c r="G34" s="295">
        <f>SUM(G27:G33)</f>
        <v>2593011</v>
      </c>
      <c r="H34" s="295">
        <f>SUM(H27:H33)</f>
        <v>373930</v>
      </c>
      <c r="I34" s="402">
        <f>SUM(I27:I33)</f>
        <v>2966941</v>
      </c>
      <c r="J34" s="115" t="e">
        <f>'pü.mérleg Önkorm.'!#REF!+'pü.mérleg Hivatal'!#REF!+'püm. GAMESZ. '!#REF!+püm.Brunszvik!#REF!+'püm-TASZII.'!#REF!</f>
        <v>#REF!</v>
      </c>
      <c r="K34" s="115" t="e">
        <f>'pü.mérleg Önkorm.'!#REF!+'pü.mérleg Hivatal'!#REF!+'püm. GAMESZ. '!#REF!+püm.Brunszvik!#REF!+'püm-TASZII.'!#REF!</f>
        <v>#REF!</v>
      </c>
      <c r="L34" s="115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21">
        <f t="shared" si="0"/>
        <v>27</v>
      </c>
      <c r="B35" s="135" t="s">
        <v>51</v>
      </c>
      <c r="C35" s="297">
        <f>SUM(C33:C34)</f>
        <v>3095937</v>
      </c>
      <c r="D35" s="297">
        <f>SUM(D33:D34)</f>
        <v>1911232</v>
      </c>
      <c r="E35" s="297">
        <f>SUM(C35:D35)</f>
        <v>5007169</v>
      </c>
      <c r="F35" s="716" t="s">
        <v>69</v>
      </c>
      <c r="G35" s="297">
        <f>G24+G34</f>
        <v>4192156</v>
      </c>
      <c r="H35" s="297">
        <f>H24+H34</f>
        <v>1916502</v>
      </c>
      <c r="I35" s="379">
        <f>I24+I34</f>
        <v>6108658</v>
      </c>
      <c r="J35" s="137"/>
      <c r="Q35" s="10"/>
      <c r="R35" s="10"/>
      <c r="S35" s="10"/>
      <c r="T35" s="10"/>
      <c r="U35" s="10"/>
      <c r="V35" s="10"/>
    </row>
    <row r="36" spans="1:22" ht="12" thickBot="1" x14ac:dyDescent="0.25">
      <c r="A36" s="121">
        <f t="shared" si="0"/>
        <v>28</v>
      </c>
      <c r="B36" s="137"/>
      <c r="C36" s="227"/>
      <c r="D36" s="227"/>
      <c r="E36" s="227"/>
      <c r="F36" s="518"/>
      <c r="G36" s="234"/>
      <c r="H36" s="234"/>
      <c r="I36" s="401"/>
      <c r="J36" s="137"/>
      <c r="Q36" s="10"/>
      <c r="R36" s="10"/>
      <c r="S36" s="10"/>
      <c r="T36" s="10"/>
      <c r="U36" s="10"/>
      <c r="V36" s="10"/>
    </row>
    <row r="37" spans="1:22" ht="12" thickBot="1" x14ac:dyDescent="0.25">
      <c r="A37" s="121">
        <f t="shared" si="0"/>
        <v>29</v>
      </c>
      <c r="B37" s="930" t="s">
        <v>23</v>
      </c>
      <c r="C37" s="771">
        <f>C35-G35</f>
        <v>-1096219</v>
      </c>
      <c r="D37" s="771">
        <f t="shared" ref="D37:E37" si="2">D35-H35</f>
        <v>-5270</v>
      </c>
      <c r="E37" s="772">
        <f t="shared" si="2"/>
        <v>-1101489</v>
      </c>
      <c r="F37" s="295"/>
      <c r="G37" s="295"/>
      <c r="H37" s="295"/>
      <c r="I37" s="402"/>
      <c r="J37" s="137"/>
      <c r="Q37" s="10"/>
      <c r="R37" s="10"/>
      <c r="S37" s="10"/>
      <c r="T37" s="10"/>
      <c r="U37" s="10"/>
      <c r="V37" s="10"/>
    </row>
    <row r="38" spans="1:22" s="11" customFormat="1" x14ac:dyDescent="0.2">
      <c r="A38" s="121">
        <f t="shared" si="0"/>
        <v>30</v>
      </c>
      <c r="B38" s="137"/>
      <c r="C38" s="227"/>
      <c r="D38" s="227"/>
      <c r="E38" s="227"/>
      <c r="F38" s="518"/>
      <c r="G38" s="234"/>
      <c r="H38" s="234"/>
      <c r="I38" s="401"/>
      <c r="J38" s="135"/>
      <c r="K38" s="140"/>
      <c r="L38" s="140"/>
      <c r="M38" s="140"/>
      <c r="N38" s="140"/>
      <c r="O38" s="140"/>
      <c r="P38" s="140"/>
    </row>
    <row r="39" spans="1:22" s="11" customFormat="1" x14ac:dyDescent="0.2">
      <c r="A39" s="121">
        <f t="shared" si="0"/>
        <v>31</v>
      </c>
      <c r="B39" s="90" t="s">
        <v>197</v>
      </c>
      <c r="C39" s="540"/>
      <c r="D39" s="540"/>
      <c r="E39" s="540"/>
      <c r="F39" s="715" t="s">
        <v>223</v>
      </c>
      <c r="G39" s="297"/>
      <c r="H39" s="297"/>
      <c r="I39" s="379"/>
      <c r="J39" s="135"/>
      <c r="K39" s="140"/>
      <c r="L39" s="140"/>
      <c r="M39" s="140"/>
      <c r="N39" s="140"/>
      <c r="O39" s="140"/>
      <c r="P39" s="140"/>
    </row>
    <row r="40" spans="1:22" s="11" customFormat="1" x14ac:dyDescent="0.2">
      <c r="A40" s="121">
        <f t="shared" si="0"/>
        <v>32</v>
      </c>
      <c r="B40" s="95" t="s">
        <v>198</v>
      </c>
      <c r="C40" s="540"/>
      <c r="D40" s="540"/>
      <c r="E40" s="540"/>
      <c r="F40" s="717" t="s">
        <v>224</v>
      </c>
      <c r="G40" s="146"/>
      <c r="I40" s="404"/>
      <c r="J40" s="135"/>
      <c r="K40" s="140"/>
      <c r="L40" s="140"/>
      <c r="M40" s="140"/>
      <c r="N40" s="140"/>
      <c r="O40" s="140"/>
      <c r="P40" s="140"/>
    </row>
    <row r="41" spans="1:22" s="11" customFormat="1" ht="21.75" x14ac:dyDescent="0.2">
      <c r="A41" s="269">
        <f t="shared" si="0"/>
        <v>33</v>
      </c>
      <c r="B41" s="906" t="s">
        <v>1227</v>
      </c>
      <c r="C41" s="1016">
        <f>'pü.mérleg Önkorm.'!C41</f>
        <v>0</v>
      </c>
      <c r="D41" s="1016">
        <f>'pü.mérleg Önkorm.'!D41</f>
        <v>0</v>
      </c>
      <c r="E41" s="1016">
        <f>'pü.mérleg Önkorm.'!E41</f>
        <v>0</v>
      </c>
      <c r="F41" s="147" t="s">
        <v>915</v>
      </c>
      <c r="G41" s="234">
        <f>'pü.mérleg Önkorm.'!G41</f>
        <v>155395</v>
      </c>
      <c r="H41" s="234">
        <f>'pü.mérleg Önkorm.'!H41</f>
        <v>0</v>
      </c>
      <c r="I41" s="234">
        <f>'pü.mérleg Önkorm.'!I41</f>
        <v>155395</v>
      </c>
      <c r="J41" s="135"/>
      <c r="K41" s="140"/>
      <c r="L41" s="140"/>
      <c r="M41" s="432"/>
      <c r="N41" s="140"/>
      <c r="O41" s="140"/>
      <c r="P41" s="140"/>
    </row>
    <row r="42" spans="1:22" x14ac:dyDescent="0.2">
      <c r="A42" s="121">
        <f t="shared" si="0"/>
        <v>34</v>
      </c>
      <c r="B42" s="82" t="s">
        <v>199</v>
      </c>
      <c r="C42" s="718"/>
      <c r="D42" s="719">
        <f>'pü.mérleg Önkorm.'!D42</f>
        <v>0</v>
      </c>
      <c r="E42" s="719">
        <f>SUM(C42:D42)</f>
        <v>0</v>
      </c>
      <c r="F42" s="422" t="s">
        <v>225</v>
      </c>
      <c r="G42" s="297"/>
      <c r="H42" s="297"/>
      <c r="I42" s="379"/>
      <c r="J42" s="137"/>
      <c r="Q42" s="10"/>
      <c r="R42" s="10"/>
      <c r="S42" s="10"/>
      <c r="T42" s="10"/>
      <c r="U42" s="10"/>
      <c r="V42" s="10"/>
    </row>
    <row r="43" spans="1:22" x14ac:dyDescent="0.2">
      <c r="A43" s="121">
        <f t="shared" si="0"/>
        <v>35</v>
      </c>
      <c r="B43" s="82" t="s">
        <v>200</v>
      </c>
      <c r="C43" s="227"/>
      <c r="D43" s="227"/>
      <c r="E43" s="227"/>
      <c r="F43" s="422" t="s">
        <v>226</v>
      </c>
      <c r="G43" s="146"/>
      <c r="H43" s="146"/>
      <c r="I43" s="379"/>
      <c r="J43" s="137"/>
      <c r="Q43" s="10"/>
      <c r="R43" s="10"/>
      <c r="S43" s="10"/>
      <c r="T43" s="10"/>
      <c r="U43" s="10"/>
      <c r="V43" s="10"/>
    </row>
    <row r="44" spans="1:22" ht="21" x14ac:dyDescent="0.2">
      <c r="A44" s="121">
        <f t="shared" si="0"/>
        <v>36</v>
      </c>
      <c r="B44" s="719" t="s">
        <v>896</v>
      </c>
      <c r="C44" s="234">
        <f>'pü.mérleg Önkorm.'!C44</f>
        <v>1282257</v>
      </c>
      <c r="D44" s="234">
        <f>'pü.mérleg Önkorm.'!D44</f>
        <v>10000</v>
      </c>
      <c r="E44" s="401">
        <f>'pü.mérleg Önkorm.'!E44</f>
        <v>1292257</v>
      </c>
      <c r="F44" s="227" t="s">
        <v>227</v>
      </c>
      <c r="G44" s="146"/>
      <c r="H44" s="146"/>
      <c r="I44" s="379"/>
      <c r="J44" s="137"/>
      <c r="Q44" s="10"/>
      <c r="R44" s="10"/>
      <c r="S44" s="10"/>
      <c r="T44" s="10"/>
      <c r="U44" s="10"/>
      <c r="V44" s="10"/>
    </row>
    <row r="45" spans="1:22" x14ac:dyDescent="0.2">
      <c r="A45" s="121">
        <f t="shared" si="0"/>
        <v>37</v>
      </c>
      <c r="B45" s="490" t="s">
        <v>917</v>
      </c>
      <c r="C45" s="227">
        <f>'püm Festetics'!C44</f>
        <v>0</v>
      </c>
      <c r="D45" s="227">
        <f>'püm Festetics'!D44</f>
        <v>0</v>
      </c>
      <c r="E45" s="227">
        <f>'püm Festetics'!E44</f>
        <v>0</v>
      </c>
      <c r="F45" s="422"/>
      <c r="G45" s="146"/>
      <c r="H45" s="146"/>
      <c r="I45" s="379"/>
      <c r="J45" s="137"/>
      <c r="Q45" s="10"/>
      <c r="R45" s="10"/>
      <c r="S45" s="10"/>
      <c r="T45" s="10"/>
      <c r="U45" s="10"/>
      <c r="V45" s="10"/>
    </row>
    <row r="46" spans="1:22" x14ac:dyDescent="0.2">
      <c r="A46" s="121">
        <f t="shared" si="0"/>
        <v>38</v>
      </c>
      <c r="B46" s="83" t="s">
        <v>202</v>
      </c>
      <c r="C46" s="227">
        <f>'pü.mérleg Önkorm.'!C46</f>
        <v>698</v>
      </c>
      <c r="D46" s="227">
        <f>'pü.mérleg Önkorm.'!D46</f>
        <v>0</v>
      </c>
      <c r="E46" s="227">
        <f>'pü.mérleg Önkorm.'!E46</f>
        <v>698</v>
      </c>
      <c r="F46" s="422" t="s">
        <v>228</v>
      </c>
      <c r="G46" s="297"/>
      <c r="H46" s="297"/>
      <c r="I46" s="401"/>
      <c r="J46" s="137"/>
      <c r="Q46" s="10"/>
      <c r="R46" s="10"/>
      <c r="S46" s="10"/>
      <c r="T46" s="10"/>
      <c r="U46" s="10"/>
      <c r="V46" s="10"/>
    </row>
    <row r="47" spans="1:22" x14ac:dyDescent="0.2">
      <c r="A47" s="121">
        <f t="shared" si="0"/>
        <v>39</v>
      </c>
      <c r="B47" s="83" t="s">
        <v>203</v>
      </c>
      <c r="C47" s="540"/>
      <c r="D47" s="540"/>
      <c r="E47" s="540"/>
      <c r="F47" s="712" t="s">
        <v>229</v>
      </c>
      <c r="G47" s="234">
        <f>'pü.mérleg Önkorm.'!G47</f>
        <v>31341</v>
      </c>
      <c r="H47" s="234">
        <f>'pü.mérleg Önkorm.'!H47</f>
        <v>4730</v>
      </c>
      <c r="I47" s="401">
        <f>'pü.mérleg Önkorm.'!I47</f>
        <v>36071</v>
      </c>
      <c r="J47" s="137"/>
      <c r="Q47" s="10"/>
      <c r="R47" s="10"/>
      <c r="S47" s="10"/>
      <c r="T47" s="10"/>
      <c r="U47" s="10"/>
      <c r="V47" s="10"/>
    </row>
    <row r="48" spans="1:22" x14ac:dyDescent="0.2">
      <c r="A48" s="121">
        <f t="shared" si="0"/>
        <v>40</v>
      </c>
      <c r="B48" s="82" t="s">
        <v>204</v>
      </c>
      <c r="C48" s="227"/>
      <c r="D48" s="227"/>
      <c r="E48" s="227"/>
      <c r="F48" s="422" t="s">
        <v>230</v>
      </c>
      <c r="G48" s="234"/>
      <c r="H48" s="234"/>
      <c r="I48" s="401"/>
      <c r="J48" s="137"/>
      <c r="Q48" s="10"/>
      <c r="R48" s="10"/>
      <c r="S48" s="10"/>
      <c r="T48" s="10"/>
      <c r="U48" s="10"/>
      <c r="V48" s="10"/>
    </row>
    <row r="49" spans="1:22" x14ac:dyDescent="0.2">
      <c r="A49" s="121">
        <f t="shared" si="0"/>
        <v>41</v>
      </c>
      <c r="B49" s="454" t="s">
        <v>205</v>
      </c>
      <c r="C49" s="227"/>
      <c r="D49" s="227"/>
      <c r="E49" s="227"/>
      <c r="F49" s="422" t="s">
        <v>231</v>
      </c>
      <c r="G49" s="234"/>
      <c r="H49" s="234"/>
      <c r="I49" s="401"/>
      <c r="J49" s="137"/>
      <c r="Q49" s="10"/>
      <c r="R49" s="10"/>
      <c r="S49" s="10"/>
      <c r="T49" s="10"/>
      <c r="U49" s="10"/>
      <c r="V49" s="10"/>
    </row>
    <row r="50" spans="1:22" x14ac:dyDescent="0.2">
      <c r="A50" s="121">
        <f t="shared" si="0"/>
        <v>42</v>
      </c>
      <c r="B50" s="454" t="s">
        <v>206</v>
      </c>
      <c r="C50" s="227"/>
      <c r="D50" s="227"/>
      <c r="E50" s="227"/>
      <c r="F50" s="422" t="s">
        <v>232</v>
      </c>
      <c r="G50" s="234"/>
      <c r="H50" s="234"/>
      <c r="I50" s="401"/>
      <c r="J50" s="137"/>
      <c r="Q50" s="10"/>
      <c r="R50" s="10"/>
      <c r="S50" s="10"/>
      <c r="T50" s="10"/>
      <c r="U50" s="10"/>
      <c r="V50" s="10"/>
    </row>
    <row r="51" spans="1:22" x14ac:dyDescent="0.2">
      <c r="A51" s="121">
        <f t="shared" si="0"/>
        <v>43</v>
      </c>
      <c r="B51" s="82" t="s">
        <v>207</v>
      </c>
      <c r="C51" s="227">
        <f>'pü.mérleg Önkorm.'!C51</f>
        <v>0</v>
      </c>
      <c r="D51" s="227">
        <f>'pü.mérleg Önkorm.'!D51</f>
        <v>0</v>
      </c>
      <c r="E51" s="227">
        <f>SUM(C51:D51)</f>
        <v>0</v>
      </c>
      <c r="F51" s="422" t="s">
        <v>233</v>
      </c>
      <c r="G51" s="234"/>
      <c r="H51" s="234"/>
      <c r="I51" s="401"/>
      <c r="J51" s="137"/>
      <c r="Q51" s="10"/>
      <c r="R51" s="10"/>
      <c r="S51" s="10"/>
      <c r="T51" s="10"/>
      <c r="U51" s="10"/>
      <c r="V51" s="10"/>
    </row>
    <row r="52" spans="1:22" x14ac:dyDescent="0.2">
      <c r="A52" s="121">
        <f t="shared" si="0"/>
        <v>44</v>
      </c>
      <c r="B52" s="82"/>
      <c r="C52" s="227"/>
      <c r="D52" s="227"/>
      <c r="E52" s="227"/>
      <c r="F52" s="422" t="s">
        <v>234</v>
      </c>
      <c r="G52" s="234"/>
      <c r="H52" s="234"/>
      <c r="I52" s="401"/>
      <c r="J52" s="137"/>
      <c r="Q52" s="10"/>
      <c r="R52" s="10"/>
      <c r="S52" s="10"/>
      <c r="T52" s="10"/>
      <c r="U52" s="10"/>
      <c r="V52" s="10"/>
    </row>
    <row r="53" spans="1:22" x14ac:dyDescent="0.2">
      <c r="A53" s="121">
        <f t="shared" si="0"/>
        <v>45</v>
      </c>
      <c r="B53" s="82"/>
      <c r="C53" s="227"/>
      <c r="D53" s="227"/>
      <c r="E53" s="227"/>
      <c r="F53" s="422" t="s">
        <v>235</v>
      </c>
      <c r="G53" s="234"/>
      <c r="H53" s="234"/>
      <c r="I53" s="401"/>
      <c r="J53" s="137"/>
      <c r="Q53" s="10"/>
      <c r="R53" s="10"/>
      <c r="S53" s="10"/>
      <c r="T53" s="10"/>
      <c r="U53" s="10"/>
      <c r="V53" s="10"/>
    </row>
    <row r="54" spans="1:22" ht="12" thickBot="1" x14ac:dyDescent="0.25">
      <c r="A54" s="121">
        <f t="shared" si="0"/>
        <v>46</v>
      </c>
      <c r="B54" s="135" t="s">
        <v>439</v>
      </c>
      <c r="C54" s="540">
        <f>SUM(C40:C52)</f>
        <v>1282955</v>
      </c>
      <c r="D54" s="540">
        <f>SUM(D40:D52)</f>
        <v>10000</v>
      </c>
      <c r="E54" s="540">
        <f>SUM(E40:E52)</f>
        <v>1292955</v>
      </c>
      <c r="F54" s="715" t="s">
        <v>432</v>
      </c>
      <c r="G54" s="297">
        <f>SUM(G40:G53)</f>
        <v>186736</v>
      </c>
      <c r="H54" s="297">
        <f>SUM(H40:H53)</f>
        <v>4730</v>
      </c>
      <c r="I54" s="379">
        <f>SUM(I40:I53)</f>
        <v>191466</v>
      </c>
      <c r="J54" s="137"/>
      <c r="Q54" s="10"/>
      <c r="R54" s="10"/>
      <c r="S54" s="10"/>
      <c r="T54" s="10"/>
      <c r="U54" s="10"/>
      <c r="V54" s="10"/>
    </row>
    <row r="55" spans="1:22" ht="12" thickBot="1" x14ac:dyDescent="0.25">
      <c r="A55" s="768">
        <f t="shared" si="0"/>
        <v>47</v>
      </c>
      <c r="B55" s="895" t="s">
        <v>434</v>
      </c>
      <c r="C55" s="873">
        <f>C35+C54</f>
        <v>4378892</v>
      </c>
      <c r="D55" s="751">
        <f>D35+D54</f>
        <v>1921232</v>
      </c>
      <c r="E55" s="752">
        <f>E35+E54</f>
        <v>6300124</v>
      </c>
      <c r="F55" s="428" t="s">
        <v>433</v>
      </c>
      <c r="G55" s="674">
        <f>G35+G54</f>
        <v>4378892</v>
      </c>
      <c r="H55" s="674">
        <f>H35+H54</f>
        <v>1921232</v>
      </c>
      <c r="I55" s="869">
        <f>I35+I54</f>
        <v>6300124</v>
      </c>
      <c r="J55" s="137"/>
      <c r="Q55" s="10"/>
      <c r="R55" s="10"/>
      <c r="S55" s="10"/>
      <c r="T55" s="10"/>
      <c r="U55" s="10"/>
      <c r="V55" s="10"/>
    </row>
    <row r="56" spans="1:22" x14ac:dyDescent="0.2">
      <c r="B56" s="140"/>
      <c r="C56" s="139"/>
      <c r="D56" s="139"/>
      <c r="E56" s="139"/>
      <c r="F56" s="139"/>
      <c r="G56" s="139"/>
      <c r="H56" s="139"/>
      <c r="I56" s="139"/>
      <c r="T56" s="10"/>
      <c r="U56" s="10"/>
      <c r="V56" s="10"/>
    </row>
    <row r="57" spans="1:22" s="11" customFormat="1" ht="12.75" x14ac:dyDescent="0.2">
      <c r="A57" s="140"/>
      <c r="B57" s="135"/>
      <c r="C57" s="139"/>
      <c r="D57" s="139"/>
      <c r="E57" s="375">
        <f>E55-I55</f>
        <v>0</v>
      </c>
      <c r="F57" s="139"/>
      <c r="G57" s="139"/>
      <c r="H57" s="139"/>
      <c r="I57" s="139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75"/>
  <sheetViews>
    <sheetView topLeftCell="B1" workbookViewId="0">
      <selection activeCell="C1" sqref="C1:G1"/>
    </sheetView>
  </sheetViews>
  <sheetFormatPr defaultColWidth="9.140625" defaultRowHeight="12" x14ac:dyDescent="0.2"/>
  <cols>
    <col min="1" max="1" width="3.7109375" style="107" hidden="1" customWidth="1"/>
    <col min="2" max="2" width="3.7109375" style="107" customWidth="1"/>
    <col min="3" max="3" width="5.7109375" style="109" customWidth="1"/>
    <col min="4" max="4" width="53" style="105" customWidth="1"/>
    <col min="5" max="5" width="9" style="104" customWidth="1"/>
    <col min="6" max="6" width="9.140625" style="104"/>
    <col min="7" max="7" width="9.7109375" style="104" customWidth="1"/>
    <col min="8" max="16384" width="9.140625" style="13"/>
  </cols>
  <sheetData>
    <row r="1" spans="1:17" x14ac:dyDescent="0.2">
      <c r="C1" s="1494" t="s">
        <v>1368</v>
      </c>
      <c r="D1" s="1494"/>
      <c r="E1" s="1494"/>
      <c r="F1" s="1494"/>
      <c r="G1" s="1494"/>
    </row>
    <row r="2" spans="1:17" x14ac:dyDescent="0.2">
      <c r="C2" s="236"/>
      <c r="D2" s="236"/>
      <c r="E2" s="236"/>
      <c r="F2" s="236"/>
      <c r="G2" s="236"/>
    </row>
    <row r="3" spans="1:17" ht="13.5" customHeight="1" x14ac:dyDescent="0.2">
      <c r="C3" s="1500" t="s">
        <v>1036</v>
      </c>
      <c r="D3" s="1500"/>
      <c r="E3" s="1500"/>
      <c r="F3" s="1500"/>
      <c r="G3" s="1500"/>
    </row>
    <row r="4" spans="1:17" x14ac:dyDescent="0.2">
      <c r="C4" s="1501" t="s">
        <v>1319</v>
      </c>
      <c r="D4" s="1501"/>
      <c r="E4" s="1501"/>
      <c r="F4" s="1502"/>
      <c r="G4" s="1502"/>
    </row>
    <row r="5" spans="1:17" x14ac:dyDescent="0.2">
      <c r="C5" s="103"/>
      <c r="D5" s="103"/>
      <c r="E5" s="103"/>
      <c r="F5" s="237"/>
      <c r="G5" s="237"/>
    </row>
    <row r="6" spans="1:17" ht="12.75" x14ac:dyDescent="0.2">
      <c r="C6" s="103"/>
      <c r="D6" s="1495" t="s">
        <v>295</v>
      </c>
      <c r="E6" s="1496"/>
      <c r="F6" s="1496"/>
      <c r="G6" s="1496"/>
    </row>
    <row r="7" spans="1:17" ht="27" customHeight="1" x14ac:dyDescent="0.2">
      <c r="C7" s="1497" t="s">
        <v>76</v>
      </c>
      <c r="D7" s="1498" t="s">
        <v>85</v>
      </c>
      <c r="E7" s="1499" t="s">
        <v>1136</v>
      </c>
      <c r="F7" s="1499"/>
      <c r="G7" s="1499"/>
      <c r="I7" s="1085"/>
    </row>
    <row r="8" spans="1:17" s="8" customFormat="1" ht="42.75" customHeight="1" x14ac:dyDescent="0.2">
      <c r="A8" s="108"/>
      <c r="B8" s="108"/>
      <c r="C8" s="1497"/>
      <c r="D8" s="1498"/>
      <c r="E8" s="736" t="s">
        <v>62</v>
      </c>
      <c r="F8" s="736" t="s">
        <v>63</v>
      </c>
      <c r="G8" s="736" t="s">
        <v>64</v>
      </c>
    </row>
    <row r="9" spans="1:17" ht="14.25" customHeight="1" x14ac:dyDescent="0.2">
      <c r="C9" s="981" t="s">
        <v>470</v>
      </c>
      <c r="D9" s="737" t="s">
        <v>86</v>
      </c>
      <c r="E9" s="738"/>
      <c r="F9" s="106"/>
      <c r="G9" s="739"/>
      <c r="H9" s="511"/>
    </row>
    <row r="10" spans="1:17" ht="28.9" customHeight="1" x14ac:dyDescent="0.2">
      <c r="B10" s="976"/>
      <c r="C10" s="982" t="s">
        <v>478</v>
      </c>
      <c r="D10" s="769" t="s">
        <v>445</v>
      </c>
      <c r="E10" s="746"/>
      <c r="F10" s="770"/>
      <c r="G10" s="746"/>
      <c r="H10" s="511"/>
    </row>
    <row r="11" spans="1:17" x14ac:dyDescent="0.2">
      <c r="B11" s="976"/>
      <c r="C11" s="983" t="s">
        <v>479</v>
      </c>
      <c r="D11" s="740" t="s">
        <v>426</v>
      </c>
      <c r="E11" s="539"/>
      <c r="F11" s="106"/>
      <c r="G11" s="539"/>
      <c r="H11" s="511"/>
    </row>
    <row r="12" spans="1:17" x14ac:dyDescent="0.2">
      <c r="B12" s="976"/>
      <c r="C12" s="983" t="s">
        <v>480</v>
      </c>
      <c r="D12" s="740" t="s">
        <v>1070</v>
      </c>
      <c r="E12" s="1018"/>
      <c r="F12" s="106">
        <v>20000</v>
      </c>
      <c r="G12" s="539">
        <f t="shared" ref="G12:G20" si="0">SUM(E12:F12)</f>
        <v>20000</v>
      </c>
      <c r="H12" s="511"/>
      <c r="N12" s="882"/>
    </row>
    <row r="13" spans="1:17" x14ac:dyDescent="0.2">
      <c r="B13" s="976"/>
      <c r="C13" s="983" t="s">
        <v>481</v>
      </c>
      <c r="D13" s="740" t="s">
        <v>1071</v>
      </c>
      <c r="E13" s="1018"/>
      <c r="F13" s="106">
        <v>90055</v>
      </c>
      <c r="G13" s="539">
        <f t="shared" si="0"/>
        <v>90055</v>
      </c>
      <c r="H13" s="511"/>
    </row>
    <row r="14" spans="1:17" ht="13.5" customHeight="1" x14ac:dyDescent="0.2">
      <c r="B14" s="976"/>
      <c r="C14" s="983" t="s">
        <v>482</v>
      </c>
      <c r="D14" s="740" t="s">
        <v>1312</v>
      </c>
      <c r="E14" s="1018"/>
      <c r="F14" s="106">
        <v>0</v>
      </c>
      <c r="G14" s="539">
        <v>0</v>
      </c>
      <c r="H14" s="511"/>
    </row>
    <row r="15" spans="1:17" x14ac:dyDescent="0.2">
      <c r="B15" s="976"/>
      <c r="C15" s="983" t="s">
        <v>483</v>
      </c>
      <c r="D15" s="740" t="s">
        <v>427</v>
      </c>
      <c r="E15" s="539">
        <v>4500</v>
      </c>
      <c r="F15" s="106"/>
      <c r="G15" s="539">
        <f t="shared" si="0"/>
        <v>4500</v>
      </c>
      <c r="H15" s="511"/>
      <c r="L15" s="882"/>
      <c r="Q15" s="882"/>
    </row>
    <row r="16" spans="1:17" x14ac:dyDescent="0.2">
      <c r="B16" s="976"/>
      <c r="C16" s="983" t="s">
        <v>484</v>
      </c>
      <c r="D16" s="741" t="s">
        <v>428</v>
      </c>
      <c r="E16" s="1018"/>
      <c r="F16" s="106">
        <v>2900</v>
      </c>
      <c r="G16" s="539">
        <f t="shared" si="0"/>
        <v>2900</v>
      </c>
      <c r="H16" s="511"/>
    </row>
    <row r="17" spans="1:9" ht="13.5" customHeight="1" x14ac:dyDescent="0.2">
      <c r="B17" s="976"/>
      <c r="C17" s="983" t="s">
        <v>485</v>
      </c>
      <c r="D17" s="741" t="s">
        <v>458</v>
      </c>
      <c r="E17" s="539">
        <v>1350</v>
      </c>
      <c r="F17" s="539"/>
      <c r="G17" s="539">
        <f t="shared" si="0"/>
        <v>1350</v>
      </c>
      <c r="H17" s="511"/>
    </row>
    <row r="18" spans="1:9" ht="13.5" customHeight="1" x14ac:dyDescent="0.2">
      <c r="B18" s="976"/>
      <c r="C18" s="983" t="s">
        <v>519</v>
      </c>
      <c r="D18" s="786" t="s">
        <v>300</v>
      </c>
      <c r="E18" s="1020"/>
      <c r="F18" s="1068">
        <v>50</v>
      </c>
      <c r="G18" s="1069">
        <f t="shared" si="0"/>
        <v>50</v>
      </c>
      <c r="H18" s="511"/>
    </row>
    <row r="19" spans="1:9" ht="13.5" customHeight="1" x14ac:dyDescent="0.2">
      <c r="B19" s="976"/>
      <c r="C19" s="983" t="s">
        <v>520</v>
      </c>
      <c r="D19" s="786" t="s">
        <v>982</v>
      </c>
      <c r="E19" s="1020"/>
      <c r="F19" s="1068">
        <v>1385</v>
      </c>
      <c r="G19" s="1069">
        <f t="shared" si="0"/>
        <v>1385</v>
      </c>
      <c r="H19" s="511"/>
    </row>
    <row r="20" spans="1:9" ht="13.5" customHeight="1" thickBot="1" x14ac:dyDescent="0.25">
      <c r="B20" s="978"/>
      <c r="C20" s="983" t="s">
        <v>521</v>
      </c>
      <c r="D20" s="786" t="s">
        <v>1366</v>
      </c>
      <c r="E20" s="1020"/>
      <c r="F20" s="1068">
        <v>451</v>
      </c>
      <c r="G20" s="1069">
        <f t="shared" si="0"/>
        <v>451</v>
      </c>
      <c r="H20" s="882"/>
    </row>
    <row r="21" spans="1:9" ht="15" customHeight="1" thickBot="1" x14ac:dyDescent="0.25">
      <c r="B21" s="978"/>
      <c r="C21" s="984" t="s">
        <v>522</v>
      </c>
      <c r="D21" s="883" t="s">
        <v>446</v>
      </c>
      <c r="E21" s="1124">
        <f>SUM(E12:E19)</f>
        <v>5850</v>
      </c>
      <c r="F21" s="1124">
        <f>SUM(F12:F20)</f>
        <v>114841</v>
      </c>
      <c r="G21" s="1124">
        <f>SUM(G12:G20)</f>
        <v>120691</v>
      </c>
      <c r="H21" s="882"/>
    </row>
    <row r="22" spans="1:9" ht="15" customHeight="1" x14ac:dyDescent="0.2">
      <c r="B22" s="976"/>
      <c r="C22" s="983"/>
      <c r="D22" s="744"/>
      <c r="E22" s="938"/>
      <c r="F22" s="939"/>
      <c r="G22" s="980"/>
      <c r="H22" s="882"/>
    </row>
    <row r="23" spans="1:9" x14ac:dyDescent="0.2">
      <c r="B23" s="976"/>
      <c r="C23" s="983" t="s">
        <v>523</v>
      </c>
      <c r="D23" s="744" t="s">
        <v>447</v>
      </c>
      <c r="E23" s="539"/>
      <c r="F23" s="742"/>
      <c r="G23" s="539"/>
      <c r="H23" s="882"/>
    </row>
    <row r="24" spans="1:9" s="8" customFormat="1" ht="15.6" customHeight="1" x14ac:dyDescent="0.2">
      <c r="A24" s="108"/>
      <c r="B24" s="977"/>
      <c r="C24" s="983" t="s">
        <v>524</v>
      </c>
      <c r="D24" s="745" t="s">
        <v>459</v>
      </c>
      <c r="E24" s="539">
        <v>132900</v>
      </c>
      <c r="F24" s="742"/>
      <c r="G24" s="539">
        <f>E24</f>
        <v>132900</v>
      </c>
      <c r="H24" s="510"/>
      <c r="I24" s="1078"/>
    </row>
    <row r="25" spans="1:9" s="8" customFormat="1" ht="12" customHeight="1" x14ac:dyDescent="0.2">
      <c r="A25" s="108"/>
      <c r="B25" s="977"/>
      <c r="C25" s="983" t="s">
        <v>525</v>
      </c>
      <c r="D25" s="745" t="s">
        <v>304</v>
      </c>
      <c r="E25" s="539">
        <v>17740</v>
      </c>
      <c r="F25" s="742"/>
      <c r="G25" s="539">
        <f t="shared" ref="G25:G30" si="1">SUM(E25:F25)</f>
        <v>17740</v>
      </c>
      <c r="H25" s="510"/>
      <c r="I25" s="1078"/>
    </row>
    <row r="26" spans="1:9" s="8" customFormat="1" ht="12" customHeight="1" x14ac:dyDescent="0.2">
      <c r="A26" s="108"/>
      <c r="B26" s="977"/>
      <c r="C26" s="983" t="s">
        <v>526</v>
      </c>
      <c r="D26" s="745" t="s">
        <v>927</v>
      </c>
      <c r="E26" s="539">
        <v>0</v>
      </c>
      <c r="F26" s="742"/>
      <c r="G26" s="539">
        <f t="shared" si="1"/>
        <v>0</v>
      </c>
      <c r="H26" s="510"/>
      <c r="I26" s="1078"/>
    </row>
    <row r="27" spans="1:9" s="8" customFormat="1" x14ac:dyDescent="0.2">
      <c r="A27" s="108"/>
      <c r="B27" s="977"/>
      <c r="C27" s="983" t="s">
        <v>528</v>
      </c>
      <c r="D27" s="743" t="s">
        <v>993</v>
      </c>
      <c r="E27" s="539"/>
      <c r="F27" s="742">
        <v>19500</v>
      </c>
      <c r="G27" s="539">
        <f t="shared" si="1"/>
        <v>19500</v>
      </c>
      <c r="H27" s="510"/>
      <c r="I27" s="1078"/>
    </row>
    <row r="28" spans="1:9" s="8" customFormat="1" x14ac:dyDescent="0.2">
      <c r="A28" s="108"/>
      <c r="B28" s="977"/>
      <c r="C28" s="983" t="s">
        <v>529</v>
      </c>
      <c r="D28" s="743" t="s">
        <v>302</v>
      </c>
      <c r="E28" s="539"/>
      <c r="F28" s="742">
        <v>65000</v>
      </c>
      <c r="G28" s="539">
        <f t="shared" si="1"/>
        <v>65000</v>
      </c>
      <c r="H28" s="510"/>
      <c r="I28" s="1078"/>
    </row>
    <row r="29" spans="1:9" s="8" customFormat="1" x14ac:dyDescent="0.2">
      <c r="A29" s="108"/>
      <c r="B29" s="977"/>
      <c r="C29" s="983" t="s">
        <v>530</v>
      </c>
      <c r="D29" s="743" t="s">
        <v>989</v>
      </c>
      <c r="E29" s="539"/>
      <c r="F29" s="742">
        <v>5000</v>
      </c>
      <c r="G29" s="539">
        <f t="shared" si="1"/>
        <v>5000</v>
      </c>
      <c r="H29" s="510"/>
      <c r="I29" s="1078"/>
    </row>
    <row r="30" spans="1:9" s="8" customFormat="1" x14ac:dyDescent="0.2">
      <c r="A30" s="108"/>
      <c r="B30" s="977"/>
      <c r="C30" s="983" t="s">
        <v>531</v>
      </c>
      <c r="D30" s="743" t="s">
        <v>1077</v>
      </c>
      <c r="E30" s="539"/>
      <c r="F30" s="742">
        <v>50000</v>
      </c>
      <c r="G30" s="539">
        <f t="shared" si="1"/>
        <v>50000</v>
      </c>
      <c r="H30" s="510"/>
      <c r="I30" s="1078"/>
    </row>
    <row r="31" spans="1:9" s="8" customFormat="1" x14ac:dyDescent="0.2">
      <c r="A31" s="108"/>
      <c r="B31" s="977"/>
      <c r="C31" s="983" t="s">
        <v>532</v>
      </c>
      <c r="D31" s="680" t="s">
        <v>1224</v>
      </c>
      <c r="E31" s="746"/>
      <c r="F31" s="1125">
        <v>2000</v>
      </c>
      <c r="G31" s="746">
        <f>E31+F31</f>
        <v>2000</v>
      </c>
      <c r="H31" s="510"/>
      <c r="I31" s="1078"/>
    </row>
    <row r="32" spans="1:9" s="8" customFormat="1" x14ac:dyDescent="0.2">
      <c r="A32" s="108"/>
      <c r="B32" s="977"/>
      <c r="C32" s="983" t="s">
        <v>533</v>
      </c>
      <c r="D32" s="680" t="s">
        <v>1332</v>
      </c>
      <c r="E32" s="746"/>
      <c r="F32" s="1125">
        <v>200</v>
      </c>
      <c r="G32" s="746">
        <f>E32+F32</f>
        <v>200</v>
      </c>
      <c r="H32" s="510"/>
      <c r="I32" s="1078"/>
    </row>
    <row r="33" spans="1:9" s="8" customFormat="1" x14ac:dyDescent="0.2">
      <c r="A33" s="108"/>
      <c r="B33" s="977"/>
      <c r="C33" s="983" t="s">
        <v>534</v>
      </c>
      <c r="D33" s="680" t="s">
        <v>303</v>
      </c>
      <c r="E33" s="746"/>
      <c r="F33" s="1125">
        <v>2000</v>
      </c>
      <c r="G33" s="746">
        <f>E33+F33</f>
        <v>2000</v>
      </c>
      <c r="H33" s="510"/>
      <c r="I33" s="1078"/>
    </row>
    <row r="34" spans="1:9" s="8" customFormat="1" x14ac:dyDescent="0.2">
      <c r="A34" s="108"/>
      <c r="B34" s="977"/>
      <c r="C34" s="983" t="s">
        <v>535</v>
      </c>
      <c r="D34" s="680" t="s">
        <v>305</v>
      </c>
      <c r="E34" s="746"/>
      <c r="F34" s="1125">
        <v>160</v>
      </c>
      <c r="G34" s="746">
        <f>E34+F34</f>
        <v>160</v>
      </c>
      <c r="H34" s="510"/>
      <c r="I34" s="1078"/>
    </row>
    <row r="35" spans="1:9" s="8" customFormat="1" x14ac:dyDescent="0.2">
      <c r="A35" s="108"/>
      <c r="B35" s="977"/>
      <c r="C35" s="983" t="s">
        <v>552</v>
      </c>
      <c r="D35" s="743" t="s">
        <v>306</v>
      </c>
      <c r="E35" s="746"/>
      <c r="F35" s="1125">
        <v>500</v>
      </c>
      <c r="G35" s="746">
        <f>F35</f>
        <v>500</v>
      </c>
      <c r="H35" s="510"/>
      <c r="I35" s="1078"/>
    </row>
    <row r="36" spans="1:9" s="8" customFormat="1" x14ac:dyDescent="0.2">
      <c r="A36" s="108"/>
      <c r="B36" s="977"/>
      <c r="C36" s="983" t="s">
        <v>553</v>
      </c>
      <c r="D36" s="743" t="s">
        <v>1104</v>
      </c>
      <c r="E36" s="746"/>
      <c r="F36" s="1125">
        <v>1700</v>
      </c>
      <c r="G36" s="746">
        <f>SUM(E36:F36)</f>
        <v>1700</v>
      </c>
      <c r="H36" s="855"/>
      <c r="I36" s="1078"/>
    </row>
    <row r="37" spans="1:9" s="8" customFormat="1" x14ac:dyDescent="0.2">
      <c r="A37" s="108"/>
      <c r="B37" s="977"/>
      <c r="C37" s="983" t="s">
        <v>554</v>
      </c>
      <c r="D37" s="743" t="s">
        <v>165</v>
      </c>
      <c r="E37" s="746"/>
      <c r="F37" s="1125">
        <v>150</v>
      </c>
      <c r="G37" s="746">
        <f t="shared" ref="G37:G51" si="2">E37+F37</f>
        <v>150</v>
      </c>
      <c r="H37" s="510"/>
      <c r="I37" s="1078"/>
    </row>
    <row r="38" spans="1:9" s="8" customFormat="1" x14ac:dyDescent="0.2">
      <c r="A38" s="108"/>
      <c r="B38" s="977"/>
      <c r="C38" s="983" t="s">
        <v>555</v>
      </c>
      <c r="D38" s="743" t="s">
        <v>166</v>
      </c>
      <c r="E38" s="746"/>
      <c r="F38" s="1125">
        <v>2000</v>
      </c>
      <c r="G38" s="746">
        <f t="shared" si="2"/>
        <v>2000</v>
      </c>
      <c r="H38" s="510"/>
      <c r="I38" s="1078"/>
    </row>
    <row r="39" spans="1:9" s="8" customFormat="1" x14ac:dyDescent="0.2">
      <c r="A39" s="108"/>
      <c r="B39" s="977"/>
      <c r="C39" s="983" t="s">
        <v>556</v>
      </c>
      <c r="D39" s="743" t="s">
        <v>279</v>
      </c>
      <c r="E39" s="746"/>
      <c r="F39" s="1125">
        <v>1000</v>
      </c>
      <c r="G39" s="746">
        <f t="shared" si="2"/>
        <v>1000</v>
      </c>
      <c r="H39" s="510"/>
      <c r="I39" s="1078"/>
    </row>
    <row r="40" spans="1:9" s="8" customFormat="1" x14ac:dyDescent="0.2">
      <c r="A40" s="108"/>
      <c r="B40" s="977"/>
      <c r="C40" s="983" t="s">
        <v>557</v>
      </c>
      <c r="D40" s="743" t="s">
        <v>280</v>
      </c>
      <c r="E40" s="746"/>
      <c r="F40" s="1125">
        <v>5000</v>
      </c>
      <c r="G40" s="746">
        <f t="shared" si="2"/>
        <v>5000</v>
      </c>
      <c r="H40" s="510"/>
      <c r="I40" s="1078"/>
    </row>
    <row r="41" spans="1:9" s="8" customFormat="1" x14ac:dyDescent="0.2">
      <c r="A41" s="108"/>
      <c r="B41" s="977"/>
      <c r="C41" s="983" t="s">
        <v>558</v>
      </c>
      <c r="D41" s="743" t="s">
        <v>1367</v>
      </c>
      <c r="E41" s="746"/>
      <c r="F41" s="1126">
        <v>150</v>
      </c>
      <c r="G41" s="746">
        <f t="shared" si="2"/>
        <v>150</v>
      </c>
      <c r="H41" s="510"/>
      <c r="I41" s="1078"/>
    </row>
    <row r="42" spans="1:9" s="8" customFormat="1" x14ac:dyDescent="0.2">
      <c r="A42" s="108"/>
      <c r="B42" s="977"/>
      <c r="C42" s="983" t="s">
        <v>559</v>
      </c>
      <c r="D42" s="743" t="s">
        <v>900</v>
      </c>
      <c r="E42" s="746"/>
      <c r="F42" s="1125">
        <v>75</v>
      </c>
      <c r="G42" s="746">
        <f t="shared" si="2"/>
        <v>75</v>
      </c>
      <c r="H42" s="510"/>
      <c r="I42" s="1078"/>
    </row>
    <row r="43" spans="1:9" s="8" customFormat="1" x14ac:dyDescent="0.2">
      <c r="A43" s="108"/>
      <c r="B43" s="977"/>
      <c r="C43" s="983" t="s">
        <v>560</v>
      </c>
      <c r="D43" s="743" t="s">
        <v>925</v>
      </c>
      <c r="E43" s="746"/>
      <c r="F43" s="1125">
        <v>0</v>
      </c>
      <c r="G43" s="746">
        <f t="shared" si="2"/>
        <v>0</v>
      </c>
      <c r="H43" s="510"/>
      <c r="I43" s="1078"/>
    </row>
    <row r="44" spans="1:9" s="8" customFormat="1" ht="12.75" customHeight="1" x14ac:dyDescent="0.2">
      <c r="A44" s="108"/>
      <c r="B44" s="977"/>
      <c r="C44" s="983" t="s">
        <v>612</v>
      </c>
      <c r="D44" s="743" t="s">
        <v>992</v>
      </c>
      <c r="E44" s="746"/>
      <c r="F44" s="1125">
        <v>900</v>
      </c>
      <c r="G44" s="746">
        <f t="shared" si="2"/>
        <v>900</v>
      </c>
      <c r="H44" s="510"/>
      <c r="I44" s="1078"/>
    </row>
    <row r="45" spans="1:9" s="8" customFormat="1" x14ac:dyDescent="0.2">
      <c r="A45" s="108"/>
      <c r="B45" s="977"/>
      <c r="C45" s="983" t="s">
        <v>613</v>
      </c>
      <c r="D45" s="787" t="s">
        <v>926</v>
      </c>
      <c r="E45" s="788"/>
      <c r="F45" s="1073">
        <v>75</v>
      </c>
      <c r="G45" s="788">
        <f t="shared" si="2"/>
        <v>75</v>
      </c>
      <c r="H45" s="510"/>
      <c r="I45" s="1078"/>
    </row>
    <row r="46" spans="1:9" s="8" customFormat="1" x14ac:dyDescent="0.2">
      <c r="A46" s="108"/>
      <c r="B46" s="977"/>
      <c r="C46" s="983" t="s">
        <v>614</v>
      </c>
      <c r="D46" s="787" t="s">
        <v>990</v>
      </c>
      <c r="E46" s="788"/>
      <c r="F46" s="1073">
        <v>50</v>
      </c>
      <c r="G46" s="788">
        <f t="shared" si="2"/>
        <v>50</v>
      </c>
      <c r="H46" s="510"/>
      <c r="I46" s="1078"/>
    </row>
    <row r="47" spans="1:9" s="8" customFormat="1" ht="24" x14ac:dyDescent="0.2">
      <c r="A47" s="108"/>
      <c r="B47" s="977"/>
      <c r="C47" s="1333" t="s">
        <v>615</v>
      </c>
      <c r="D47" s="902" t="s">
        <v>991</v>
      </c>
      <c r="E47" s="788"/>
      <c r="F47" s="1073">
        <v>150</v>
      </c>
      <c r="G47" s="788">
        <f t="shared" si="2"/>
        <v>150</v>
      </c>
      <c r="H47" s="510"/>
      <c r="I47" s="1078"/>
    </row>
    <row r="48" spans="1:9" s="8" customFormat="1" x14ac:dyDescent="0.2">
      <c r="A48" s="108"/>
      <c r="B48" s="977"/>
      <c r="C48" s="983" t="s">
        <v>112</v>
      </c>
      <c r="D48" s="787" t="s">
        <v>997</v>
      </c>
      <c r="E48" s="788"/>
      <c r="F48" s="1073">
        <v>200</v>
      </c>
      <c r="G48" s="788">
        <f t="shared" si="2"/>
        <v>200</v>
      </c>
      <c r="H48" s="510"/>
      <c r="I48" s="1078"/>
    </row>
    <row r="49" spans="1:12" s="8" customFormat="1" ht="18.75" customHeight="1" x14ac:dyDescent="0.2">
      <c r="A49" s="108"/>
      <c r="B49" s="977"/>
      <c r="C49" s="983" t="s">
        <v>640</v>
      </c>
      <c r="D49" s="902" t="s">
        <v>1198</v>
      </c>
      <c r="E49" s="788"/>
      <c r="F49" s="1073">
        <v>1000</v>
      </c>
      <c r="G49" s="788">
        <f t="shared" si="2"/>
        <v>1000</v>
      </c>
      <c r="H49" s="510"/>
      <c r="I49" s="1084"/>
    </row>
    <row r="50" spans="1:12" s="8" customFormat="1" ht="15" customHeight="1" x14ac:dyDescent="0.2">
      <c r="A50" s="108"/>
      <c r="B50" s="977"/>
      <c r="C50" s="983" t="s">
        <v>641</v>
      </c>
      <c r="D50" s="787" t="s">
        <v>1216</v>
      </c>
      <c r="E50" s="788"/>
      <c r="F50" s="1073">
        <v>1000</v>
      </c>
      <c r="G50" s="788">
        <f t="shared" si="2"/>
        <v>1000</v>
      </c>
      <c r="H50" s="510"/>
      <c r="I50" s="1078"/>
    </row>
    <row r="51" spans="1:12" s="8" customFormat="1" ht="15" customHeight="1" x14ac:dyDescent="0.2">
      <c r="A51" s="108"/>
      <c r="B51" s="977"/>
      <c r="C51" s="983" t="s">
        <v>115</v>
      </c>
      <c r="D51" s="787" t="s">
        <v>1108</v>
      </c>
      <c r="E51" s="788"/>
      <c r="F51" s="1073">
        <v>200</v>
      </c>
      <c r="G51" s="788">
        <f t="shared" si="2"/>
        <v>200</v>
      </c>
      <c r="H51" s="510"/>
      <c r="I51" s="1078"/>
    </row>
    <row r="52" spans="1:12" s="8" customFormat="1" ht="12.75" thickBot="1" x14ac:dyDescent="0.25">
      <c r="A52" s="108"/>
      <c r="B52" s="977"/>
      <c r="C52" s="983" t="s">
        <v>116</v>
      </c>
      <c r="D52" s="743" t="s">
        <v>980</v>
      </c>
      <c r="E52" s="746">
        <v>0</v>
      </c>
      <c r="F52" s="1125">
        <v>780</v>
      </c>
      <c r="G52" s="746">
        <f>SUM(E52:F52)</f>
        <v>780</v>
      </c>
      <c r="H52" s="510"/>
      <c r="I52" s="1078"/>
    </row>
    <row r="53" spans="1:12" s="8" customFormat="1" ht="12.75" thickBot="1" x14ac:dyDescent="0.25">
      <c r="A53" s="108"/>
      <c r="B53" s="979"/>
      <c r="C53" s="984" t="s">
        <v>117</v>
      </c>
      <c r="D53" s="883" t="s">
        <v>448</v>
      </c>
      <c r="E53" s="1124">
        <f>SUM(E23:E52)</f>
        <v>150640</v>
      </c>
      <c r="F53" s="1127">
        <f>SUM(F27:F52)</f>
        <v>158790</v>
      </c>
      <c r="G53" s="1128">
        <f>SUM(G23:G52)</f>
        <v>309430</v>
      </c>
      <c r="H53" s="703"/>
    </row>
    <row r="54" spans="1:12" ht="12.75" thickBot="1" x14ac:dyDescent="0.25">
      <c r="B54" s="976"/>
      <c r="C54" s="983"/>
      <c r="D54" s="740"/>
      <c r="E54" s="1018"/>
      <c r="F54" s="1019"/>
      <c r="G54" s="1018"/>
      <c r="H54" s="511"/>
    </row>
    <row r="55" spans="1:12" ht="12.75" thickBot="1" x14ac:dyDescent="0.25">
      <c r="B55" s="978"/>
      <c r="C55" s="984" t="s">
        <v>120</v>
      </c>
      <c r="D55" s="985" t="s">
        <v>1030</v>
      </c>
      <c r="E55" s="1129">
        <f>E21+E53</f>
        <v>156490</v>
      </c>
      <c r="F55" s="1129">
        <f>F21+F53</f>
        <v>273631</v>
      </c>
      <c r="G55" s="1130">
        <f>G21+G53</f>
        <v>430121</v>
      </c>
    </row>
    <row r="56" spans="1:12" x14ac:dyDescent="0.2">
      <c r="B56" s="976"/>
      <c r="C56" s="983"/>
      <c r="D56" s="960"/>
      <c r="E56" s="1021"/>
      <c r="F56" s="1021"/>
      <c r="G56" s="1019"/>
      <c r="H56" s="511"/>
    </row>
    <row r="57" spans="1:12" x14ac:dyDescent="0.2">
      <c r="B57" s="976"/>
      <c r="C57" s="983" t="s">
        <v>123</v>
      </c>
      <c r="D57" s="958" t="s">
        <v>320</v>
      </c>
      <c r="E57" s="1018"/>
      <c r="F57" s="1018"/>
      <c r="G57" s="1018"/>
    </row>
    <row r="58" spans="1:12" x14ac:dyDescent="0.2">
      <c r="B58" s="976"/>
      <c r="C58" s="983" t="s">
        <v>124</v>
      </c>
      <c r="D58" s="959" t="s">
        <v>445</v>
      </c>
      <c r="E58" s="1018"/>
      <c r="F58" s="1018"/>
      <c r="G58" s="1018"/>
    </row>
    <row r="59" spans="1:12" ht="12.75" thickBot="1" x14ac:dyDescent="0.25">
      <c r="B59" s="976"/>
      <c r="C59" s="983"/>
      <c r="D59" s="960"/>
      <c r="E59" s="1018"/>
      <c r="F59" s="1018"/>
      <c r="G59" s="1018"/>
    </row>
    <row r="60" spans="1:12" ht="12.75" thickBot="1" x14ac:dyDescent="0.25">
      <c r="B60" s="978"/>
      <c r="C60" s="984" t="s">
        <v>125</v>
      </c>
      <c r="D60" s="961" t="s">
        <v>1033</v>
      </c>
      <c r="E60" s="1124">
        <f>SUM(E59)</f>
        <v>0</v>
      </c>
      <c r="F60" s="1124">
        <f t="shared" ref="F60:G60" si="3">SUM(F59)</f>
        <v>0</v>
      </c>
      <c r="G60" s="1127">
        <f t="shared" si="3"/>
        <v>0</v>
      </c>
      <c r="H60" s="965"/>
    </row>
    <row r="61" spans="1:12" x14ac:dyDescent="0.2">
      <c r="B61" s="976"/>
      <c r="C61" s="983"/>
      <c r="D61" s="962"/>
      <c r="E61" s="938"/>
      <c r="F61" s="938"/>
      <c r="G61" s="938"/>
    </row>
    <row r="62" spans="1:12" x14ac:dyDescent="0.2">
      <c r="B62" s="976"/>
      <c r="C62" s="983" t="s">
        <v>126</v>
      </c>
      <c r="D62" s="959" t="s">
        <v>447</v>
      </c>
      <c r="E62" s="938"/>
      <c r="F62" s="938"/>
      <c r="G62" s="938"/>
      <c r="L62" s="882"/>
    </row>
    <row r="63" spans="1:12" ht="12.75" thickBot="1" x14ac:dyDescent="0.25">
      <c r="B63" s="976"/>
      <c r="C63" s="983"/>
      <c r="D63" s="964"/>
      <c r="E63" s="539"/>
      <c r="F63" s="539"/>
      <c r="G63" s="539"/>
    </row>
    <row r="64" spans="1:12" ht="12.75" thickBot="1" x14ac:dyDescent="0.25">
      <c r="B64" s="978"/>
      <c r="C64" s="1687" t="s">
        <v>129</v>
      </c>
      <c r="D64" s="985" t="s">
        <v>1109</v>
      </c>
      <c r="E64" s="1124">
        <f>SUM(E63)</f>
        <v>0</v>
      </c>
      <c r="F64" s="1124"/>
      <c r="G64" s="1127">
        <f>SUM(G63)</f>
        <v>0</v>
      </c>
    </row>
    <row r="65" spans="2:9" ht="12.75" thickBot="1" x14ac:dyDescent="0.25">
      <c r="B65" s="976"/>
      <c r="C65" s="1688"/>
      <c r="D65" s="959"/>
      <c r="E65" s="938"/>
      <c r="F65" s="938"/>
      <c r="G65" s="938"/>
    </row>
    <row r="66" spans="2:9" ht="12.75" thickBot="1" x14ac:dyDescent="0.25">
      <c r="B66" s="978"/>
      <c r="C66" s="1689" t="s">
        <v>132</v>
      </c>
      <c r="D66" s="963" t="s">
        <v>1031</v>
      </c>
      <c r="E66" s="1124">
        <f>E60+E64</f>
        <v>0</v>
      </c>
      <c r="F66" s="1124">
        <f t="shared" ref="F66:G66" si="4">F60+F64</f>
        <v>0</v>
      </c>
      <c r="G66" s="1127">
        <f t="shared" si="4"/>
        <v>0</v>
      </c>
    </row>
    <row r="67" spans="2:9" x14ac:dyDescent="0.2">
      <c r="B67" s="976"/>
      <c r="C67" s="1690"/>
      <c r="D67" s="884"/>
      <c r="E67" s="1022"/>
      <c r="F67" s="1022"/>
      <c r="G67" s="1023"/>
      <c r="H67" s="511"/>
    </row>
    <row r="68" spans="2:9" ht="24" x14ac:dyDescent="0.2">
      <c r="B68" s="976"/>
      <c r="C68" s="1692" t="s">
        <v>135</v>
      </c>
      <c r="D68" s="959" t="s">
        <v>1034</v>
      </c>
      <c r="E68" s="1131">
        <f>E21+E60</f>
        <v>5850</v>
      </c>
      <c r="F68" s="1131">
        <f>F21+F60</f>
        <v>114841</v>
      </c>
      <c r="G68" s="1131">
        <f>G21+G60</f>
        <v>120691</v>
      </c>
    </row>
    <row r="69" spans="2:9" ht="24" x14ac:dyDescent="0.2">
      <c r="B69" s="976"/>
      <c r="C69" s="1692" t="s">
        <v>136</v>
      </c>
      <c r="D69" s="959" t="s">
        <v>1035</v>
      </c>
      <c r="E69" s="1131">
        <f>E53+E64</f>
        <v>150640</v>
      </c>
      <c r="F69" s="1131">
        <f t="shared" ref="F69:G69" si="5">F53+F64</f>
        <v>158790</v>
      </c>
      <c r="G69" s="1131">
        <f t="shared" si="5"/>
        <v>309430</v>
      </c>
    </row>
    <row r="70" spans="2:9" ht="12.75" thickBot="1" x14ac:dyDescent="0.25">
      <c r="B70" s="976"/>
      <c r="C70" s="1690"/>
      <c r="D70" s="960"/>
      <c r="E70" s="1018"/>
      <c r="F70" s="1018"/>
      <c r="G70" s="1018"/>
    </row>
    <row r="71" spans="2:9" ht="24.75" thickBot="1" x14ac:dyDescent="0.25">
      <c r="B71" s="978"/>
      <c r="C71" s="1691" t="s">
        <v>139</v>
      </c>
      <c r="D71" s="963" t="s">
        <v>1032</v>
      </c>
      <c r="E71" s="1129">
        <f>E55+E66</f>
        <v>156490</v>
      </c>
      <c r="F71" s="1129">
        <f>F55+F66</f>
        <v>273631</v>
      </c>
      <c r="G71" s="1132">
        <f>G55+G66</f>
        <v>430121</v>
      </c>
    </row>
    <row r="72" spans="2:9" x14ac:dyDescent="0.2">
      <c r="I72" s="882"/>
    </row>
    <row r="75" spans="2:9" x14ac:dyDescent="0.2">
      <c r="H75" s="1072"/>
    </row>
  </sheetData>
  <sheetProtection selectLockedCells="1" selectUnlockedCells="1"/>
  <mergeCells count="7">
    <mergeCell ref="C1:G1"/>
    <mergeCell ref="D6:G6"/>
    <mergeCell ref="C7:C8"/>
    <mergeCell ref="D7:D8"/>
    <mergeCell ref="E7:G7"/>
    <mergeCell ref="C3:G3"/>
    <mergeCell ref="C4:G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5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31"/>
  <sheetViews>
    <sheetView workbookViewId="0">
      <pane xSplit="3" ySplit="9" topLeftCell="D98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I1"/>
    </sheetView>
  </sheetViews>
  <sheetFormatPr defaultColWidth="9.140625" defaultRowHeight="14.1" customHeight="1" x14ac:dyDescent="0.2"/>
  <cols>
    <col min="1" max="1" width="1.28515625" style="49" customWidth="1"/>
    <col min="2" max="2" width="3.7109375" style="266" customWidth="1"/>
    <col min="3" max="3" width="41.42578125" style="275" customWidth="1"/>
    <col min="4" max="4" width="9.85546875" style="50" customWidth="1"/>
    <col min="5" max="5" width="8.7109375" style="50" customWidth="1"/>
    <col min="6" max="6" width="7.85546875" style="50" customWidth="1"/>
    <col min="7" max="7" width="8.42578125" style="63" customWidth="1"/>
    <col min="8" max="8" width="9.85546875" style="78" customWidth="1"/>
    <col min="9" max="9" width="7.28515625" style="78" customWidth="1"/>
    <col min="10" max="10" width="8.28515625" style="49" customWidth="1"/>
    <col min="11" max="11" width="7.5703125" style="49" customWidth="1"/>
    <col min="12" max="12" width="8.28515625" style="49" customWidth="1"/>
    <col min="13" max="16384" width="9.140625" style="49"/>
  </cols>
  <sheetData>
    <row r="1" spans="1:10" ht="12.75" customHeight="1" x14ac:dyDescent="0.2">
      <c r="B1" s="1503" t="s">
        <v>1371</v>
      </c>
      <c r="C1" s="1503"/>
      <c r="D1" s="1503"/>
      <c r="E1" s="1503"/>
      <c r="F1" s="1503"/>
      <c r="G1" s="1503"/>
      <c r="H1" s="1468"/>
      <c r="I1" s="1468"/>
    </row>
    <row r="2" spans="1:10" ht="14.1" customHeight="1" x14ac:dyDescent="0.2">
      <c r="B2" s="1504" t="s">
        <v>77</v>
      </c>
      <c r="C2" s="1504"/>
      <c r="D2" s="1504"/>
      <c r="E2" s="1504"/>
      <c r="F2" s="1504"/>
      <c r="G2" s="1504"/>
      <c r="H2" s="1468"/>
      <c r="I2" s="1468"/>
    </row>
    <row r="3" spans="1:10" ht="14.1" customHeight="1" x14ac:dyDescent="0.2">
      <c r="B3" s="276"/>
      <c r="C3" s="1515" t="s">
        <v>1187</v>
      </c>
      <c r="D3" s="1515"/>
      <c r="E3" s="1515"/>
      <c r="F3" s="1515"/>
      <c r="G3" s="1515"/>
      <c r="H3" s="1515"/>
      <c r="I3" s="1515"/>
    </row>
    <row r="4" spans="1:10" ht="14.25" customHeight="1" thickBot="1" x14ac:dyDescent="0.25">
      <c r="B4" s="1507" t="s">
        <v>295</v>
      </c>
      <c r="C4" s="1507"/>
      <c r="D4" s="1507"/>
      <c r="E4" s="1507"/>
      <c r="F4" s="1507"/>
      <c r="G4" s="1507"/>
      <c r="H4" s="1508"/>
      <c r="I4" s="1508"/>
    </row>
    <row r="5" spans="1:10" ht="24" customHeight="1" thickBot="1" x14ac:dyDescent="0.25">
      <c r="B5" s="1509" t="s">
        <v>460</v>
      </c>
      <c r="C5" s="273" t="s">
        <v>57</v>
      </c>
      <c r="D5" s="52" t="s">
        <v>58</v>
      </c>
      <c r="E5" s="52" t="s">
        <v>59</v>
      </c>
      <c r="F5" s="52" t="s">
        <v>60</v>
      </c>
      <c r="G5" s="53" t="s">
        <v>461</v>
      </c>
      <c r="H5" s="53" t="s">
        <v>462</v>
      </c>
      <c r="I5" s="460" t="s">
        <v>463</v>
      </c>
    </row>
    <row r="6" spans="1:10" ht="1.9" hidden="1" customHeight="1" thickBot="1" x14ac:dyDescent="0.25">
      <c r="B6" s="1509"/>
      <c r="C6" s="274"/>
      <c r="D6" s="100"/>
      <c r="E6" s="100"/>
      <c r="F6" s="100"/>
      <c r="G6" s="101"/>
    </row>
    <row r="7" spans="1:10" s="225" customFormat="1" ht="23.25" customHeight="1" thickBot="1" x14ac:dyDescent="0.25">
      <c r="B7" s="1509"/>
      <c r="C7" s="274"/>
      <c r="D7" s="100"/>
      <c r="E7" s="1516" t="s">
        <v>308</v>
      </c>
      <c r="F7" s="1517"/>
      <c r="G7" s="1518"/>
      <c r="H7" s="1505" t="s">
        <v>1136</v>
      </c>
      <c r="I7" s="1506"/>
    </row>
    <row r="8" spans="1:10" s="48" customFormat="1" ht="30.75" customHeight="1" thickBot="1" x14ac:dyDescent="0.25">
      <c r="B8" s="1509"/>
      <c r="C8" s="1510" t="s">
        <v>85</v>
      </c>
      <c r="D8" s="1510" t="s">
        <v>464</v>
      </c>
      <c r="E8" s="1519" t="s">
        <v>465</v>
      </c>
      <c r="F8" s="1519" t="s">
        <v>466</v>
      </c>
      <c r="G8" s="1512" t="s">
        <v>467</v>
      </c>
      <c r="H8" s="1511" t="s">
        <v>62</v>
      </c>
      <c r="I8" s="1513" t="s">
        <v>63</v>
      </c>
    </row>
    <row r="9" spans="1:10" s="48" customFormat="1" ht="41.25" customHeight="1" thickBot="1" x14ac:dyDescent="0.25">
      <c r="B9" s="1509"/>
      <c r="C9" s="1510"/>
      <c r="D9" s="1510"/>
      <c r="E9" s="1519"/>
      <c r="F9" s="1519"/>
      <c r="G9" s="1512"/>
      <c r="H9" s="1512"/>
      <c r="I9" s="1514"/>
    </row>
    <row r="10" spans="1:10" ht="14.1" customHeight="1" x14ac:dyDescent="0.2">
      <c r="A10" s="1007"/>
      <c r="B10" s="991"/>
      <c r="C10" s="54" t="s">
        <v>77</v>
      </c>
      <c r="D10" s="55"/>
      <c r="E10" s="55"/>
      <c r="F10" s="55"/>
      <c r="G10" s="56"/>
      <c r="I10" s="1384"/>
      <c r="J10" s="512"/>
    </row>
    <row r="11" spans="1:10" ht="14.1" customHeight="1" x14ac:dyDescent="0.2">
      <c r="A11" s="1007"/>
      <c r="B11" s="992"/>
      <c r="C11" s="54"/>
      <c r="D11" s="55"/>
      <c r="E11" s="55"/>
      <c r="F11" s="55"/>
      <c r="G11" s="56"/>
      <c r="I11" s="1385"/>
      <c r="J11" s="512"/>
    </row>
    <row r="12" spans="1:10" ht="14.1" customHeight="1" x14ac:dyDescent="0.2">
      <c r="A12" s="1007"/>
      <c r="B12" s="993" t="s">
        <v>468</v>
      </c>
      <c r="C12" s="54" t="s">
        <v>469</v>
      </c>
      <c r="D12" s="55"/>
      <c r="E12" s="55"/>
      <c r="F12" s="55"/>
      <c r="G12" s="56"/>
      <c r="I12" s="1385"/>
      <c r="J12" s="512"/>
    </row>
    <row r="13" spans="1:10" ht="18.75" customHeight="1" x14ac:dyDescent="0.2">
      <c r="A13" s="1007"/>
      <c r="B13" s="994" t="s">
        <v>470</v>
      </c>
      <c r="C13" s="74" t="s">
        <v>1072</v>
      </c>
      <c r="D13" s="408" t="s">
        <v>471</v>
      </c>
      <c r="E13" s="92">
        <v>1086</v>
      </c>
      <c r="F13" s="92">
        <v>292</v>
      </c>
      <c r="G13" s="72">
        <f t="shared" ref="G13" si="0">E13+F13</f>
        <v>1378</v>
      </c>
      <c r="H13" s="51">
        <f t="shared" ref="H13" si="1">G13</f>
        <v>1378</v>
      </c>
      <c r="I13" s="1385"/>
      <c r="J13" s="512"/>
    </row>
    <row r="14" spans="1:10" s="66" customFormat="1" ht="10.5" customHeight="1" thickBot="1" x14ac:dyDescent="0.25">
      <c r="A14" s="1008"/>
      <c r="B14" s="994"/>
      <c r="C14" s="57"/>
      <c r="D14" s="668"/>
      <c r="E14" s="92"/>
      <c r="F14" s="92"/>
      <c r="G14" s="72"/>
      <c r="H14" s="50"/>
      <c r="I14" s="951"/>
      <c r="J14" s="513"/>
    </row>
    <row r="15" spans="1:10" s="66" customFormat="1" ht="15" customHeight="1" thickBot="1" x14ac:dyDescent="0.25">
      <c r="A15" s="1008"/>
      <c r="B15" s="1006"/>
      <c r="C15" s="58" t="s">
        <v>472</v>
      </c>
      <c r="D15" s="59"/>
      <c r="E15" s="681">
        <f>SUM(E13:E13)</f>
        <v>1086</v>
      </c>
      <c r="F15" s="681">
        <f>SUM(F13:F13)</f>
        <v>292</v>
      </c>
      <c r="G15" s="681">
        <f>SUM(G13:G13)</f>
        <v>1378</v>
      </c>
      <c r="H15" s="681">
        <f>SUM(H13:H13)</f>
        <v>1378</v>
      </c>
      <c r="I15" s="1386">
        <f>SUM(I13:I13)</f>
        <v>0</v>
      </c>
      <c r="J15" s="515"/>
    </row>
    <row r="16" spans="1:10" ht="14.1" customHeight="1" x14ac:dyDescent="0.2">
      <c r="A16" s="1007"/>
      <c r="B16" s="995"/>
      <c r="C16" s="57"/>
      <c r="D16" s="55"/>
      <c r="E16" s="55"/>
      <c r="F16" s="55"/>
      <c r="G16" s="56"/>
      <c r="I16" s="1385"/>
      <c r="J16" s="512"/>
    </row>
    <row r="17" spans="1:13" ht="15" customHeight="1" x14ac:dyDescent="0.2">
      <c r="A17" s="1007"/>
      <c r="B17" s="995" t="s">
        <v>473</v>
      </c>
      <c r="C17" s="54" t="s">
        <v>474</v>
      </c>
      <c r="D17" s="55"/>
      <c r="E17" s="55"/>
      <c r="F17" s="55"/>
      <c r="G17" s="56"/>
      <c r="I17" s="1385"/>
      <c r="J17" s="512"/>
      <c r="L17" s="1396"/>
    </row>
    <row r="18" spans="1:13" ht="15" customHeight="1" x14ac:dyDescent="0.2">
      <c r="A18" s="1007"/>
      <c r="B18" s="992" t="s">
        <v>470</v>
      </c>
      <c r="C18" s="74" t="s">
        <v>1188</v>
      </c>
      <c r="D18" s="668" t="s">
        <v>907</v>
      </c>
      <c r="E18" s="55">
        <v>15000</v>
      </c>
      <c r="F18" s="55">
        <v>4050</v>
      </c>
      <c r="G18" s="56">
        <f>E18+F18</f>
        <v>19050</v>
      </c>
      <c r="I18" s="92">
        <f>G18</f>
        <v>19050</v>
      </c>
      <c r="J18" s="512"/>
      <c r="L18" s="1396"/>
      <c r="M18" s="1396"/>
    </row>
    <row r="19" spans="1:13" ht="15" customHeight="1" x14ac:dyDescent="0.2">
      <c r="A19" s="1007"/>
      <c r="B19" s="992" t="s">
        <v>478</v>
      </c>
      <c r="C19" s="74" t="s">
        <v>1110</v>
      </c>
      <c r="D19" s="408" t="s">
        <v>471</v>
      </c>
      <c r="E19" s="55">
        <v>4500</v>
      </c>
      <c r="F19" s="55">
        <v>1215</v>
      </c>
      <c r="G19" s="56">
        <f t="shared" ref="G19:G20" si="2">E19+F19</f>
        <v>5715</v>
      </c>
      <c r="H19" s="966">
        <f>G19</f>
        <v>5715</v>
      </c>
      <c r="I19" s="967"/>
      <c r="J19" s="512"/>
      <c r="L19" s="1396"/>
      <c r="M19" s="1396"/>
    </row>
    <row r="20" spans="1:13" ht="15" customHeight="1" x14ac:dyDescent="0.2">
      <c r="A20" s="1007"/>
      <c r="B20" s="992" t="s">
        <v>479</v>
      </c>
      <c r="C20" s="74" t="s">
        <v>1372</v>
      </c>
      <c r="D20" s="668" t="s">
        <v>907</v>
      </c>
      <c r="E20" s="55">
        <v>3858</v>
      </c>
      <c r="F20" s="55">
        <v>1042</v>
      </c>
      <c r="G20" s="56">
        <f t="shared" si="2"/>
        <v>4900</v>
      </c>
      <c r="H20" s="966">
        <f>G20</f>
        <v>4900</v>
      </c>
      <c r="I20" s="967"/>
      <c r="J20" s="512"/>
      <c r="L20" s="1396"/>
      <c r="M20" s="1396"/>
    </row>
    <row r="21" spans="1:13" ht="13.5" customHeight="1" thickBot="1" x14ac:dyDescent="0.25">
      <c r="A21" s="1007"/>
      <c r="B21" s="992"/>
      <c r="C21" s="74"/>
      <c r="D21" s="55"/>
      <c r="E21" s="92"/>
      <c r="F21" s="92"/>
      <c r="G21" s="72"/>
      <c r="H21" s="51"/>
      <c r="I21" s="92"/>
      <c r="J21" s="670"/>
      <c r="L21" s="1396"/>
      <c r="M21" s="1396"/>
    </row>
    <row r="22" spans="1:13" ht="12" customHeight="1" thickBot="1" x14ac:dyDescent="0.25">
      <c r="A22" s="1007"/>
      <c r="B22" s="996"/>
      <c r="C22" s="411" t="s">
        <v>475</v>
      </c>
      <c r="D22" s="111"/>
      <c r="E22" s="682">
        <f>SUM(E18:E20)</f>
        <v>23358</v>
      </c>
      <c r="F22" s="682">
        <f t="shared" ref="F22:I22" si="3">SUM(F18:F20)</f>
        <v>6307</v>
      </c>
      <c r="G22" s="682">
        <f t="shared" si="3"/>
        <v>29665</v>
      </c>
      <c r="H22" s="682">
        <f t="shared" si="3"/>
        <v>10615</v>
      </c>
      <c r="I22" s="682">
        <f t="shared" si="3"/>
        <v>19050</v>
      </c>
      <c r="J22" s="512"/>
      <c r="L22" s="1396"/>
      <c r="M22" s="1396"/>
    </row>
    <row r="23" spans="1:13" ht="12" customHeight="1" x14ac:dyDescent="0.2">
      <c r="A23" s="1007"/>
      <c r="B23" s="997"/>
      <c r="C23" s="60"/>
      <c r="D23" s="55"/>
      <c r="E23" s="55"/>
      <c r="F23" s="55"/>
      <c r="G23" s="56"/>
      <c r="I23" s="528"/>
      <c r="J23" s="512"/>
      <c r="L23" s="1396"/>
      <c r="M23" s="1396"/>
    </row>
    <row r="24" spans="1:13" ht="15.75" customHeight="1" x14ac:dyDescent="0.2">
      <c r="A24" s="1007"/>
      <c r="B24" s="998" t="s">
        <v>476</v>
      </c>
      <c r="C24" s="65" t="s">
        <v>477</v>
      </c>
      <c r="D24" s="62"/>
      <c r="E24" s="55"/>
      <c r="F24" s="55"/>
      <c r="G24" s="56"/>
      <c r="I24" s="528"/>
      <c r="J24" s="512"/>
      <c r="L24" s="1396"/>
      <c r="M24" s="1396"/>
    </row>
    <row r="25" spans="1:13" s="66" customFormat="1" ht="25.5" customHeight="1" x14ac:dyDescent="0.2">
      <c r="A25" s="1008"/>
      <c r="B25" s="999" t="s">
        <v>1073</v>
      </c>
      <c r="C25" s="61" t="s">
        <v>1211</v>
      </c>
      <c r="D25" s="408" t="s">
        <v>301</v>
      </c>
      <c r="E25" s="668">
        <v>341459</v>
      </c>
      <c r="F25" s="668">
        <v>92194</v>
      </c>
      <c r="G25" s="669">
        <f>E25+F25</f>
        <v>433653</v>
      </c>
      <c r="H25" s="409">
        <f t="shared" ref="H25:H29" si="4">G25</f>
        <v>433653</v>
      </c>
      <c r="I25" s="92"/>
      <c r="J25" s="513"/>
      <c r="L25" s="1395"/>
      <c r="M25" s="1395"/>
    </row>
    <row r="26" spans="1:13" s="66" customFormat="1" ht="41.25" customHeight="1" x14ac:dyDescent="0.2">
      <c r="A26" s="1008"/>
      <c r="B26" s="999" t="s">
        <v>1074</v>
      </c>
      <c r="C26" s="61" t="s">
        <v>1212</v>
      </c>
      <c r="D26" s="408" t="s">
        <v>301</v>
      </c>
      <c r="E26" s="668">
        <v>168002</v>
      </c>
      <c r="F26" s="668">
        <v>45361</v>
      </c>
      <c r="G26" s="669">
        <f>E26+F26</f>
        <v>213363</v>
      </c>
      <c r="H26" s="409">
        <f>G26</f>
        <v>213363</v>
      </c>
      <c r="I26" s="92"/>
      <c r="J26" s="513"/>
      <c r="L26" s="1395"/>
      <c r="M26" s="1395"/>
    </row>
    <row r="27" spans="1:13" s="66" customFormat="1" ht="24.75" customHeight="1" x14ac:dyDescent="0.2">
      <c r="A27" s="1008"/>
      <c r="B27" s="999" t="s">
        <v>1203</v>
      </c>
      <c r="C27" s="61" t="s">
        <v>1210</v>
      </c>
      <c r="D27" s="668" t="s">
        <v>471</v>
      </c>
      <c r="E27" s="668">
        <v>9213</v>
      </c>
      <c r="F27" s="668">
        <v>2488</v>
      </c>
      <c r="G27" s="669">
        <f>E27+F27</f>
        <v>11701</v>
      </c>
      <c r="H27" s="409">
        <f>G27</f>
        <v>11701</v>
      </c>
      <c r="I27" s="92"/>
      <c r="J27" s="513"/>
      <c r="L27" s="1395"/>
      <c r="M27" s="1395"/>
    </row>
    <row r="28" spans="1:13" s="66" customFormat="1" ht="33.75" customHeight="1" x14ac:dyDescent="0.2">
      <c r="A28" s="1008"/>
      <c r="B28" s="999" t="s">
        <v>1209</v>
      </c>
      <c r="C28" s="61" t="s">
        <v>1223</v>
      </c>
      <c r="D28" s="408" t="s">
        <v>301</v>
      </c>
      <c r="E28" s="668">
        <v>2395</v>
      </c>
      <c r="F28" s="668">
        <v>449</v>
      </c>
      <c r="G28" s="669">
        <f>E28+F28</f>
        <v>2844</v>
      </c>
      <c r="H28" s="409">
        <f>G28</f>
        <v>2844</v>
      </c>
      <c r="I28" s="92"/>
      <c r="J28" s="513"/>
      <c r="L28" s="1395"/>
      <c r="M28" s="1395"/>
    </row>
    <row r="29" spans="1:13" s="66" customFormat="1" ht="24.75" customHeight="1" x14ac:dyDescent="0.2">
      <c r="A29" s="1008"/>
      <c r="B29" s="999" t="s">
        <v>478</v>
      </c>
      <c r="C29" s="61" t="s">
        <v>916</v>
      </c>
      <c r="D29" s="408" t="s">
        <v>471</v>
      </c>
      <c r="E29" s="668">
        <f>23622-15748</f>
        <v>7874</v>
      </c>
      <c r="F29" s="668">
        <f>6378-4252</f>
        <v>2126</v>
      </c>
      <c r="G29" s="669">
        <f t="shared" ref="G29:G36" si="5">E29+F29</f>
        <v>10000</v>
      </c>
      <c r="H29" s="409">
        <f t="shared" si="4"/>
        <v>10000</v>
      </c>
      <c r="I29" s="92"/>
      <c r="J29" s="513"/>
      <c r="L29" s="1395"/>
      <c r="M29" s="1395"/>
    </row>
    <row r="30" spans="1:13" s="66" customFormat="1" ht="27" customHeight="1" x14ac:dyDescent="0.2">
      <c r="A30" s="1008"/>
      <c r="B30" s="999" t="s">
        <v>479</v>
      </c>
      <c r="C30" s="628" t="s">
        <v>1189</v>
      </c>
      <c r="D30" s="408" t="s">
        <v>471</v>
      </c>
      <c r="E30" s="668">
        <v>3000</v>
      </c>
      <c r="F30" s="668">
        <v>810</v>
      </c>
      <c r="G30" s="669">
        <f t="shared" si="5"/>
        <v>3810</v>
      </c>
      <c r="H30" s="409">
        <f>G30</f>
        <v>3810</v>
      </c>
      <c r="I30" s="668"/>
      <c r="J30" s="513"/>
      <c r="L30" s="1395"/>
      <c r="M30" s="1395"/>
    </row>
    <row r="31" spans="1:13" s="66" customFormat="1" ht="36.75" customHeight="1" x14ac:dyDescent="0.2">
      <c r="A31" s="1008"/>
      <c r="B31" s="999" t="s">
        <v>480</v>
      </c>
      <c r="C31" s="801" t="s">
        <v>1373</v>
      </c>
      <c r="D31" s="668" t="s">
        <v>471</v>
      </c>
      <c r="E31" s="668">
        <v>53839</v>
      </c>
      <c r="F31" s="668">
        <v>14537</v>
      </c>
      <c r="G31" s="669">
        <f t="shared" si="5"/>
        <v>68376</v>
      </c>
      <c r="H31" s="409">
        <f>G31</f>
        <v>68376</v>
      </c>
      <c r="I31" s="668"/>
      <c r="J31" s="789"/>
      <c r="K31" s="790"/>
      <c r="L31" s="790"/>
      <c r="M31" s="790"/>
    </row>
    <row r="32" spans="1:13" s="66" customFormat="1" ht="26.25" customHeight="1" x14ac:dyDescent="0.2">
      <c r="A32" s="1008"/>
      <c r="B32" s="999" t="s">
        <v>481</v>
      </c>
      <c r="C32" s="628" t="s">
        <v>975</v>
      </c>
      <c r="D32" s="408" t="s">
        <v>471</v>
      </c>
      <c r="E32" s="668">
        <v>2000</v>
      </c>
      <c r="F32" s="668">
        <v>540</v>
      </c>
      <c r="G32" s="669">
        <f t="shared" ref="G32" si="6">E32+F32</f>
        <v>2540</v>
      </c>
      <c r="H32" s="409">
        <f t="shared" ref="H32" si="7">G32</f>
        <v>2540</v>
      </c>
      <c r="I32" s="668"/>
      <c r="J32" s="513"/>
      <c r="K32" s="1395"/>
      <c r="L32" s="1395"/>
      <c r="M32" s="1395"/>
    </row>
    <row r="33" spans="1:13" s="66" customFormat="1" ht="21.75" customHeight="1" x14ac:dyDescent="0.2">
      <c r="A33" s="1008"/>
      <c r="B33" s="999" t="s">
        <v>482</v>
      </c>
      <c r="C33" s="628" t="s">
        <v>908</v>
      </c>
      <c r="D33" s="408" t="s">
        <v>471</v>
      </c>
      <c r="E33" s="668">
        <v>5038</v>
      </c>
      <c r="F33" s="668">
        <v>1361</v>
      </c>
      <c r="G33" s="669">
        <f t="shared" si="5"/>
        <v>6399</v>
      </c>
      <c r="H33" s="409">
        <f t="shared" ref="H33" si="8">G33</f>
        <v>6399</v>
      </c>
      <c r="I33" s="668"/>
      <c r="J33" s="670"/>
      <c r="L33" s="1395"/>
      <c r="M33" s="1395"/>
    </row>
    <row r="34" spans="1:13" s="66" customFormat="1" ht="27" customHeight="1" x14ac:dyDescent="0.2">
      <c r="A34" s="1008"/>
      <c r="B34" s="999" t="s">
        <v>483</v>
      </c>
      <c r="C34" s="628" t="s">
        <v>1012</v>
      </c>
      <c r="D34" s="408" t="s">
        <v>471</v>
      </c>
      <c r="E34" s="668">
        <v>50443</v>
      </c>
      <c r="F34" s="668">
        <v>0</v>
      </c>
      <c r="G34" s="669">
        <f t="shared" si="5"/>
        <v>50443</v>
      </c>
      <c r="H34" s="409"/>
      <c r="I34" s="668">
        <f>G34</f>
        <v>50443</v>
      </c>
      <c r="J34" s="670"/>
      <c r="L34" s="1395"/>
      <c r="M34" s="1395"/>
    </row>
    <row r="35" spans="1:13" s="66" customFormat="1" ht="39.75" customHeight="1" x14ac:dyDescent="0.2">
      <c r="A35" s="1008"/>
      <c r="B35" s="999" t="s">
        <v>1374</v>
      </c>
      <c r="C35" s="628" t="s">
        <v>1190</v>
      </c>
      <c r="D35" s="668" t="s">
        <v>907</v>
      </c>
      <c r="E35" s="668">
        <v>44785</v>
      </c>
      <c r="F35" s="668">
        <v>12092</v>
      </c>
      <c r="G35" s="669">
        <f t="shared" si="5"/>
        <v>56877</v>
      </c>
      <c r="H35" s="409">
        <f>G35</f>
        <v>56877</v>
      </c>
      <c r="I35" s="668"/>
      <c r="J35" s="670"/>
      <c r="L35" s="1395"/>
      <c r="M35" s="1395"/>
    </row>
    <row r="36" spans="1:13" s="66" customFormat="1" ht="39.75" customHeight="1" x14ac:dyDescent="0.2">
      <c r="A36" s="1008"/>
      <c r="B36" s="999" t="s">
        <v>1375</v>
      </c>
      <c r="C36" s="628" t="s">
        <v>1376</v>
      </c>
      <c r="D36" s="668" t="s">
        <v>907</v>
      </c>
      <c r="E36" s="668">
        <v>19677</v>
      </c>
      <c r="F36" s="668">
        <v>5313</v>
      </c>
      <c r="G36" s="669">
        <f t="shared" si="5"/>
        <v>24990</v>
      </c>
      <c r="H36" s="409">
        <f>G36</f>
        <v>24990</v>
      </c>
      <c r="I36" s="668"/>
      <c r="J36" s="670"/>
      <c r="L36" s="1395"/>
      <c r="M36" s="1395"/>
    </row>
    <row r="37" spans="1:13" s="66" customFormat="1" ht="27.75" customHeight="1" x14ac:dyDescent="0.2">
      <c r="A37" s="1008"/>
      <c r="B37" s="999" t="s">
        <v>485</v>
      </c>
      <c r="C37" s="795" t="s">
        <v>945</v>
      </c>
      <c r="D37" s="408" t="s">
        <v>471</v>
      </c>
      <c r="E37" s="668">
        <v>59888</v>
      </c>
      <c r="F37" s="668">
        <v>16170</v>
      </c>
      <c r="G37" s="669">
        <f t="shared" ref="G37:G47" si="9">SUM(E37:F37)</f>
        <v>76058</v>
      </c>
      <c r="H37" s="409">
        <f t="shared" ref="H37:H38" si="10">G37</f>
        <v>76058</v>
      </c>
      <c r="I37" s="668"/>
      <c r="J37" s="513"/>
      <c r="L37" s="1395"/>
      <c r="M37" s="1395"/>
    </row>
    <row r="38" spans="1:13" s="66" customFormat="1" ht="41.25" customHeight="1" x14ac:dyDescent="0.2">
      <c r="A38" s="1008"/>
      <c r="B38" s="999" t="s">
        <v>519</v>
      </c>
      <c r="C38" s="844" t="s">
        <v>1377</v>
      </c>
      <c r="D38" s="408" t="s">
        <v>471</v>
      </c>
      <c r="E38" s="668">
        <v>509105</v>
      </c>
      <c r="F38" s="668">
        <v>137457</v>
      </c>
      <c r="G38" s="669">
        <f t="shared" si="9"/>
        <v>646562</v>
      </c>
      <c r="H38" s="409">
        <f t="shared" si="10"/>
        <v>646562</v>
      </c>
      <c r="I38" s="668"/>
      <c r="J38" s="513"/>
      <c r="L38" s="1395"/>
      <c r="M38" s="1395"/>
    </row>
    <row r="39" spans="1:13" s="66" customFormat="1" ht="21.75" customHeight="1" x14ac:dyDescent="0.2">
      <c r="A39" s="1008"/>
      <c r="B39" s="999" t="s">
        <v>520</v>
      </c>
      <c r="C39" s="844" t="s">
        <v>1069</v>
      </c>
      <c r="D39" s="668" t="s">
        <v>471</v>
      </c>
      <c r="E39" s="668">
        <v>1181</v>
      </c>
      <c r="F39" s="668">
        <v>319</v>
      </c>
      <c r="G39" s="669">
        <f t="shared" si="9"/>
        <v>1500</v>
      </c>
      <c r="H39" s="409"/>
      <c r="I39" s="668">
        <f>G39</f>
        <v>1500</v>
      </c>
      <c r="J39" s="513"/>
      <c r="L39" s="1395"/>
      <c r="M39" s="1395"/>
    </row>
    <row r="40" spans="1:13" s="66" customFormat="1" ht="42" customHeight="1" x14ac:dyDescent="0.2">
      <c r="A40" s="1008"/>
      <c r="B40" s="999" t="s">
        <v>521</v>
      </c>
      <c r="C40" s="844" t="s">
        <v>1378</v>
      </c>
      <c r="D40" s="668" t="s">
        <v>471</v>
      </c>
      <c r="E40" s="668">
        <v>29575</v>
      </c>
      <c r="F40" s="668">
        <v>376</v>
      </c>
      <c r="G40" s="669">
        <f t="shared" si="9"/>
        <v>29951</v>
      </c>
      <c r="H40" s="409">
        <f>G40</f>
        <v>29951</v>
      </c>
      <c r="I40" s="668"/>
      <c r="J40" s="513"/>
      <c r="L40" s="1395"/>
      <c r="M40" s="1395"/>
    </row>
    <row r="41" spans="1:13" s="66" customFormat="1" ht="24.75" customHeight="1" x14ac:dyDescent="0.2">
      <c r="A41" s="1008"/>
      <c r="B41" s="999" t="s">
        <v>522</v>
      </c>
      <c r="C41" s="844" t="s">
        <v>1131</v>
      </c>
      <c r="D41" s="668" t="s">
        <v>471</v>
      </c>
      <c r="E41" s="668">
        <v>3500</v>
      </c>
      <c r="F41" s="668">
        <v>945</v>
      </c>
      <c r="G41" s="669">
        <f t="shared" si="9"/>
        <v>4445</v>
      </c>
      <c r="H41" s="409">
        <f>G41</f>
        <v>4445</v>
      </c>
      <c r="I41" s="668"/>
      <c r="J41" s="513"/>
      <c r="L41" s="1395"/>
      <c r="M41" s="1395"/>
    </row>
    <row r="42" spans="1:13" s="66" customFormat="1" ht="24.75" customHeight="1" x14ac:dyDescent="0.2">
      <c r="A42" s="1008"/>
      <c r="B42" s="999" t="s">
        <v>523</v>
      </c>
      <c r="C42" s="844" t="s">
        <v>1214</v>
      </c>
      <c r="D42" s="668" t="s">
        <v>471</v>
      </c>
      <c r="E42" s="668">
        <v>22217</v>
      </c>
      <c r="F42" s="668">
        <v>5998</v>
      </c>
      <c r="G42" s="669">
        <f t="shared" si="9"/>
        <v>28215</v>
      </c>
      <c r="H42" s="409">
        <f>G42</f>
        <v>28215</v>
      </c>
      <c r="I42" s="668"/>
      <c r="J42" s="513"/>
      <c r="L42" s="1395"/>
      <c r="M42" s="1395"/>
    </row>
    <row r="43" spans="1:13" s="66" customFormat="1" ht="33" customHeight="1" x14ac:dyDescent="0.2">
      <c r="A43" s="1008"/>
      <c r="B43" s="999" t="s">
        <v>524</v>
      </c>
      <c r="C43" s="844" t="s">
        <v>1215</v>
      </c>
      <c r="D43" s="668" t="s">
        <v>471</v>
      </c>
      <c r="E43" s="668">
        <v>10377</v>
      </c>
      <c r="F43" s="668"/>
      <c r="G43" s="669">
        <f t="shared" si="9"/>
        <v>10377</v>
      </c>
      <c r="H43" s="409">
        <f>G43</f>
        <v>10377</v>
      </c>
      <c r="I43" s="955"/>
      <c r="J43" s="513"/>
      <c r="L43" s="1395"/>
    </row>
    <row r="44" spans="1:13" s="66" customFormat="1" ht="20.25" customHeight="1" x14ac:dyDescent="0.2">
      <c r="A44" s="1008"/>
      <c r="B44" s="999" t="s">
        <v>525</v>
      </c>
      <c r="C44" s="844" t="s">
        <v>1379</v>
      </c>
      <c r="D44" s="668" t="s">
        <v>301</v>
      </c>
      <c r="E44" s="668">
        <v>2537</v>
      </c>
      <c r="F44" s="668">
        <v>686</v>
      </c>
      <c r="G44" s="669">
        <f t="shared" si="9"/>
        <v>3223</v>
      </c>
      <c r="H44" s="409">
        <f>G44</f>
        <v>3223</v>
      </c>
      <c r="I44" s="955"/>
      <c r="J44" s="513"/>
      <c r="L44" s="1395"/>
    </row>
    <row r="45" spans="1:13" s="66" customFormat="1" ht="22.5" customHeight="1" x14ac:dyDescent="0.2">
      <c r="A45" s="1008"/>
      <c r="B45" s="999" t="s">
        <v>526</v>
      </c>
      <c r="C45" s="844" t="s">
        <v>1380</v>
      </c>
      <c r="D45" s="668" t="s">
        <v>471</v>
      </c>
      <c r="E45" s="668">
        <v>4510</v>
      </c>
      <c r="F45" s="668">
        <v>1218</v>
      </c>
      <c r="G45" s="669">
        <f t="shared" si="9"/>
        <v>5728</v>
      </c>
      <c r="H45" s="409">
        <f>G45</f>
        <v>5728</v>
      </c>
      <c r="I45" s="955"/>
      <c r="J45" s="513"/>
      <c r="L45" s="1395"/>
    </row>
    <row r="46" spans="1:13" s="66" customFormat="1" ht="17.25" customHeight="1" x14ac:dyDescent="0.2">
      <c r="A46" s="1008"/>
      <c r="B46" s="999" t="s">
        <v>528</v>
      </c>
      <c r="C46" s="844" t="s">
        <v>1384</v>
      </c>
      <c r="D46" s="668" t="s">
        <v>471</v>
      </c>
      <c r="E46" s="668">
        <v>659296</v>
      </c>
      <c r="F46" s="668">
        <v>178010</v>
      </c>
      <c r="G46" s="669">
        <f t="shared" si="9"/>
        <v>837306</v>
      </c>
      <c r="H46" s="409">
        <f>G46</f>
        <v>837306</v>
      </c>
      <c r="I46" s="955"/>
      <c r="J46" s="513"/>
      <c r="L46" s="1395"/>
    </row>
    <row r="47" spans="1:13" s="66" customFormat="1" ht="16.5" customHeight="1" x14ac:dyDescent="0.2">
      <c r="A47" s="1008"/>
      <c r="B47" s="999" t="s">
        <v>529</v>
      </c>
      <c r="C47" s="844" t="s">
        <v>1381</v>
      </c>
      <c r="D47" s="668" t="s">
        <v>471</v>
      </c>
      <c r="E47" s="668">
        <v>975</v>
      </c>
      <c r="F47" s="668">
        <v>264</v>
      </c>
      <c r="G47" s="669">
        <f t="shared" si="9"/>
        <v>1239</v>
      </c>
      <c r="H47" s="409">
        <f>G47</f>
        <v>1239</v>
      </c>
      <c r="I47" s="955"/>
      <c r="J47" s="513"/>
      <c r="L47" s="1395"/>
    </row>
    <row r="48" spans="1:13" s="66" customFormat="1" ht="7.5" customHeight="1" thickBot="1" x14ac:dyDescent="0.25">
      <c r="A48" s="1008"/>
      <c r="B48" s="999"/>
      <c r="C48" s="844"/>
      <c r="D48" s="668"/>
      <c r="E48" s="668"/>
      <c r="F48" s="668"/>
      <c r="G48" s="669"/>
      <c r="H48" s="409"/>
      <c r="I48" s="955"/>
      <c r="J48" s="513"/>
      <c r="L48" s="1395"/>
    </row>
    <row r="49" spans="1:12" ht="13.9" customHeight="1" thickBot="1" x14ac:dyDescent="0.25">
      <c r="A49" s="1007"/>
      <c r="B49" s="1000"/>
      <c r="C49" s="58" t="s">
        <v>486</v>
      </c>
      <c r="D49" s="67"/>
      <c r="E49" s="681">
        <f>SUM(E25:E47)</f>
        <v>2010886</v>
      </c>
      <c r="F49" s="681">
        <f>SUM(F25:F47)</f>
        <v>518714</v>
      </c>
      <c r="G49" s="681">
        <f>SUM(G25:G47)</f>
        <v>2529600</v>
      </c>
      <c r="H49" s="681">
        <f>SUM(H25:H47)</f>
        <v>2477657</v>
      </c>
      <c r="I49" s="1386">
        <f t="shared" ref="I49" si="11">SUM(I25:I43)</f>
        <v>51943</v>
      </c>
      <c r="J49" s="512"/>
      <c r="L49" s="1396"/>
    </row>
    <row r="50" spans="1:12" s="66" customFormat="1" ht="13.9" customHeight="1" x14ac:dyDescent="0.2">
      <c r="A50" s="1008"/>
      <c r="B50" s="994"/>
      <c r="C50" s="57"/>
      <c r="D50" s="62"/>
      <c r="E50" s="55"/>
      <c r="F50" s="55"/>
      <c r="G50" s="56"/>
      <c r="H50" s="50"/>
      <c r="I50" s="1387"/>
      <c r="J50" s="513"/>
      <c r="L50" s="1395"/>
    </row>
    <row r="51" spans="1:12" s="66" customFormat="1" ht="13.9" customHeight="1" x14ac:dyDescent="0.2">
      <c r="A51" s="1008"/>
      <c r="B51" s="992"/>
      <c r="C51" s="57"/>
      <c r="D51" s="62"/>
      <c r="E51" s="55"/>
      <c r="F51" s="55"/>
      <c r="G51" s="56"/>
      <c r="H51" s="50"/>
      <c r="I51" s="951"/>
      <c r="J51" s="513"/>
      <c r="L51" s="1395"/>
    </row>
    <row r="52" spans="1:12" s="70" customFormat="1" ht="15.75" customHeight="1" x14ac:dyDescent="0.15">
      <c r="A52" s="1010"/>
      <c r="B52" s="995" t="s">
        <v>487</v>
      </c>
      <c r="C52" s="68" t="s">
        <v>488</v>
      </c>
      <c r="D52" s="69"/>
      <c r="E52" s="56"/>
      <c r="F52" s="56"/>
      <c r="G52" s="56"/>
      <c r="H52" s="79"/>
      <c r="I52" s="1388"/>
      <c r="J52" s="514"/>
      <c r="L52" s="1398"/>
    </row>
    <row r="53" spans="1:12" s="70" customFormat="1" ht="15.75" customHeight="1" x14ac:dyDescent="0.15">
      <c r="A53" s="1010"/>
      <c r="B53" s="999" t="s">
        <v>470</v>
      </c>
      <c r="C53" s="57" t="s">
        <v>1191</v>
      </c>
      <c r="D53" s="407" t="s">
        <v>299</v>
      </c>
      <c r="E53" s="791">
        <v>6000</v>
      </c>
      <c r="F53" s="791">
        <v>1620</v>
      </c>
      <c r="G53" s="792">
        <f>E53+F53</f>
        <v>7620</v>
      </c>
      <c r="H53" s="793">
        <v>7620</v>
      </c>
      <c r="I53" s="1389"/>
      <c r="J53" s="514"/>
      <c r="L53" s="1398"/>
    </row>
    <row r="54" spans="1:12" s="70" customFormat="1" ht="15.75" customHeight="1" x14ac:dyDescent="0.2">
      <c r="A54" s="1010"/>
      <c r="B54" s="999" t="s">
        <v>478</v>
      </c>
      <c r="C54" s="71" t="s">
        <v>167</v>
      </c>
      <c r="D54" s="407" t="s">
        <v>299</v>
      </c>
      <c r="E54" s="408">
        <v>1000</v>
      </c>
      <c r="F54" s="408">
        <v>270</v>
      </c>
      <c r="G54" s="410">
        <f>SUM(E54:F54)</f>
        <v>1270</v>
      </c>
      <c r="H54" s="794"/>
      <c r="I54" s="952">
        <v>1270</v>
      </c>
      <c r="J54" s="514"/>
      <c r="L54" s="1398"/>
    </row>
    <row r="55" spans="1:12" s="70" customFormat="1" ht="31.5" customHeight="1" x14ac:dyDescent="0.15">
      <c r="A55" s="1010"/>
      <c r="B55" s="999" t="s">
        <v>479</v>
      </c>
      <c r="C55" s="628" t="s">
        <v>1013</v>
      </c>
      <c r="D55" s="407" t="s">
        <v>1192</v>
      </c>
      <c r="E55" s="408">
        <v>12598</v>
      </c>
      <c r="F55" s="408">
        <v>3402</v>
      </c>
      <c r="G55" s="410">
        <f t="shared" ref="G55:G57" si="12">E55+F55</f>
        <v>16000</v>
      </c>
      <c r="H55" s="794"/>
      <c r="I55" s="952">
        <f>G55</f>
        <v>16000</v>
      </c>
      <c r="J55" s="514"/>
    </row>
    <row r="56" spans="1:12" s="70" customFormat="1" ht="16.5" customHeight="1" x14ac:dyDescent="0.15">
      <c r="A56" s="1010"/>
      <c r="B56" s="999" t="s">
        <v>480</v>
      </c>
      <c r="C56" s="844" t="s">
        <v>1384</v>
      </c>
      <c r="D56" s="407" t="s">
        <v>1192</v>
      </c>
      <c r="E56" s="408">
        <v>40267</v>
      </c>
      <c r="F56" s="408">
        <v>10872</v>
      </c>
      <c r="G56" s="410">
        <f t="shared" si="12"/>
        <v>51139</v>
      </c>
      <c r="H56" s="1693">
        <f>G56</f>
        <v>51139</v>
      </c>
      <c r="I56" s="952"/>
      <c r="J56" s="514"/>
    </row>
    <row r="57" spans="1:12" s="70" customFormat="1" ht="26.25" customHeight="1" x14ac:dyDescent="0.15">
      <c r="A57" s="1010"/>
      <c r="B57" s="999" t="s">
        <v>481</v>
      </c>
      <c r="C57" s="801" t="s">
        <v>1382</v>
      </c>
      <c r="D57" s="407" t="s">
        <v>1192</v>
      </c>
      <c r="E57" s="408">
        <v>2526</v>
      </c>
      <c r="F57" s="408">
        <v>683</v>
      </c>
      <c r="G57" s="410">
        <f t="shared" si="12"/>
        <v>3209</v>
      </c>
      <c r="H57" s="1693">
        <f>G57</f>
        <v>3209</v>
      </c>
      <c r="I57" s="952"/>
      <c r="J57" s="514"/>
    </row>
    <row r="58" spans="1:12" s="70" customFormat="1" ht="9.75" customHeight="1" thickBot="1" x14ac:dyDescent="0.2">
      <c r="A58" s="1010"/>
      <c r="B58" s="999"/>
      <c r="C58" s="628"/>
      <c r="D58" s="407"/>
      <c r="E58" s="408"/>
      <c r="F58" s="408"/>
      <c r="G58" s="410"/>
      <c r="H58" s="794"/>
      <c r="I58" s="952"/>
      <c r="J58" s="514"/>
    </row>
    <row r="59" spans="1:12" s="70" customFormat="1" ht="12" customHeight="1" thickBot="1" x14ac:dyDescent="0.2">
      <c r="A59" s="1010"/>
      <c r="B59" s="1009"/>
      <c r="C59" s="58" t="s">
        <v>490</v>
      </c>
      <c r="D59" s="67"/>
      <c r="E59" s="59">
        <f>SUM(E53:E57)</f>
        <v>62391</v>
      </c>
      <c r="F59" s="59">
        <f t="shared" ref="F59:I59" si="13">SUM(F53:F57)</f>
        <v>16847</v>
      </c>
      <c r="G59" s="59">
        <f t="shared" si="13"/>
        <v>79238</v>
      </c>
      <c r="H59" s="59">
        <f t="shared" si="13"/>
        <v>61968</v>
      </c>
      <c r="I59" s="59">
        <f t="shared" si="13"/>
        <v>17270</v>
      </c>
      <c r="J59" s="942"/>
    </row>
    <row r="60" spans="1:12" s="70" customFormat="1" ht="12" customHeight="1" x14ac:dyDescent="0.15">
      <c r="A60" s="1010"/>
      <c r="B60" s="995"/>
      <c r="C60" s="68"/>
      <c r="D60" s="69"/>
      <c r="E60" s="56"/>
      <c r="F60" s="56"/>
      <c r="G60" s="56"/>
      <c r="H60" s="56"/>
      <c r="I60" s="1387"/>
      <c r="J60" s="514"/>
    </row>
    <row r="61" spans="1:12" s="70" customFormat="1" ht="12" customHeight="1" x14ac:dyDescent="0.15">
      <c r="A61" s="1010"/>
      <c r="B61" s="995"/>
      <c r="C61" s="68"/>
      <c r="D61" s="69"/>
      <c r="E61" s="56"/>
      <c r="F61" s="56"/>
      <c r="G61" s="56"/>
      <c r="H61" s="79"/>
      <c r="I61" s="1388"/>
      <c r="J61" s="514"/>
    </row>
    <row r="62" spans="1:12" s="48" customFormat="1" ht="15" customHeight="1" x14ac:dyDescent="0.2">
      <c r="A62" s="1005"/>
      <c r="B62" s="995" t="s">
        <v>491</v>
      </c>
      <c r="C62" s="54" t="s">
        <v>492</v>
      </c>
      <c r="D62" s="56"/>
      <c r="E62" s="56"/>
      <c r="F62" s="56"/>
      <c r="G62" s="56"/>
      <c r="H62" s="51"/>
      <c r="I62" s="1391"/>
      <c r="J62" s="515"/>
    </row>
    <row r="63" spans="1:12" s="48" customFormat="1" ht="15" customHeight="1" x14ac:dyDescent="0.2">
      <c r="A63" s="1005"/>
      <c r="B63" s="992" t="s">
        <v>470</v>
      </c>
      <c r="C63" s="74" t="s">
        <v>1197</v>
      </c>
      <c r="D63" s="407" t="s">
        <v>299</v>
      </c>
      <c r="E63" s="55">
        <v>6693</v>
      </c>
      <c r="F63" s="55">
        <v>1807</v>
      </c>
      <c r="G63" s="55">
        <f>E63+F63</f>
        <v>8500</v>
      </c>
      <c r="H63" s="51"/>
      <c r="I63" s="1391">
        <f>G63</f>
        <v>8500</v>
      </c>
      <c r="J63" s="515"/>
    </row>
    <row r="64" spans="1:12" s="48" customFormat="1" ht="15" customHeight="1" thickBot="1" x14ac:dyDescent="0.25">
      <c r="A64" s="1005"/>
      <c r="B64" s="995"/>
      <c r="C64" s="74"/>
      <c r="D64" s="62"/>
      <c r="E64" s="55"/>
      <c r="F64" s="55"/>
      <c r="G64" s="56"/>
      <c r="H64" s="51"/>
      <c r="I64" s="1391"/>
      <c r="J64" s="515"/>
    </row>
    <row r="65" spans="1:16" s="48" customFormat="1" ht="13.5" customHeight="1" thickBot="1" x14ac:dyDescent="0.25">
      <c r="A65" s="1005"/>
      <c r="B65" s="1009"/>
      <c r="C65" s="73" t="s">
        <v>493</v>
      </c>
      <c r="D65" s="59"/>
      <c r="E65" s="59">
        <f>E63</f>
        <v>6693</v>
      </c>
      <c r="F65" s="59">
        <f t="shared" ref="F65:I65" si="14">F63</f>
        <v>1807</v>
      </c>
      <c r="G65" s="59">
        <f t="shared" si="14"/>
        <v>8500</v>
      </c>
      <c r="H65" s="59">
        <f t="shared" si="14"/>
        <v>0</v>
      </c>
      <c r="I65" s="1390">
        <f t="shared" si="14"/>
        <v>8500</v>
      </c>
      <c r="J65" s="515"/>
    </row>
    <row r="66" spans="1:16" s="48" customFormat="1" ht="13.5" customHeight="1" x14ac:dyDescent="0.2">
      <c r="A66" s="1005"/>
      <c r="B66" s="995"/>
      <c r="C66" s="54"/>
      <c r="D66" s="56"/>
      <c r="E66" s="56"/>
      <c r="F66" s="56"/>
      <c r="G66" s="56"/>
      <c r="H66" s="56"/>
      <c r="I66" s="1387"/>
      <c r="J66" s="515"/>
    </row>
    <row r="67" spans="1:16" s="48" customFormat="1" ht="13.5" customHeight="1" x14ac:dyDescent="0.2">
      <c r="A67" s="1005"/>
      <c r="B67" s="995" t="s">
        <v>88</v>
      </c>
      <c r="C67" s="54" t="s">
        <v>168</v>
      </c>
      <c r="D67" s="56"/>
      <c r="E67" s="527"/>
      <c r="F67" s="527"/>
      <c r="G67" s="55"/>
      <c r="H67" s="92"/>
      <c r="I67" s="951"/>
      <c r="J67" s="527"/>
    </row>
    <row r="68" spans="1:16" s="48" customFormat="1" ht="33.75" customHeight="1" x14ac:dyDescent="0.2">
      <c r="A68" s="1005"/>
      <c r="B68" s="992" t="s">
        <v>489</v>
      </c>
      <c r="C68" s="74" t="s">
        <v>1293</v>
      </c>
      <c r="D68" s="408" t="s">
        <v>299</v>
      </c>
      <c r="E68" s="408">
        <v>6000</v>
      </c>
      <c r="F68" s="408">
        <v>1620</v>
      </c>
      <c r="G68" s="410">
        <f>SUM(E68:F68)</f>
        <v>7620</v>
      </c>
      <c r="H68" s="668">
        <v>2921</v>
      </c>
      <c r="I68" s="952">
        <f>G68-H68</f>
        <v>4699</v>
      </c>
      <c r="J68" s="527"/>
    </row>
    <row r="69" spans="1:16" s="48" customFormat="1" ht="25.5" customHeight="1" x14ac:dyDescent="0.2">
      <c r="A69" s="1005"/>
      <c r="B69" s="992" t="s">
        <v>653</v>
      </c>
      <c r="C69" s="948" t="s">
        <v>1194</v>
      </c>
      <c r="D69" s="407" t="s">
        <v>299</v>
      </c>
      <c r="E69" s="408">
        <v>114613</v>
      </c>
      <c r="F69" s="408">
        <v>30946</v>
      </c>
      <c r="G69" s="410">
        <f>SUM(E69:F69)</f>
        <v>145559</v>
      </c>
      <c r="H69" s="668"/>
      <c r="I69" s="952">
        <f>G69</f>
        <v>145559</v>
      </c>
      <c r="J69" s="527"/>
    </row>
    <row r="70" spans="1:16" s="48" customFormat="1" ht="25.5" customHeight="1" x14ac:dyDescent="0.2">
      <c r="A70" s="1005"/>
      <c r="B70" s="992" t="s">
        <v>1383</v>
      </c>
      <c r="C70" s="844" t="s">
        <v>1384</v>
      </c>
      <c r="D70" s="407" t="s">
        <v>1192</v>
      </c>
      <c r="E70" s="408">
        <v>1150</v>
      </c>
      <c r="F70" s="408">
        <v>311</v>
      </c>
      <c r="G70" s="410">
        <f>SUM(E70:F70)</f>
        <v>1461</v>
      </c>
      <c r="H70" s="668">
        <f>G70</f>
        <v>1461</v>
      </c>
      <c r="I70" s="952"/>
      <c r="J70" s="527"/>
    </row>
    <row r="71" spans="1:16" s="48" customFormat="1" ht="7.5" customHeight="1" thickBot="1" x14ac:dyDescent="0.25">
      <c r="A71" s="1005"/>
      <c r="B71" s="1001"/>
      <c r="C71" s="413"/>
      <c r="D71" s="949"/>
      <c r="E71" s="760"/>
      <c r="F71" s="760"/>
      <c r="G71" s="761"/>
      <c r="H71" s="950"/>
      <c r="I71" s="953"/>
      <c r="J71" s="947"/>
      <c r="L71" s="527"/>
      <c r="M71" s="527"/>
    </row>
    <row r="72" spans="1:16" s="48" customFormat="1" ht="12.75" customHeight="1" thickBot="1" x14ac:dyDescent="0.25">
      <c r="A72" s="1005"/>
      <c r="B72" s="1001"/>
      <c r="C72" s="412" t="s">
        <v>169</v>
      </c>
      <c r="D72" s="415"/>
      <c r="E72" s="415">
        <f>SUM(E68:E71)</f>
        <v>121763</v>
      </c>
      <c r="F72" s="415">
        <f>SUM(F68:F71)</f>
        <v>32877</v>
      </c>
      <c r="G72" s="415">
        <f>SUM(G68:G71)</f>
        <v>154640</v>
      </c>
      <c r="H72" s="415">
        <f>SUM(H68:H71)</f>
        <v>4382</v>
      </c>
      <c r="I72" s="415">
        <f>SUM(I68:I71)</f>
        <v>150258</v>
      </c>
      <c r="J72" s="943"/>
      <c r="L72" s="1397"/>
      <c r="M72" s="1397"/>
      <c r="O72" s="941"/>
      <c r="P72" s="941"/>
    </row>
    <row r="73" spans="1:16" s="48" customFormat="1" ht="12.75" customHeight="1" x14ac:dyDescent="0.2">
      <c r="A73" s="1005"/>
      <c r="B73" s="992"/>
      <c r="C73" s="54"/>
      <c r="D73" s="56"/>
      <c r="E73" s="56"/>
      <c r="F73" s="56"/>
      <c r="G73" s="56"/>
      <c r="H73" s="51"/>
      <c r="I73" s="92"/>
      <c r="J73" s="943"/>
      <c r="L73" s="527"/>
      <c r="M73" s="527"/>
      <c r="O73" s="941"/>
    </row>
    <row r="74" spans="1:16" s="48" customFormat="1" ht="24" customHeight="1" x14ac:dyDescent="0.2">
      <c r="A74" s="1005"/>
      <c r="B74" s="995" t="s">
        <v>89</v>
      </c>
      <c r="C74" s="54" t="s">
        <v>72</v>
      </c>
      <c r="D74" s="56"/>
      <c r="E74" s="56"/>
      <c r="F74" s="56"/>
      <c r="G74" s="56"/>
      <c r="H74" s="51"/>
      <c r="I74" s="92"/>
      <c r="J74" s="515"/>
      <c r="L74" s="527"/>
      <c r="M74" s="527"/>
    </row>
    <row r="75" spans="1:16" s="48" customFormat="1" ht="24" customHeight="1" x14ac:dyDescent="0.2">
      <c r="A75" s="1005"/>
      <c r="B75" s="995"/>
      <c r="C75" s="54"/>
      <c r="D75" s="56"/>
      <c r="E75" s="56"/>
      <c r="F75" s="56"/>
      <c r="G75" s="56"/>
      <c r="H75" s="51"/>
      <c r="I75" s="92"/>
      <c r="J75" s="515"/>
      <c r="L75" s="527"/>
      <c r="M75" s="527"/>
    </row>
    <row r="76" spans="1:16" s="48" customFormat="1" ht="8.25" customHeight="1" thickBot="1" x14ac:dyDescent="0.25">
      <c r="A76" s="1005"/>
      <c r="B76" s="992"/>
      <c r="C76" s="74"/>
      <c r="D76" s="407"/>
      <c r="E76" s="408"/>
      <c r="F76" s="408"/>
      <c r="G76" s="410"/>
      <c r="H76" s="409"/>
      <c r="I76" s="668"/>
      <c r="J76" s="515"/>
      <c r="L76" s="527"/>
      <c r="M76" s="527"/>
    </row>
    <row r="77" spans="1:16" s="48" customFormat="1" ht="22.5" customHeight="1" thickBot="1" x14ac:dyDescent="0.25">
      <c r="A77" s="1005"/>
      <c r="B77" s="1002"/>
      <c r="C77" s="414" t="s">
        <v>494</v>
      </c>
      <c r="D77" s="417"/>
      <c r="E77" s="59">
        <f>E75</f>
        <v>0</v>
      </c>
      <c r="F77" s="59">
        <f t="shared" ref="F77:I77" si="15">F75</f>
        <v>0</v>
      </c>
      <c r="G77" s="59">
        <f t="shared" si="15"/>
        <v>0</v>
      </c>
      <c r="H77" s="59">
        <f t="shared" si="15"/>
        <v>0</v>
      </c>
      <c r="I77" s="59">
        <f t="shared" si="15"/>
        <v>0</v>
      </c>
      <c r="J77" s="515"/>
      <c r="L77" s="527"/>
      <c r="M77" s="527"/>
    </row>
    <row r="78" spans="1:16" s="48" customFormat="1" ht="12.75" customHeight="1" x14ac:dyDescent="0.2">
      <c r="A78" s="1005"/>
      <c r="B78" s="992"/>
      <c r="C78" s="75"/>
      <c r="D78" s="55"/>
      <c r="E78" s="56"/>
      <c r="F78" s="56"/>
      <c r="G78" s="56"/>
      <c r="H78" s="51"/>
      <c r="I78" s="92"/>
      <c r="J78" s="515"/>
      <c r="L78" s="527"/>
      <c r="M78" s="527"/>
    </row>
    <row r="79" spans="1:16" s="48" customFormat="1" ht="12" customHeight="1" x14ac:dyDescent="0.2">
      <c r="A79" s="1005"/>
      <c r="B79" s="992"/>
      <c r="C79" s="74"/>
      <c r="D79" s="55"/>
      <c r="E79" s="55"/>
      <c r="F79" s="55"/>
      <c r="G79" s="56"/>
      <c r="H79" s="51"/>
      <c r="I79" s="92"/>
      <c r="J79" s="515"/>
      <c r="L79" s="527"/>
      <c r="M79" s="527"/>
    </row>
    <row r="80" spans="1:16" s="48" customFormat="1" ht="12.75" customHeight="1" x14ac:dyDescent="0.2">
      <c r="A80" s="1005"/>
      <c r="B80" s="995" t="s">
        <v>90</v>
      </c>
      <c r="C80" s="54" t="s">
        <v>294</v>
      </c>
      <c r="D80" s="55"/>
      <c r="E80" s="55"/>
      <c r="F80" s="55"/>
      <c r="G80" s="56"/>
      <c r="H80" s="51"/>
      <c r="I80" s="92"/>
      <c r="J80" s="515"/>
      <c r="L80" s="527"/>
      <c r="M80" s="527"/>
    </row>
    <row r="81" spans="1:14" s="76" customFormat="1" ht="13.5" customHeight="1" x14ac:dyDescent="0.2">
      <c r="A81" s="1011"/>
      <c r="B81" s="992" t="s">
        <v>470</v>
      </c>
      <c r="C81" s="74" t="s">
        <v>73</v>
      </c>
      <c r="D81" s="55"/>
      <c r="E81" s="936">
        <v>11794</v>
      </c>
      <c r="F81" s="936"/>
      <c r="G81" s="937">
        <f>SUM(E81:F81)</f>
        <v>11794</v>
      </c>
      <c r="H81" s="1071">
        <f>G81</f>
        <v>11794</v>
      </c>
      <c r="I81" s="627"/>
      <c r="J81" s="1057"/>
      <c r="L81" s="856"/>
      <c r="M81" s="856"/>
    </row>
    <row r="82" spans="1:14" s="76" customFormat="1" ht="13.5" customHeight="1" x14ac:dyDescent="0.2">
      <c r="A82" s="1011"/>
      <c r="B82" s="992" t="s">
        <v>478</v>
      </c>
      <c r="C82" s="74" t="s">
        <v>1132</v>
      </c>
      <c r="D82" s="55"/>
      <c r="E82" s="936">
        <v>3000</v>
      </c>
      <c r="F82" s="936"/>
      <c r="G82" s="937">
        <f>E82+F82</f>
        <v>3000</v>
      </c>
      <c r="H82" s="1071">
        <f>G82</f>
        <v>3000</v>
      </c>
      <c r="I82" s="627"/>
      <c r="J82" s="1057"/>
      <c r="L82" s="856"/>
      <c r="M82" s="856"/>
    </row>
    <row r="83" spans="1:14" s="76" customFormat="1" ht="24.75" customHeight="1" x14ac:dyDescent="0.2">
      <c r="A83" s="1011"/>
      <c r="B83" s="992" t="s">
        <v>479</v>
      </c>
      <c r="C83" s="680" t="s">
        <v>1186</v>
      </c>
      <c r="D83" s="668"/>
      <c r="E83" s="668">
        <v>16000</v>
      </c>
      <c r="F83" s="668"/>
      <c r="G83" s="937">
        <f>E83+F83</f>
        <v>16000</v>
      </c>
      <c r="H83" s="409"/>
      <c r="I83" s="668">
        <f>G83</f>
        <v>16000</v>
      </c>
      <c r="J83" s="516"/>
      <c r="L83" s="856"/>
      <c r="M83" s="856"/>
    </row>
    <row r="84" spans="1:14" s="76" customFormat="1" ht="12" customHeight="1" thickBot="1" x14ac:dyDescent="0.25">
      <c r="A84" s="1011"/>
      <c r="B84" s="992" t="s">
        <v>480</v>
      </c>
      <c r="C84" s="680" t="s">
        <v>1331</v>
      </c>
      <c r="D84" s="668"/>
      <c r="E84" s="668">
        <v>13887</v>
      </c>
      <c r="F84" s="668"/>
      <c r="G84" s="669">
        <v>13887</v>
      </c>
      <c r="H84" s="409">
        <v>13887</v>
      </c>
      <c r="I84" s="668"/>
      <c r="J84" s="516"/>
      <c r="L84" s="856"/>
      <c r="M84" s="856"/>
    </row>
    <row r="85" spans="1:14" s="48" customFormat="1" ht="13.5" customHeight="1" thickBot="1" x14ac:dyDescent="0.25">
      <c r="A85" s="1005"/>
      <c r="B85" s="1002"/>
      <c r="C85" s="73" t="s">
        <v>495</v>
      </c>
      <c r="D85" s="59"/>
      <c r="E85" s="59">
        <f>SUM(E81:E84)</f>
        <v>44681</v>
      </c>
      <c r="F85" s="59">
        <f>SUM(F81:F84)</f>
        <v>0</v>
      </c>
      <c r="G85" s="59">
        <f>SUM(G81:G84)</f>
        <v>44681</v>
      </c>
      <c r="H85" s="59">
        <f>SUM(H81:H84)</f>
        <v>28681</v>
      </c>
      <c r="I85" s="59">
        <f>SUM(I81:I84)</f>
        <v>16000</v>
      </c>
      <c r="J85" s="515"/>
      <c r="L85" s="527"/>
      <c r="M85" s="527"/>
    </row>
    <row r="86" spans="1:14" s="48" customFormat="1" ht="12.75" customHeight="1" x14ac:dyDescent="0.2">
      <c r="A86" s="1005"/>
      <c r="B86" s="992"/>
      <c r="C86" s="54"/>
      <c r="D86" s="55"/>
      <c r="E86" s="55"/>
      <c r="F86" s="55"/>
      <c r="G86" s="56"/>
      <c r="H86" s="51"/>
      <c r="I86" s="92"/>
      <c r="J86" s="515"/>
      <c r="L86" s="527"/>
      <c r="M86" s="527"/>
    </row>
    <row r="87" spans="1:14" ht="12.75" customHeight="1" x14ac:dyDescent="0.2">
      <c r="A87" s="1007"/>
      <c r="B87" s="995" t="s">
        <v>497</v>
      </c>
      <c r="C87" s="54" t="s">
        <v>983</v>
      </c>
      <c r="D87" s="55"/>
      <c r="E87" s="55"/>
      <c r="F87" s="55"/>
      <c r="G87" s="56"/>
      <c r="I87" s="528"/>
      <c r="J87" s="512"/>
      <c r="L87" s="1396"/>
      <c r="M87" s="1396"/>
    </row>
    <row r="88" spans="1:14" s="76" customFormat="1" ht="15" customHeight="1" x14ac:dyDescent="0.2">
      <c r="A88" s="1011"/>
      <c r="B88" s="992" t="s">
        <v>470</v>
      </c>
      <c r="C88" s="74" t="s">
        <v>1056</v>
      </c>
      <c r="D88" s="408"/>
      <c r="E88" s="408">
        <v>5000</v>
      </c>
      <c r="F88" s="408"/>
      <c r="G88" s="410">
        <f>E88</f>
        <v>5000</v>
      </c>
      <c r="H88" s="903"/>
      <c r="I88" s="408">
        <f>G88</f>
        <v>5000</v>
      </c>
      <c r="J88" s="516"/>
      <c r="L88" s="856"/>
      <c r="M88" s="856"/>
      <c r="N88" s="856"/>
    </row>
    <row r="89" spans="1:14" s="76" customFormat="1" ht="12" customHeight="1" thickBot="1" x14ac:dyDescent="0.25">
      <c r="A89" s="1011"/>
      <c r="B89" s="992"/>
      <c r="C89" s="74"/>
      <c r="D89" s="55"/>
      <c r="E89" s="55"/>
      <c r="F89" s="55"/>
      <c r="G89" s="56"/>
      <c r="H89" s="110"/>
      <c r="I89" s="55"/>
      <c r="J89" s="516"/>
      <c r="L89" s="856"/>
      <c r="M89" s="856"/>
    </row>
    <row r="90" spans="1:14" s="48" customFormat="1" ht="21.75" customHeight="1" thickBot="1" x14ac:dyDescent="0.25">
      <c r="A90" s="1005"/>
      <c r="B90" s="1002"/>
      <c r="C90" s="73" t="s">
        <v>496</v>
      </c>
      <c r="D90" s="433"/>
      <c r="E90" s="433">
        <f>SUM(E88:E88)</f>
        <v>5000</v>
      </c>
      <c r="F90" s="433">
        <f>SUM(F88:F88)</f>
        <v>0</v>
      </c>
      <c r="G90" s="433">
        <f>SUM(G88:G88)</f>
        <v>5000</v>
      </c>
      <c r="H90" s="433">
        <f>SUM(H88:H88)</f>
        <v>0</v>
      </c>
      <c r="I90" s="433">
        <f>SUM(I88:I88)</f>
        <v>5000</v>
      </c>
      <c r="J90" s="515"/>
      <c r="L90" s="527"/>
      <c r="M90" s="527"/>
    </row>
    <row r="91" spans="1:14" s="48" customFormat="1" ht="13.5" customHeight="1" x14ac:dyDescent="0.2">
      <c r="A91" s="1005"/>
      <c r="B91" s="992"/>
      <c r="C91" s="54"/>
      <c r="D91" s="56"/>
      <c r="E91" s="56"/>
      <c r="F91" s="56"/>
      <c r="G91" s="56"/>
      <c r="H91" s="56"/>
      <c r="I91" s="56"/>
      <c r="J91" s="515"/>
      <c r="L91" s="527"/>
      <c r="M91" s="527"/>
    </row>
    <row r="92" spans="1:14" s="48" customFormat="1" ht="13.5" customHeight="1" thickBot="1" x14ac:dyDescent="0.25">
      <c r="A92" s="1005"/>
      <c r="B92" s="1001"/>
      <c r="C92" s="412"/>
      <c r="D92" s="415"/>
      <c r="E92" s="415"/>
      <c r="F92" s="415"/>
      <c r="G92" s="415"/>
      <c r="H92" s="416"/>
      <c r="I92" s="416"/>
      <c r="J92" s="515"/>
      <c r="L92" s="527"/>
      <c r="M92" s="527"/>
    </row>
    <row r="93" spans="1:14" s="48" customFormat="1" ht="13.5" customHeight="1" thickBot="1" x14ac:dyDescent="0.25">
      <c r="A93" s="1005"/>
      <c r="B93" s="1002"/>
      <c r="C93" s="411" t="s">
        <v>170</v>
      </c>
      <c r="D93" s="111"/>
      <c r="E93" s="111">
        <f>E15+E22+E49+E59+E65+E72+E77+E85+E90</f>
        <v>2275858</v>
      </c>
      <c r="F93" s="111">
        <f>F15+F22+F49+F59+F65+F72+F77+F85+F90</f>
        <v>576844</v>
      </c>
      <c r="G93" s="111">
        <f>G15+G22+G49+G59+G65+G72+G77+G85+G90</f>
        <v>2852702</v>
      </c>
      <c r="H93" s="111">
        <f>H15+H22+H49+H59+H65+H72+H77+H85+H90</f>
        <v>2584681</v>
      </c>
      <c r="I93" s="671">
        <f>I15+I22+I49+I59+I65+I72+I77+I85+I90</f>
        <v>268021</v>
      </c>
      <c r="J93" s="527"/>
      <c r="L93" s="527"/>
      <c r="M93" s="527"/>
    </row>
    <row r="94" spans="1:14" s="48" customFormat="1" ht="13.5" customHeight="1" x14ac:dyDescent="0.2">
      <c r="A94" s="1005"/>
      <c r="B94" s="992"/>
      <c r="C94" s="54"/>
      <c r="D94" s="56"/>
      <c r="E94" s="56"/>
      <c r="F94" s="56"/>
      <c r="G94" s="56"/>
      <c r="H94" s="92"/>
      <c r="I94" s="92"/>
      <c r="J94" s="515"/>
      <c r="L94" s="527"/>
      <c r="M94" s="527"/>
    </row>
    <row r="95" spans="1:14" s="77" customFormat="1" ht="13.5" customHeight="1" x14ac:dyDescent="0.15">
      <c r="A95" s="1003"/>
      <c r="B95" s="992"/>
      <c r="C95" s="54"/>
      <c r="D95" s="56"/>
      <c r="E95" s="56"/>
      <c r="F95" s="56"/>
      <c r="G95" s="56"/>
      <c r="H95" s="72"/>
      <c r="I95" s="72"/>
      <c r="J95" s="517"/>
      <c r="L95" s="537"/>
      <c r="M95" s="537"/>
    </row>
    <row r="96" spans="1:14" s="77" customFormat="1" ht="15.75" customHeight="1" x14ac:dyDescent="0.15">
      <c r="A96" s="1003"/>
      <c r="B96" s="995" t="s">
        <v>500</v>
      </c>
      <c r="C96" s="54" t="s">
        <v>498</v>
      </c>
      <c r="D96" s="56"/>
      <c r="E96" s="56"/>
      <c r="F96" s="56"/>
      <c r="G96" s="56"/>
      <c r="H96" s="72"/>
      <c r="I96" s="954"/>
      <c r="J96" s="537"/>
      <c r="L96" s="537"/>
      <c r="M96" s="537"/>
    </row>
    <row r="97" spans="1:20" s="759" customFormat="1" ht="21.75" customHeight="1" x14ac:dyDescent="0.2">
      <c r="A97" s="1004"/>
      <c r="B97" s="992" t="s">
        <v>470</v>
      </c>
      <c r="C97" s="74" t="s">
        <v>1135</v>
      </c>
      <c r="D97" s="408" t="s">
        <v>299</v>
      </c>
      <c r="E97" s="668">
        <v>1000</v>
      </c>
      <c r="F97" s="668">
        <v>270</v>
      </c>
      <c r="G97" s="669">
        <f>SUM(E97:F97)</f>
        <v>1270</v>
      </c>
      <c r="H97" s="668"/>
      <c r="I97" s="955">
        <f>G97</f>
        <v>1270</v>
      </c>
      <c r="J97" s="940"/>
      <c r="L97" s="940"/>
    </row>
    <row r="98" spans="1:20" s="77" customFormat="1" ht="21.75" customHeight="1" x14ac:dyDescent="0.15">
      <c r="A98" s="1003"/>
      <c r="B98" s="992" t="s">
        <v>478</v>
      </c>
      <c r="C98" s="74" t="s">
        <v>933</v>
      </c>
      <c r="D98" s="408" t="s">
        <v>299</v>
      </c>
      <c r="E98" s="408">
        <v>1520</v>
      </c>
      <c r="F98" s="408">
        <v>410</v>
      </c>
      <c r="G98" s="410">
        <f>SUM(E98:F98)</f>
        <v>1930</v>
      </c>
      <c r="H98" s="668">
        <f>G98</f>
        <v>1930</v>
      </c>
      <c r="I98" s="956"/>
      <c r="J98" s="537"/>
      <c r="L98" s="537"/>
      <c r="T98" s="537"/>
    </row>
    <row r="99" spans="1:20" s="77" customFormat="1" ht="21.75" customHeight="1" x14ac:dyDescent="0.15">
      <c r="A99" s="1003"/>
      <c r="B99" s="992" t="s">
        <v>479</v>
      </c>
      <c r="C99" s="74" t="s">
        <v>1193</v>
      </c>
      <c r="D99" s="408" t="s">
        <v>299</v>
      </c>
      <c r="E99" s="408">
        <v>6063</v>
      </c>
      <c r="F99" s="408">
        <v>1637</v>
      </c>
      <c r="G99" s="410">
        <f>SUM(E99:F99)</f>
        <v>7700</v>
      </c>
      <c r="H99" s="668"/>
      <c r="I99" s="956">
        <f>G99</f>
        <v>7700</v>
      </c>
      <c r="J99" s="537"/>
      <c r="L99" s="537"/>
      <c r="T99" s="537"/>
    </row>
    <row r="100" spans="1:20" s="77" customFormat="1" ht="12.75" customHeight="1" thickBot="1" x14ac:dyDescent="0.2">
      <c r="A100" s="1003"/>
      <c r="B100" s="1001"/>
      <c r="C100" s="74"/>
      <c r="D100" s="408"/>
      <c r="E100" s="408"/>
      <c r="F100" s="408"/>
      <c r="G100" s="410"/>
      <c r="H100" s="409"/>
      <c r="I100" s="668"/>
      <c r="J100" s="517"/>
      <c r="K100" s="537"/>
      <c r="L100" s="537"/>
      <c r="M100" s="537"/>
    </row>
    <row r="101" spans="1:20" s="77" customFormat="1" ht="21.75" customHeight="1" thickBot="1" x14ac:dyDescent="0.2">
      <c r="A101" s="1003"/>
      <c r="B101" s="1002"/>
      <c r="C101" s="73" t="s">
        <v>499</v>
      </c>
      <c r="D101" s="59"/>
      <c r="E101" s="845">
        <f>SUM(E97:E99)</f>
        <v>8583</v>
      </c>
      <c r="F101" s="845">
        <f t="shared" ref="F101:I101" si="16">SUM(F97:F99)</f>
        <v>2317</v>
      </c>
      <c r="G101" s="845">
        <f t="shared" si="16"/>
        <v>10900</v>
      </c>
      <c r="H101" s="845">
        <f t="shared" si="16"/>
        <v>1930</v>
      </c>
      <c r="I101" s="845">
        <f t="shared" si="16"/>
        <v>8970</v>
      </c>
      <c r="J101" s="517"/>
      <c r="L101" s="537"/>
      <c r="M101" s="537"/>
    </row>
    <row r="102" spans="1:20" s="77" customFormat="1" ht="13.5" customHeight="1" x14ac:dyDescent="0.15">
      <c r="A102" s="1003"/>
      <c r="B102" s="992"/>
      <c r="C102" s="54"/>
      <c r="D102" s="56"/>
      <c r="E102" s="56"/>
      <c r="F102" s="56"/>
      <c r="G102" s="56"/>
      <c r="H102" s="64"/>
      <c r="I102" s="72"/>
      <c r="J102" s="517"/>
      <c r="L102" s="537"/>
      <c r="M102" s="537"/>
    </row>
    <row r="103" spans="1:20" s="77" customFormat="1" ht="13.5" customHeight="1" x14ac:dyDescent="0.15">
      <c r="A103" s="1003"/>
      <c r="B103" s="1109" t="s">
        <v>171</v>
      </c>
      <c r="C103" s="60" t="s">
        <v>75</v>
      </c>
      <c r="D103" s="72"/>
      <c r="E103" s="72"/>
      <c r="F103" s="72"/>
      <c r="G103" s="72"/>
      <c r="H103" s="64"/>
      <c r="I103" s="72"/>
      <c r="J103" s="517"/>
      <c r="L103" s="537"/>
      <c r="M103" s="537"/>
    </row>
    <row r="104" spans="1:20" s="48" customFormat="1" ht="27" customHeight="1" x14ac:dyDescent="0.2">
      <c r="A104" s="1005"/>
      <c r="B104" s="999" t="s">
        <v>470</v>
      </c>
      <c r="C104" s="1110" t="s">
        <v>1221</v>
      </c>
      <c r="D104" s="668" t="s">
        <v>301</v>
      </c>
      <c r="E104" s="668">
        <v>17323</v>
      </c>
      <c r="F104" s="668">
        <v>4677</v>
      </c>
      <c r="G104" s="669">
        <f>E104+F104</f>
        <v>22000</v>
      </c>
      <c r="H104" s="409"/>
      <c r="I104" s="668">
        <f>G104</f>
        <v>22000</v>
      </c>
      <c r="J104" s="515"/>
      <c r="L104" s="527"/>
      <c r="M104" s="527"/>
    </row>
    <row r="105" spans="1:20" s="48" customFormat="1" ht="15.75" customHeight="1" x14ac:dyDescent="0.2">
      <c r="A105" s="1005"/>
      <c r="B105" s="999" t="s">
        <v>478</v>
      </c>
      <c r="C105" s="1110" t="s">
        <v>1385</v>
      </c>
      <c r="D105" s="668" t="s">
        <v>301</v>
      </c>
      <c r="E105" s="668">
        <v>3465</v>
      </c>
      <c r="F105" s="668">
        <v>935</v>
      </c>
      <c r="G105" s="669">
        <f>E105+F105</f>
        <v>4400</v>
      </c>
      <c r="H105" s="409">
        <f>G105</f>
        <v>4400</v>
      </c>
      <c r="I105" s="668"/>
      <c r="J105" s="515"/>
      <c r="L105" s="527"/>
      <c r="M105" s="527"/>
    </row>
    <row r="106" spans="1:20" s="48" customFormat="1" ht="10.5" customHeight="1" thickBot="1" x14ac:dyDescent="0.25">
      <c r="A106" s="1005"/>
      <c r="B106" s="999"/>
      <c r="C106" s="1110"/>
      <c r="D106" s="668"/>
      <c r="E106" s="668"/>
      <c r="F106" s="668"/>
      <c r="G106" s="669"/>
      <c r="H106" s="409"/>
      <c r="I106" s="668"/>
      <c r="J106" s="515"/>
      <c r="L106" s="527"/>
      <c r="M106" s="527"/>
    </row>
    <row r="107" spans="1:20" s="48" customFormat="1" ht="21.75" customHeight="1" thickBot="1" x14ac:dyDescent="0.25">
      <c r="A107" s="1005"/>
      <c r="B107" s="1111"/>
      <c r="C107" s="1112" t="s">
        <v>74</v>
      </c>
      <c r="D107" s="1113"/>
      <c r="E107" s="1113">
        <f>SUM(E104:E105)</f>
        <v>20788</v>
      </c>
      <c r="F107" s="1113">
        <f t="shared" ref="F107:I107" si="17">SUM(F104:F105)</f>
        <v>5612</v>
      </c>
      <c r="G107" s="1113">
        <f t="shared" si="17"/>
        <v>26400</v>
      </c>
      <c r="H107" s="1113">
        <f t="shared" si="17"/>
        <v>4400</v>
      </c>
      <c r="I107" s="1113">
        <f t="shared" si="17"/>
        <v>22000</v>
      </c>
      <c r="J107" s="515"/>
      <c r="L107" s="527"/>
      <c r="M107" s="527"/>
    </row>
    <row r="108" spans="1:20" s="48" customFormat="1" ht="13.5" customHeight="1" x14ac:dyDescent="0.2">
      <c r="A108" s="1005"/>
      <c r="B108" s="1062"/>
      <c r="C108" s="1063"/>
      <c r="D108" s="1065"/>
      <c r="E108" s="1065"/>
      <c r="F108" s="1065"/>
      <c r="G108" s="1065"/>
      <c r="H108" s="1066"/>
      <c r="I108" s="1393"/>
      <c r="J108" s="515"/>
      <c r="L108" s="527"/>
    </row>
    <row r="109" spans="1:20" s="77" customFormat="1" ht="26.25" customHeight="1" x14ac:dyDescent="0.2">
      <c r="A109" s="1003"/>
      <c r="B109" s="999"/>
      <c r="C109" s="60" t="s">
        <v>910</v>
      </c>
      <c r="D109" s="72"/>
      <c r="E109" s="92"/>
      <c r="F109" s="92"/>
      <c r="G109" s="72"/>
      <c r="H109" s="64"/>
      <c r="I109" s="954"/>
      <c r="J109" s="517"/>
      <c r="L109" s="537"/>
    </row>
    <row r="110" spans="1:20" s="77" customFormat="1" ht="21.75" customHeight="1" x14ac:dyDescent="0.15">
      <c r="A110" s="1003"/>
      <c r="B110" s="999" t="s">
        <v>470</v>
      </c>
      <c r="C110" s="1110" t="s">
        <v>1054</v>
      </c>
      <c r="D110" s="668" t="s">
        <v>299</v>
      </c>
      <c r="E110" s="668">
        <v>3937</v>
      </c>
      <c r="F110" s="668">
        <v>1063</v>
      </c>
      <c r="G110" s="669">
        <f>SUM(E110:F110)</f>
        <v>5000</v>
      </c>
      <c r="H110" s="1119"/>
      <c r="I110" s="955">
        <f>G110</f>
        <v>5000</v>
      </c>
      <c r="J110" s="517"/>
    </row>
    <row r="111" spans="1:20" s="77" customFormat="1" ht="12" customHeight="1" thickBot="1" x14ac:dyDescent="0.25">
      <c r="A111" s="1003"/>
      <c r="B111" s="999"/>
      <c r="C111" s="1110"/>
      <c r="D111" s="92"/>
      <c r="E111" s="92"/>
      <c r="F111" s="92"/>
      <c r="G111" s="92"/>
      <c r="H111" s="64"/>
      <c r="I111" s="1391"/>
      <c r="J111" s="517"/>
    </row>
    <row r="112" spans="1:20" s="77" customFormat="1" ht="21.75" customHeight="1" thickBot="1" x14ac:dyDescent="0.2">
      <c r="A112" s="1003"/>
      <c r="B112" s="1118"/>
      <c r="C112" s="1120" t="s">
        <v>909</v>
      </c>
      <c r="D112" s="1121"/>
      <c r="E112" s="1113">
        <f>SUM(E110:E111)</f>
        <v>3937</v>
      </c>
      <c r="F112" s="1113">
        <f>SUM(F110:F111)</f>
        <v>1063</v>
      </c>
      <c r="G112" s="1113">
        <f>SUM(G110:G111)</f>
        <v>5000</v>
      </c>
      <c r="H112" s="1113">
        <f>SUM(H110:H111)</f>
        <v>0</v>
      </c>
      <c r="I112" s="1392">
        <f>SUM(I110:I111)</f>
        <v>5000</v>
      </c>
      <c r="J112" s="517"/>
    </row>
    <row r="113" spans="1:15" s="77" customFormat="1" ht="13.5" customHeight="1" x14ac:dyDescent="0.15">
      <c r="A113" s="1003"/>
      <c r="B113" s="1058"/>
      <c r="C113" s="1059"/>
      <c r="D113" s="1060"/>
      <c r="E113" s="1060"/>
      <c r="F113" s="1060"/>
      <c r="G113" s="1060"/>
      <c r="H113" s="1060"/>
      <c r="I113" s="1394"/>
      <c r="J113" s="517"/>
    </row>
    <row r="114" spans="1:15" s="77" customFormat="1" ht="13.5" customHeight="1" x14ac:dyDescent="0.15">
      <c r="A114" s="1003"/>
      <c r="B114" s="1109"/>
      <c r="C114" s="60" t="s">
        <v>674</v>
      </c>
      <c r="D114" s="72"/>
      <c r="E114" s="72"/>
      <c r="F114" s="72"/>
      <c r="G114" s="72"/>
      <c r="H114" s="72"/>
      <c r="I114" s="954"/>
      <c r="J114" s="517"/>
    </row>
    <row r="115" spans="1:15" s="759" customFormat="1" ht="21.75" customHeight="1" x14ac:dyDescent="0.2">
      <c r="A115" s="1004"/>
      <c r="B115" s="999" t="s">
        <v>470</v>
      </c>
      <c r="C115" s="1110" t="s">
        <v>1054</v>
      </c>
      <c r="D115" s="668" t="s">
        <v>299</v>
      </c>
      <c r="E115" s="668">
        <v>2362</v>
      </c>
      <c r="F115" s="668">
        <v>638</v>
      </c>
      <c r="G115" s="669">
        <f>SUM(E115:F115)</f>
        <v>3000</v>
      </c>
      <c r="H115" s="668">
        <v>0</v>
      </c>
      <c r="I115" s="955">
        <f>G115</f>
        <v>3000</v>
      </c>
      <c r="J115" s="758"/>
    </row>
    <row r="116" spans="1:15" s="759" customFormat="1" ht="12.75" customHeight="1" thickBot="1" x14ac:dyDescent="0.25">
      <c r="A116" s="1004"/>
      <c r="B116" s="999"/>
      <c r="C116" s="1110"/>
      <c r="D116" s="668"/>
      <c r="E116" s="668"/>
      <c r="F116" s="668"/>
      <c r="G116" s="669"/>
      <c r="H116" s="668"/>
      <c r="I116" s="955"/>
      <c r="J116" s="758"/>
    </row>
    <row r="117" spans="1:15" s="77" customFormat="1" ht="21.75" customHeight="1" thickBot="1" x14ac:dyDescent="0.2">
      <c r="A117" s="1003"/>
      <c r="B117" s="1118"/>
      <c r="C117" s="1112" t="s">
        <v>16</v>
      </c>
      <c r="D117" s="1113"/>
      <c r="E117" s="1113">
        <f>SUM(E115:E116)</f>
        <v>2362</v>
      </c>
      <c r="F117" s="1113">
        <f>SUM(F115:F116)</f>
        <v>638</v>
      </c>
      <c r="G117" s="1113">
        <f>SUM(G115:G116)</f>
        <v>3000</v>
      </c>
      <c r="H117" s="1113">
        <f>SUM(H115:H116)</f>
        <v>0</v>
      </c>
      <c r="I117" s="1392">
        <f>SUM(I115:I116)</f>
        <v>3000</v>
      </c>
      <c r="J117" s="517"/>
    </row>
    <row r="118" spans="1:15" s="77" customFormat="1" ht="13.5" customHeight="1" x14ac:dyDescent="0.15">
      <c r="A118" s="1003"/>
      <c r="B118" s="1058"/>
      <c r="C118" s="1059"/>
      <c r="D118" s="1060"/>
      <c r="E118" s="1060"/>
      <c r="F118" s="1060"/>
      <c r="G118" s="1060"/>
      <c r="H118" s="1060"/>
      <c r="I118" s="1060"/>
      <c r="J118" s="517"/>
      <c r="L118" s="537"/>
      <c r="M118" s="537"/>
    </row>
    <row r="119" spans="1:15" s="77" customFormat="1" ht="13.5" customHeight="1" x14ac:dyDescent="0.15">
      <c r="A119" s="1003"/>
      <c r="B119" s="1109"/>
      <c r="C119" s="60" t="s">
        <v>1037</v>
      </c>
      <c r="D119" s="72"/>
      <c r="E119" s="72"/>
      <c r="F119" s="72"/>
      <c r="G119" s="72"/>
      <c r="H119" s="72"/>
      <c r="I119" s="72"/>
      <c r="J119" s="517"/>
      <c r="L119" s="537"/>
      <c r="M119" s="537"/>
    </row>
    <row r="120" spans="1:15" s="759" customFormat="1" ht="21.75" customHeight="1" x14ac:dyDescent="0.2">
      <c r="A120" s="1004"/>
      <c r="B120" s="999" t="s">
        <v>470</v>
      </c>
      <c r="C120" s="1110" t="s">
        <v>1222</v>
      </c>
      <c r="D120" s="668" t="s">
        <v>299</v>
      </c>
      <c r="E120" s="668">
        <v>1575</v>
      </c>
      <c r="F120" s="668">
        <v>425</v>
      </c>
      <c r="G120" s="669">
        <f>E120+F120</f>
        <v>2000</v>
      </c>
      <c r="H120" s="668">
        <f>G120</f>
        <v>2000</v>
      </c>
      <c r="I120" s="1114"/>
      <c r="J120" s="758"/>
      <c r="L120" s="940"/>
      <c r="M120" s="940"/>
    </row>
    <row r="121" spans="1:15" s="759" customFormat="1" ht="12" customHeight="1" thickBot="1" x14ac:dyDescent="0.25">
      <c r="A121" s="1004"/>
      <c r="B121" s="1115"/>
      <c r="C121" s="1116"/>
      <c r="D121" s="950"/>
      <c r="E121" s="950"/>
      <c r="F121" s="950"/>
      <c r="G121" s="1117"/>
      <c r="H121" s="950"/>
      <c r="I121" s="1117"/>
      <c r="J121" s="758"/>
      <c r="L121" s="940"/>
      <c r="M121" s="940"/>
    </row>
    <row r="122" spans="1:15" s="759" customFormat="1" ht="21.75" customHeight="1" thickBot="1" x14ac:dyDescent="0.25">
      <c r="A122" s="1004"/>
      <c r="B122" s="1118"/>
      <c r="C122" s="1112" t="s">
        <v>179</v>
      </c>
      <c r="D122" s="1113"/>
      <c r="E122" s="1113">
        <f>SUM(E120:E120)</f>
        <v>1575</v>
      </c>
      <c r="F122" s="1113">
        <f>SUM(F120:F120)</f>
        <v>425</v>
      </c>
      <c r="G122" s="1113">
        <f>SUM(G120:G120)</f>
        <v>2000</v>
      </c>
      <c r="H122" s="1113">
        <f>SUM(H120:H120)</f>
        <v>2000</v>
      </c>
      <c r="I122" s="1113"/>
      <c r="J122" s="758"/>
      <c r="L122" s="940"/>
      <c r="M122" s="940"/>
    </row>
    <row r="123" spans="1:15" s="77" customFormat="1" ht="13.5" customHeight="1" x14ac:dyDescent="0.2">
      <c r="A123" s="1003"/>
      <c r="B123" s="1062"/>
      <c r="C123" s="1063"/>
      <c r="D123" s="1065"/>
      <c r="E123" s="1065"/>
      <c r="F123" s="1065"/>
      <c r="G123" s="1060"/>
      <c r="H123" s="1061"/>
      <c r="I123" s="1060"/>
      <c r="J123" s="517"/>
      <c r="L123" s="537"/>
      <c r="M123" s="537"/>
      <c r="O123" s="537"/>
    </row>
    <row r="124" spans="1:15" s="77" customFormat="1" ht="13.5" customHeight="1" x14ac:dyDescent="0.15">
      <c r="A124" s="1003"/>
      <c r="B124" s="1109" t="s">
        <v>501</v>
      </c>
      <c r="C124" s="60" t="s">
        <v>502</v>
      </c>
      <c r="D124" s="72"/>
      <c r="E124" s="72"/>
      <c r="F124" s="72"/>
      <c r="G124" s="72"/>
      <c r="H124" s="64"/>
      <c r="I124" s="72"/>
      <c r="J124" s="517"/>
      <c r="L124" s="537"/>
      <c r="M124" s="537"/>
    </row>
    <row r="125" spans="1:15" s="77" customFormat="1" ht="11.25" customHeight="1" thickBot="1" x14ac:dyDescent="0.25">
      <c r="A125" s="1003"/>
      <c r="B125" s="1067"/>
      <c r="C125" s="1110"/>
      <c r="D125" s="92"/>
      <c r="E125" s="92"/>
      <c r="F125" s="92"/>
      <c r="G125" s="72"/>
      <c r="H125" s="51"/>
      <c r="I125" s="92"/>
      <c r="J125" s="517"/>
      <c r="L125" s="537"/>
      <c r="M125" s="537"/>
    </row>
    <row r="126" spans="1:15" s="77" customFormat="1" ht="21.75" customHeight="1" thickBot="1" x14ac:dyDescent="0.25">
      <c r="A126" s="1003"/>
      <c r="B126" s="1064"/>
      <c r="C126" s="1122" t="s">
        <v>503</v>
      </c>
      <c r="D126" s="1123"/>
      <c r="E126" s="681">
        <f>E124</f>
        <v>0</v>
      </c>
      <c r="F126" s="681">
        <f t="shared" ref="F126:H126" si="18">F124</f>
        <v>0</v>
      </c>
      <c r="G126" s="681">
        <f t="shared" si="18"/>
        <v>0</v>
      </c>
      <c r="H126" s="681">
        <f t="shared" si="18"/>
        <v>0</v>
      </c>
      <c r="I126" s="681"/>
      <c r="J126" s="517"/>
      <c r="L126" s="537"/>
      <c r="M126" s="537"/>
    </row>
    <row r="127" spans="1:15" s="48" customFormat="1" ht="13.5" customHeight="1" thickBot="1" x14ac:dyDescent="0.25">
      <c r="A127" s="1005"/>
      <c r="B127" s="1062"/>
      <c r="C127" s="1063"/>
      <c r="D127" s="1065"/>
      <c r="E127" s="1065"/>
      <c r="F127" s="1065"/>
      <c r="G127" s="1060"/>
      <c r="H127" s="1066"/>
      <c r="I127" s="1065"/>
      <c r="J127" s="515"/>
      <c r="L127" s="527"/>
      <c r="M127" s="527"/>
    </row>
    <row r="128" spans="1:15" s="77" customFormat="1" ht="20.25" customHeight="1" thickBot="1" x14ac:dyDescent="0.2">
      <c r="A128" s="1003"/>
      <c r="B128" s="1111"/>
      <c r="C128" s="1122" t="s">
        <v>504</v>
      </c>
      <c r="D128" s="845"/>
      <c r="E128" s="845">
        <f>E15+E22+E49+E59+E65+E72+E77+E85+E90+E101+E107+E112+E117+E126+E122</f>
        <v>2313103</v>
      </c>
      <c r="F128" s="845">
        <f>F15+F22+F49+F59+F65+F72+F77+F85+F90+F101+F107+F112+F117+F126+F122</f>
        <v>586899</v>
      </c>
      <c r="G128" s="845">
        <f>G15+G22+G49+G59+G65+G72+G77+G85+G90+G101+G107+G112+G117+G126+G122</f>
        <v>2900002</v>
      </c>
      <c r="H128" s="845">
        <f>H15+H22+H49+H59+H65+H72+H77+H85+H90+H101+H107+H112+H117+H126+H122</f>
        <v>2593011</v>
      </c>
      <c r="I128" s="845">
        <f>I15+I22+I49+I59+I65+I72+I77+I85+I90+I101+I107+I112+I117+I126+I122</f>
        <v>306991</v>
      </c>
      <c r="J128" s="517"/>
      <c r="L128" s="537"/>
      <c r="M128" s="537"/>
    </row>
    <row r="131" spans="6:7" ht="14.1" customHeight="1" x14ac:dyDescent="0.2">
      <c r="F131" s="78"/>
      <c r="G131" s="79"/>
    </row>
  </sheetData>
  <sheetProtection selectLockedCells="1" selectUnlockedCells="1"/>
  <mergeCells count="14">
    <mergeCell ref="B1:I1"/>
    <mergeCell ref="B2:I2"/>
    <mergeCell ref="H7:I7"/>
    <mergeCell ref="B4:I4"/>
    <mergeCell ref="B5:B9"/>
    <mergeCell ref="C8:C9"/>
    <mergeCell ref="D8:D9"/>
    <mergeCell ref="H8:H9"/>
    <mergeCell ref="I8:I9"/>
    <mergeCell ref="C3:I3"/>
    <mergeCell ref="E7:G7"/>
    <mergeCell ref="F8:F9"/>
    <mergeCell ref="G8:G9"/>
    <mergeCell ref="E8:E9"/>
  </mergeCells>
  <phoneticPr fontId="33" type="noConversion"/>
  <pageMargins left="0" right="0" top="0.39370078740157483" bottom="0.39370078740157483" header="0.51181102362204722" footer="0.51181102362204722"/>
  <pageSetup paperSize="9" scale="96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7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8" customWidth="1"/>
    <col min="4" max="4" width="14" style="38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521" t="s">
        <v>1388</v>
      </c>
      <c r="B2" s="1521"/>
      <c r="C2" s="1521"/>
      <c r="D2" s="1521"/>
      <c r="E2" s="1521"/>
    </row>
    <row r="3" spans="1:5" x14ac:dyDescent="0.25">
      <c r="B3" s="18"/>
      <c r="C3" s="270"/>
    </row>
    <row r="4" spans="1:5" ht="15" customHeight="1" x14ac:dyDescent="0.25">
      <c r="A4" s="1522" t="s">
        <v>77</v>
      </c>
      <c r="B4" s="1522"/>
      <c r="C4" s="1522"/>
      <c r="D4" s="1522"/>
      <c r="E4" s="1522"/>
    </row>
    <row r="5" spans="1:5" ht="15" customHeight="1" x14ac:dyDescent="0.25">
      <c r="A5" s="1523" t="s">
        <v>1195</v>
      </c>
      <c r="B5" s="1523"/>
      <c r="C5" s="1523"/>
      <c r="D5" s="1523"/>
      <c r="E5" s="1523"/>
    </row>
    <row r="6" spans="1:5" ht="15" customHeight="1" x14ac:dyDescent="0.25">
      <c r="A6" s="1523" t="s">
        <v>508</v>
      </c>
      <c r="B6" s="1523"/>
      <c r="C6" s="1523"/>
      <c r="D6" s="1523"/>
      <c r="E6" s="1523"/>
    </row>
    <row r="7" spans="1:5" ht="15" customHeight="1" x14ac:dyDescent="0.25">
      <c r="B7" s="1523"/>
      <c r="C7" s="1523"/>
    </row>
    <row r="8" spans="1:5" s="19" customFormat="1" ht="20.100000000000001" customHeight="1" x14ac:dyDescent="0.25">
      <c r="A8" s="1524" t="s">
        <v>295</v>
      </c>
      <c r="B8" s="1525"/>
      <c r="C8" s="1525"/>
      <c r="D8" s="1525"/>
      <c r="E8" s="1525"/>
    </row>
    <row r="9" spans="1:5" s="19" customFormat="1" ht="20.100000000000001" customHeight="1" x14ac:dyDescent="0.25">
      <c r="A9" s="1528" t="s">
        <v>76</v>
      </c>
      <c r="B9" s="419" t="s">
        <v>57</v>
      </c>
      <c r="C9" s="1527" t="s">
        <v>58</v>
      </c>
      <c r="D9" s="1527"/>
      <c r="E9" s="1527"/>
    </row>
    <row r="10" spans="1:5" ht="46.5" customHeight="1" x14ac:dyDescent="0.25">
      <c r="A10" s="1528"/>
      <c r="B10" s="1520" t="s">
        <v>85</v>
      </c>
      <c r="C10" s="1526" t="s">
        <v>1328</v>
      </c>
      <c r="D10" s="1526"/>
      <c r="E10" s="1526"/>
    </row>
    <row r="11" spans="1:5" ht="20.100000000000001" customHeight="1" x14ac:dyDescent="0.25">
      <c r="A11" s="1528"/>
      <c r="B11" s="1520"/>
      <c r="C11" s="418" t="s">
        <v>172</v>
      </c>
      <c r="D11" s="1012" t="s">
        <v>173</v>
      </c>
      <c r="E11" s="1013" t="s">
        <v>174</v>
      </c>
    </row>
    <row r="12" spans="1:5" ht="20.100000000000001" customHeight="1" x14ac:dyDescent="0.25">
      <c r="A12" s="21" t="s">
        <v>470</v>
      </c>
      <c r="B12" s="22" t="s">
        <v>509</v>
      </c>
      <c r="C12" s="529"/>
      <c r="D12" s="530"/>
      <c r="E12" s="531"/>
    </row>
    <row r="13" spans="1:5" ht="20.100000000000001" customHeight="1" x14ac:dyDescent="0.25">
      <c r="A13" s="21" t="s">
        <v>478</v>
      </c>
      <c r="B13" s="23" t="s">
        <v>618</v>
      </c>
      <c r="C13" s="532"/>
      <c r="D13" s="533"/>
      <c r="E13" s="534"/>
    </row>
    <row r="14" spans="1:5" ht="20.100000000000001" customHeight="1" x14ac:dyDescent="0.25">
      <c r="A14" s="21"/>
      <c r="B14" s="1331" t="s">
        <v>1294</v>
      </c>
      <c r="C14" s="1268"/>
      <c r="D14" s="533"/>
      <c r="E14" s="534"/>
    </row>
    <row r="15" spans="1:5" ht="20.100000000000001" customHeight="1" x14ac:dyDescent="0.25">
      <c r="A15" s="21"/>
      <c r="B15" s="1331" t="s">
        <v>1311</v>
      </c>
      <c r="C15" s="1268"/>
      <c r="D15" s="533"/>
      <c r="E15" s="534"/>
    </row>
    <row r="16" spans="1:5" ht="24.6" customHeight="1" x14ac:dyDescent="0.25">
      <c r="A16" s="21" t="s">
        <v>479</v>
      </c>
      <c r="B16" s="857" t="s">
        <v>627</v>
      </c>
      <c r="C16" s="536">
        <v>0</v>
      </c>
      <c r="D16" s="536">
        <v>66939</v>
      </c>
      <c r="E16" s="861">
        <f t="shared" ref="E16:E17" si="0">C16+D16</f>
        <v>66939</v>
      </c>
    </row>
    <row r="17" spans="1:15" ht="32.25" customHeight="1" thickBot="1" x14ac:dyDescent="0.3">
      <c r="A17" s="21" t="s">
        <v>480</v>
      </c>
      <c r="B17" s="1332" t="s">
        <v>1310</v>
      </c>
      <c r="C17" s="536">
        <v>0</v>
      </c>
      <c r="D17" s="536"/>
      <c r="E17" s="861">
        <f t="shared" si="0"/>
        <v>0</v>
      </c>
    </row>
    <row r="18" spans="1:15" s="15" customFormat="1" ht="19.5" customHeight="1" thickBot="1" x14ac:dyDescent="0.3">
      <c r="A18" s="21" t="s">
        <v>481</v>
      </c>
      <c r="B18" s="890" t="s">
        <v>49</v>
      </c>
      <c r="C18" s="886">
        <f>SUM(C16:C16)</f>
        <v>0</v>
      </c>
      <c r="D18" s="886">
        <f>SUM(D16:D16)</f>
        <v>66939</v>
      </c>
      <c r="E18" s="1148">
        <f>SUM(E16:E16)</f>
        <v>66939</v>
      </c>
    </row>
    <row r="19" spans="1:15" s="15" customFormat="1" ht="20.25" customHeight="1" x14ac:dyDescent="0.25">
      <c r="A19" s="21" t="s">
        <v>482</v>
      </c>
      <c r="B19" s="26"/>
      <c r="C19" s="862"/>
      <c r="D19" s="863"/>
      <c r="E19" s="864"/>
    </row>
    <row r="20" spans="1:15" ht="19.5" customHeight="1" x14ac:dyDescent="0.25">
      <c r="A20" s="21" t="s">
        <v>483</v>
      </c>
      <c r="B20" s="26" t="s">
        <v>619</v>
      </c>
      <c r="C20" s="859"/>
      <c r="D20" s="865"/>
      <c r="E20" s="866"/>
    </row>
    <row r="21" spans="1:15" ht="21" customHeight="1" x14ac:dyDescent="0.25">
      <c r="A21" s="21" t="s">
        <v>484</v>
      </c>
      <c r="B21" s="17" t="s">
        <v>510</v>
      </c>
      <c r="C21" s="859"/>
      <c r="D21" s="860">
        <v>0</v>
      </c>
      <c r="E21" s="861">
        <f>C21+D21</f>
        <v>0</v>
      </c>
    </row>
    <row r="22" spans="1:15" ht="21.75" customHeight="1" x14ac:dyDescent="0.25">
      <c r="A22" s="21" t="s">
        <v>485</v>
      </c>
      <c r="B22" s="24" t="s">
        <v>511</v>
      </c>
      <c r="C22" s="859"/>
      <c r="D22" s="860">
        <v>4762</v>
      </c>
      <c r="E22" s="861">
        <f>C22+D22</f>
        <v>4762</v>
      </c>
    </row>
    <row r="23" spans="1:15" ht="51" customHeight="1" x14ac:dyDescent="0.25">
      <c r="A23" s="1329" t="s">
        <v>519</v>
      </c>
      <c r="B23" s="757" t="s">
        <v>1386</v>
      </c>
      <c r="C23" s="754"/>
      <c r="D23" s="755">
        <v>51541</v>
      </c>
      <c r="E23" s="756">
        <f>C23+D23</f>
        <v>51541</v>
      </c>
    </row>
    <row r="24" spans="1:15" ht="21.75" customHeight="1" thickBot="1" x14ac:dyDescent="0.3">
      <c r="A24" s="1329" t="s">
        <v>520</v>
      </c>
      <c r="B24" s="757" t="s">
        <v>1387</v>
      </c>
      <c r="C24" s="754"/>
      <c r="D24" s="755">
        <v>120966</v>
      </c>
      <c r="E24" s="1694">
        <v>120966</v>
      </c>
    </row>
    <row r="25" spans="1:15" s="15" customFormat="1" ht="21" customHeight="1" thickBot="1" x14ac:dyDescent="0.3">
      <c r="A25" s="1329" t="s">
        <v>521</v>
      </c>
      <c r="B25" s="890" t="s">
        <v>620</v>
      </c>
      <c r="C25" s="891">
        <f>SUM(C21:C22)</f>
        <v>0</v>
      </c>
      <c r="D25" s="892">
        <f>SUM(D21:D24)</f>
        <v>177269</v>
      </c>
      <c r="E25" s="888">
        <f>C25+D25</f>
        <v>177269</v>
      </c>
    </row>
    <row r="26" spans="1:15" s="15" customFormat="1" ht="22.5" customHeight="1" thickBot="1" x14ac:dyDescent="0.3">
      <c r="A26" s="1329" t="s">
        <v>522</v>
      </c>
      <c r="B26" s="244" t="s">
        <v>512</v>
      </c>
      <c r="C26" s="886">
        <f>C18+C25</f>
        <v>0</v>
      </c>
      <c r="D26" s="887">
        <f>D18+D25</f>
        <v>244208</v>
      </c>
      <c r="E26" s="888">
        <f>C26+D26</f>
        <v>244208</v>
      </c>
    </row>
    <row r="27" spans="1:15" ht="20.100000000000001" customHeight="1" x14ac:dyDescent="0.25">
      <c r="A27" s="1329" t="s">
        <v>523</v>
      </c>
      <c r="B27" s="24"/>
      <c r="C27" s="747"/>
      <c r="D27" s="536"/>
      <c r="E27" s="866"/>
    </row>
    <row r="28" spans="1:15" ht="20.100000000000001" customHeight="1" x14ac:dyDescent="0.25">
      <c r="A28" s="1329" t="s">
        <v>524</v>
      </c>
      <c r="B28" s="22" t="s">
        <v>513</v>
      </c>
      <c r="C28" s="747"/>
      <c r="D28" s="536"/>
      <c r="E28" s="866"/>
    </row>
    <row r="29" spans="1:15" ht="20.100000000000001" customHeight="1" thickBot="1" x14ac:dyDescent="0.3">
      <c r="A29" s="1329" t="s">
        <v>525</v>
      </c>
      <c r="B29" s="17" t="s">
        <v>514</v>
      </c>
      <c r="C29" s="747">
        <v>176</v>
      </c>
      <c r="D29" s="536">
        <v>175792</v>
      </c>
      <c r="E29" s="861">
        <f>C29+D29</f>
        <v>175968</v>
      </c>
    </row>
    <row r="30" spans="1:15" s="15" customFormat="1" ht="20.100000000000001" customHeight="1" thickBot="1" x14ac:dyDescent="0.3">
      <c r="A30" s="1329" t="s">
        <v>526</v>
      </c>
      <c r="B30" s="889" t="s">
        <v>515</v>
      </c>
      <c r="C30" s="887">
        <f>C29</f>
        <v>176</v>
      </c>
      <c r="D30" s="887">
        <f t="shared" ref="D30:E30" si="1">D29</f>
        <v>175792</v>
      </c>
      <c r="E30" s="1330">
        <f t="shared" si="1"/>
        <v>175968</v>
      </c>
      <c r="O30" s="858"/>
    </row>
    <row r="31" spans="1:15" s="15" customFormat="1" ht="20.100000000000001" customHeight="1" thickBot="1" x14ac:dyDescent="0.3">
      <c r="A31" s="1329" t="s">
        <v>528</v>
      </c>
      <c r="B31" s="885" t="s">
        <v>296</v>
      </c>
      <c r="C31" s="886">
        <f>C26+C30</f>
        <v>176</v>
      </c>
      <c r="D31" s="887">
        <f>D26+D30</f>
        <v>420000</v>
      </c>
      <c r="E31" s="888">
        <f>E26+E30</f>
        <v>420176</v>
      </c>
      <c r="O31" s="858"/>
    </row>
    <row r="32" spans="1:15" s="15" customFormat="1" ht="20.100000000000001" customHeight="1" x14ac:dyDescent="0.25">
      <c r="A32" s="16"/>
      <c r="B32" s="28"/>
      <c r="C32" s="27"/>
      <c r="D32" s="299"/>
    </row>
    <row r="33" spans="2:8" ht="19.5" customHeight="1" x14ac:dyDescent="0.25">
      <c r="B33" s="29"/>
      <c r="C33" s="25"/>
    </row>
    <row r="34" spans="2:8" ht="15" customHeight="1" x14ac:dyDescent="0.25">
      <c r="B34" s="17"/>
      <c r="C34" s="25"/>
      <c r="H34" s="430"/>
    </row>
    <row r="35" spans="2:8" x14ac:dyDescent="0.25">
      <c r="B35" s="17"/>
      <c r="C35" s="25"/>
    </row>
    <row r="36" spans="2:8" x14ac:dyDescent="0.25">
      <c r="B36" s="17"/>
      <c r="C36" s="25"/>
    </row>
    <row r="37" spans="2:8" x14ac:dyDescent="0.25">
      <c r="B37" s="17"/>
      <c r="C37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62"/>
  <sheetViews>
    <sheetView zoomScale="120" workbookViewId="0">
      <selection activeCell="N47" sqref="N47"/>
    </sheetView>
  </sheetViews>
  <sheetFormatPr defaultColWidth="9.140625" defaultRowHeight="11.25" x14ac:dyDescent="0.2"/>
  <cols>
    <col min="1" max="1" width="3.7109375" style="114" customWidth="1"/>
    <col min="2" max="2" width="37.28515625" style="114" customWidth="1"/>
    <col min="3" max="3" width="12" style="115" customWidth="1"/>
    <col min="4" max="4" width="11.140625" style="115" customWidth="1"/>
    <col min="5" max="5" width="12.140625" style="115" customWidth="1"/>
    <col min="6" max="6" width="40.42578125" style="115" customWidth="1"/>
    <col min="7" max="7" width="11.5703125" style="115" customWidth="1"/>
    <col min="8" max="8" width="11.7109375" style="115" customWidth="1"/>
    <col min="9" max="9" width="14.5703125" style="115" customWidth="1"/>
    <col min="10" max="10" width="7.7109375" style="267" hidden="1" customWidth="1"/>
    <col min="11" max="11" width="7.140625" style="267" hidden="1" customWidth="1"/>
    <col min="12" max="12" width="7.85546875" style="267" hidden="1" customWidth="1"/>
    <col min="13" max="16384" width="9.140625" style="10"/>
  </cols>
  <sheetData>
    <row r="1" spans="1:13" ht="12.75" x14ac:dyDescent="0.2">
      <c r="C1" s="1403" t="s">
        <v>1405</v>
      </c>
      <c r="D1" s="1468"/>
      <c r="E1" s="1468"/>
      <c r="F1" s="1468"/>
      <c r="G1" s="1468"/>
      <c r="H1" s="1468"/>
      <c r="I1" s="1468"/>
      <c r="J1" s="1468"/>
      <c r="K1" s="1468"/>
      <c r="L1" s="1468"/>
    </row>
    <row r="2" spans="1:13" x14ac:dyDescent="0.2">
      <c r="I2" s="116"/>
    </row>
    <row r="3" spans="1:13" s="86" customFormat="1" ht="12.75" x14ac:dyDescent="0.2">
      <c r="A3" s="117"/>
      <c r="B3" s="1407" t="s">
        <v>77</v>
      </c>
      <c r="C3" s="1407"/>
      <c r="D3" s="1407"/>
      <c r="E3" s="1407"/>
      <c r="F3" s="1407"/>
      <c r="G3" s="1407"/>
      <c r="H3" s="1407"/>
      <c r="I3" s="1407"/>
      <c r="J3" s="1468"/>
      <c r="K3" s="1468"/>
      <c r="L3" s="1468"/>
    </row>
    <row r="4" spans="1:13" s="86" customFormat="1" x14ac:dyDescent="0.2">
      <c r="A4" s="117"/>
      <c r="B4" s="1529" t="s">
        <v>1320</v>
      </c>
      <c r="C4" s="1529"/>
      <c r="D4" s="1529"/>
      <c r="E4" s="1529"/>
      <c r="F4" s="1529"/>
      <c r="G4" s="1529"/>
      <c r="H4" s="1529"/>
      <c r="I4" s="1529"/>
    </row>
    <row r="5" spans="1:13" s="86" customFormat="1" ht="12.75" x14ac:dyDescent="0.2">
      <c r="A5" s="1408" t="s">
        <v>295</v>
      </c>
      <c r="B5" s="1470"/>
      <c r="C5" s="1470"/>
      <c r="D5" s="1470"/>
      <c r="E5" s="1470"/>
      <c r="F5" s="1470"/>
      <c r="G5" s="1470"/>
      <c r="H5" s="1470"/>
      <c r="I5" s="1470"/>
      <c r="J5" s="1470"/>
      <c r="K5" s="1470"/>
      <c r="L5" s="1470"/>
    </row>
    <row r="6" spans="1:13" s="86" customFormat="1" ht="12.75" customHeight="1" x14ac:dyDescent="0.2">
      <c r="A6" s="1413" t="s">
        <v>56</v>
      </c>
      <c r="B6" s="1414" t="s">
        <v>57</v>
      </c>
      <c r="C6" s="1431" t="s">
        <v>58</v>
      </c>
      <c r="D6" s="1431"/>
      <c r="E6" s="1432"/>
      <c r="F6" s="1530" t="s">
        <v>59</v>
      </c>
      <c r="G6" s="1410" t="s">
        <v>60</v>
      </c>
      <c r="H6" s="1411"/>
      <c r="I6" s="1412"/>
      <c r="M6" s="519"/>
    </row>
    <row r="7" spans="1:13" s="86" customFormat="1" ht="12.75" customHeight="1" x14ac:dyDescent="0.2">
      <c r="A7" s="1413"/>
      <c r="B7" s="1414"/>
      <c r="C7" s="1404" t="s">
        <v>1136</v>
      </c>
      <c r="D7" s="1404"/>
      <c r="E7" s="1405"/>
      <c r="F7" s="1530"/>
      <c r="G7" s="1404" t="s">
        <v>1136</v>
      </c>
      <c r="H7" s="1404"/>
      <c r="I7" s="1404"/>
      <c r="M7" s="519"/>
    </row>
    <row r="8" spans="1:13" s="87" customFormat="1" ht="36.6" customHeight="1" x14ac:dyDescent="0.2">
      <c r="A8" s="1413"/>
      <c r="B8" s="118" t="s">
        <v>61</v>
      </c>
      <c r="C8" s="94" t="s">
        <v>62</v>
      </c>
      <c r="D8" s="94" t="s">
        <v>63</v>
      </c>
      <c r="E8" s="119" t="s">
        <v>64</v>
      </c>
      <c r="F8" s="120" t="s">
        <v>65</v>
      </c>
      <c r="G8" s="94" t="s">
        <v>62</v>
      </c>
      <c r="H8" s="94" t="s">
        <v>63</v>
      </c>
      <c r="I8" s="94" t="s">
        <v>64</v>
      </c>
      <c r="M8" s="520"/>
    </row>
    <row r="9" spans="1:13" ht="11.45" customHeight="1" x14ac:dyDescent="0.2">
      <c r="A9" s="121">
        <v>1</v>
      </c>
      <c r="B9" s="122" t="s">
        <v>24</v>
      </c>
      <c r="C9" s="123"/>
      <c r="D9" s="123"/>
      <c r="E9" s="123"/>
      <c r="F9" s="97" t="s">
        <v>25</v>
      </c>
      <c r="G9" s="123"/>
      <c r="H9" s="123"/>
      <c r="I9" s="383"/>
      <c r="J9" s="10"/>
      <c r="K9" s="10"/>
      <c r="L9" s="10"/>
      <c r="M9" s="147"/>
    </row>
    <row r="10" spans="1:13" x14ac:dyDescent="0.2">
      <c r="A10" s="121">
        <f t="shared" ref="A10:A55" si="0">A9+1</f>
        <v>2</v>
      </c>
      <c r="B10" s="124" t="s">
        <v>35</v>
      </c>
      <c r="C10" s="239"/>
      <c r="D10" s="239"/>
      <c r="E10" s="227"/>
      <c r="F10" s="422" t="s">
        <v>208</v>
      </c>
      <c r="G10" s="227">
        <f>'műk. kiad. szakf Önkorm. '!D60</f>
        <v>68798</v>
      </c>
      <c r="H10" s="227">
        <f>'műk. kiad. szakf Önkorm. '!E60</f>
        <v>23090</v>
      </c>
      <c r="I10" s="399">
        <f>SUM(G10:H10)</f>
        <v>91888</v>
      </c>
      <c r="J10" s="10"/>
      <c r="K10" s="10"/>
      <c r="L10" s="10"/>
      <c r="M10" s="147"/>
    </row>
    <row r="11" spans="1:13" x14ac:dyDescent="0.2">
      <c r="A11" s="121">
        <f t="shared" si="0"/>
        <v>3</v>
      </c>
      <c r="B11" s="124" t="s">
        <v>184</v>
      </c>
      <c r="C11" s="239">
        <f>'tám, végl. pe.átv  '!C11+'tám, végl. pe.átv  '!C19+'tám, végl. pe.átv  '!C20</f>
        <v>456362</v>
      </c>
      <c r="D11" s="239">
        <f>'tám, végl. pe.átv  '!D11+'tám, végl. pe.átv  '!D19+'tám, végl. pe.átv  '!D20</f>
        <v>120326</v>
      </c>
      <c r="E11" s="239">
        <f>'tám, végl. pe.átv  '!E11+'tám, végl. pe.átv  '!E19+'tám, végl. pe.átv  '!E20</f>
        <v>576688</v>
      </c>
      <c r="F11" s="422" t="s">
        <v>209</v>
      </c>
      <c r="G11" s="227">
        <f>'műk. kiad. szakf Önkorm. '!F60</f>
        <v>18878</v>
      </c>
      <c r="H11" s="227">
        <f>'műk. kiad. szakf Önkorm. '!G60</f>
        <v>9490</v>
      </c>
      <c r="I11" s="399">
        <f>SUM(G11:H11)</f>
        <v>28368</v>
      </c>
      <c r="J11" s="10"/>
      <c r="K11" s="10"/>
      <c r="L11" s="10"/>
      <c r="M11" s="147"/>
    </row>
    <row r="12" spans="1:13" x14ac:dyDescent="0.2">
      <c r="A12" s="121">
        <f t="shared" si="0"/>
        <v>4</v>
      </c>
      <c r="B12" s="124" t="s">
        <v>181</v>
      </c>
      <c r="C12" s="239"/>
      <c r="D12" s="239">
        <v>0</v>
      </c>
      <c r="E12" s="239">
        <f>C12+D12</f>
        <v>0</v>
      </c>
      <c r="F12" s="422" t="s">
        <v>210</v>
      </c>
      <c r="G12" s="227">
        <f>'műk. kiad. szakf Önkorm. '!H60</f>
        <v>328942</v>
      </c>
      <c r="H12" s="227">
        <f>'műk. kiad. szakf Önkorm. '!I60</f>
        <v>318542</v>
      </c>
      <c r="I12" s="399">
        <f>SUM(G12:H12)</f>
        <v>647484</v>
      </c>
      <c r="J12" s="10"/>
      <c r="K12" s="10"/>
      <c r="L12" s="10"/>
      <c r="M12" s="147"/>
    </row>
    <row r="13" spans="1:13" ht="12" customHeight="1" x14ac:dyDescent="0.2">
      <c r="A13" s="121">
        <f t="shared" si="0"/>
        <v>5</v>
      </c>
      <c r="B13" s="457" t="s">
        <v>185</v>
      </c>
      <c r="C13" s="239">
        <f>'tám, végl. pe.átv  '!C40</f>
        <v>145698</v>
      </c>
      <c r="D13" s="239">
        <f>'tám, végl. pe.átv  '!D40</f>
        <v>2643</v>
      </c>
      <c r="E13" s="239">
        <f>'tám, végl. pe.átv  '!E40</f>
        <v>148341</v>
      </c>
      <c r="F13" s="422"/>
      <c r="G13" s="1083"/>
      <c r="H13" s="1083"/>
      <c r="I13" s="1082"/>
      <c r="J13" s="10"/>
      <c r="K13" s="10"/>
      <c r="L13" s="10"/>
      <c r="M13" s="147"/>
    </row>
    <row r="14" spans="1:13" x14ac:dyDescent="0.2">
      <c r="A14" s="121">
        <f>A13+1</f>
        <v>6</v>
      </c>
      <c r="B14" s="124" t="s">
        <v>1040</v>
      </c>
      <c r="C14" s="239"/>
      <c r="D14" s="239"/>
      <c r="E14" s="227"/>
      <c r="F14" s="422" t="s">
        <v>211</v>
      </c>
      <c r="G14" s="234">
        <f>'ellátottak önk.'!E29</f>
        <v>2690</v>
      </c>
      <c r="H14" s="234">
        <f>'ellátottak önk.'!F29</f>
        <v>13950</v>
      </c>
      <c r="I14" s="399">
        <f>SUM(G14:H14)</f>
        <v>16640</v>
      </c>
      <c r="J14" s="10"/>
      <c r="K14" s="10"/>
      <c r="L14" s="10"/>
      <c r="M14" s="147"/>
    </row>
    <row r="15" spans="1:13" x14ac:dyDescent="0.2">
      <c r="A15" s="121">
        <f t="shared" ref="A15:A26" si="1">A14+1</f>
        <v>7</v>
      </c>
      <c r="B15" s="124" t="s">
        <v>1038</v>
      </c>
      <c r="C15" s="239">
        <f>'felh. bev.  '!D23</f>
        <v>0</v>
      </c>
      <c r="D15" s="239"/>
      <c r="E15" s="227">
        <f t="shared" ref="E15:E16" si="2">SUM(C15:D15)</f>
        <v>0</v>
      </c>
      <c r="F15" s="422"/>
      <c r="G15" s="867"/>
      <c r="H15" s="867"/>
      <c r="I15" s="1082"/>
      <c r="J15" s="10"/>
      <c r="K15" s="10"/>
      <c r="L15" s="10"/>
      <c r="M15" s="147"/>
    </row>
    <row r="16" spans="1:13" x14ac:dyDescent="0.2">
      <c r="A16" s="121">
        <f t="shared" si="1"/>
        <v>8</v>
      </c>
      <c r="B16" s="893" t="s">
        <v>1039</v>
      </c>
      <c r="C16" s="239">
        <f>'felh. bev.  '!D31</f>
        <v>1566466</v>
      </c>
      <c r="D16" s="239">
        <f>'felh. bev.  '!E31</f>
        <v>0</v>
      </c>
      <c r="E16" s="227">
        <f t="shared" si="2"/>
        <v>1566466</v>
      </c>
      <c r="F16" s="422" t="s">
        <v>212</v>
      </c>
      <c r="G16" s="867"/>
      <c r="H16" s="867"/>
      <c r="I16" s="1082"/>
      <c r="J16" s="10"/>
      <c r="K16" s="10"/>
      <c r="L16" s="10"/>
      <c r="M16" s="147"/>
    </row>
    <row r="17" spans="1:14" x14ac:dyDescent="0.2">
      <c r="A17" s="121">
        <f t="shared" si="1"/>
        <v>9</v>
      </c>
      <c r="B17" s="124" t="s">
        <v>186</v>
      </c>
      <c r="C17" s="239">
        <f>'közhatalmi bevételek'!D30</f>
        <v>743715</v>
      </c>
      <c r="D17" s="239">
        <f>'közhatalmi bevételek'!E30</f>
        <v>17385</v>
      </c>
      <c r="E17" s="239">
        <f>'közhatalmi bevételek'!F30</f>
        <v>761100</v>
      </c>
      <c r="F17" s="422" t="s">
        <v>213</v>
      </c>
      <c r="G17" s="234">
        <f>mc.pe.átad!E21</f>
        <v>5850</v>
      </c>
      <c r="H17" s="234">
        <f>mc.pe.átad!F21</f>
        <v>114841</v>
      </c>
      <c r="I17" s="234">
        <f>mc.pe.átad!G21</f>
        <v>120691</v>
      </c>
      <c r="J17" s="10"/>
      <c r="K17" s="10"/>
      <c r="L17" s="10"/>
      <c r="M17" s="147"/>
    </row>
    <row r="18" spans="1:14" x14ac:dyDescent="0.2">
      <c r="A18" s="121">
        <f t="shared" si="1"/>
        <v>10</v>
      </c>
      <c r="B18" s="127" t="s">
        <v>40</v>
      </c>
      <c r="C18" s="294"/>
      <c r="D18" s="294"/>
      <c r="E18" s="294"/>
      <c r="F18" s="422" t="s">
        <v>214</v>
      </c>
      <c r="G18" s="234">
        <f>mc.pe.átad!E53</f>
        <v>150640</v>
      </c>
      <c r="H18" s="234">
        <f>mc.pe.átad!F53</f>
        <v>158790</v>
      </c>
      <c r="I18" s="234">
        <f>mc.pe.átad!G53</f>
        <v>309430</v>
      </c>
      <c r="J18" s="10"/>
      <c r="K18" s="10"/>
      <c r="L18" s="10"/>
      <c r="M18" s="147"/>
    </row>
    <row r="19" spans="1:14" x14ac:dyDescent="0.2">
      <c r="A19" s="121">
        <f t="shared" si="1"/>
        <v>11</v>
      </c>
      <c r="B19" s="127"/>
      <c r="C19" s="294"/>
      <c r="D19" s="294"/>
      <c r="E19" s="294"/>
      <c r="F19" s="422" t="s">
        <v>261</v>
      </c>
      <c r="G19" s="234">
        <f>'műk. kiad. szakf Önkorm. '!N60</f>
        <v>0</v>
      </c>
      <c r="H19" s="234">
        <f>'műk. kiad. szakf Önkorm. '!O60</f>
        <v>0</v>
      </c>
      <c r="I19" s="234">
        <f>G19+H19</f>
        <v>0</v>
      </c>
      <c r="J19" s="10"/>
      <c r="K19" s="10"/>
      <c r="L19" s="10"/>
      <c r="M19" s="147"/>
    </row>
    <row r="20" spans="1:14" x14ac:dyDescent="0.2">
      <c r="A20" s="121">
        <f>A19+1</f>
        <v>12</v>
      </c>
      <c r="B20" s="80" t="s">
        <v>187</v>
      </c>
      <c r="C20" s="294">
        <v>26148</v>
      </c>
      <c r="D20" s="294">
        <v>894956</v>
      </c>
      <c r="E20" s="294">
        <f>SUM(C20:D20)</f>
        <v>921104</v>
      </c>
      <c r="F20" s="422" t="s">
        <v>216</v>
      </c>
      <c r="G20" s="234">
        <f>tartalék!C25</f>
        <v>0</v>
      </c>
      <c r="H20" s="234">
        <f>tartalék!D25</f>
        <v>177269</v>
      </c>
      <c r="I20" s="748">
        <f>SUM(G20:H20)</f>
        <v>177269</v>
      </c>
      <c r="J20" s="10"/>
      <c r="K20" s="10"/>
      <c r="L20" s="10"/>
      <c r="M20" s="147"/>
    </row>
    <row r="21" spans="1:14" x14ac:dyDescent="0.2">
      <c r="A21" s="121">
        <f t="shared" si="1"/>
        <v>13</v>
      </c>
      <c r="C21" s="1080"/>
      <c r="D21" s="1080"/>
      <c r="E21" s="1080"/>
      <c r="F21" s="422" t="s">
        <v>262</v>
      </c>
      <c r="G21" s="234">
        <f>tartalék!C30</f>
        <v>176</v>
      </c>
      <c r="H21" s="234">
        <f>tartalék!D30</f>
        <v>175792</v>
      </c>
      <c r="I21" s="234">
        <f>tartalék!E30</f>
        <v>175968</v>
      </c>
      <c r="J21" s="10"/>
      <c r="K21" s="10"/>
      <c r="L21" s="10"/>
      <c r="M21" s="147"/>
    </row>
    <row r="22" spans="1:14" s="88" customFormat="1" x14ac:dyDescent="0.2">
      <c r="A22" s="121">
        <f t="shared" si="1"/>
        <v>14</v>
      </c>
      <c r="B22" s="114" t="s">
        <v>42</v>
      </c>
      <c r="C22" s="294"/>
      <c r="D22" s="294"/>
      <c r="E22" s="294"/>
      <c r="F22" s="518"/>
      <c r="G22" s="234"/>
      <c r="H22" s="234"/>
      <c r="I22" s="401"/>
      <c r="M22" s="521"/>
    </row>
    <row r="23" spans="1:14" s="88" customFormat="1" x14ac:dyDescent="0.2">
      <c r="A23" s="121">
        <f t="shared" si="1"/>
        <v>15</v>
      </c>
      <c r="B23" s="114" t="s">
        <v>188</v>
      </c>
      <c r="C23" s="294"/>
      <c r="D23" s="294"/>
      <c r="E23" s="294"/>
      <c r="F23" s="518"/>
      <c r="G23" s="234"/>
      <c r="H23" s="234"/>
      <c r="I23" s="401"/>
      <c r="M23" s="521"/>
    </row>
    <row r="24" spans="1:14" x14ac:dyDescent="0.2">
      <c r="A24" s="121">
        <f t="shared" si="1"/>
        <v>16</v>
      </c>
      <c r="B24" s="137" t="s">
        <v>191</v>
      </c>
      <c r="C24" s="227">
        <f>'felh. bev.  '!D12</f>
        <v>2028</v>
      </c>
      <c r="D24" s="227">
        <f>'felh. bev.  '!E12</f>
        <v>0</v>
      </c>
      <c r="E24" s="294">
        <f>SUM(C24:D24)</f>
        <v>2028</v>
      </c>
      <c r="F24" s="714" t="s">
        <v>66</v>
      </c>
      <c r="G24" s="295">
        <f t="shared" ref="G24:L24" si="3">SUM(G10:G22)</f>
        <v>575974</v>
      </c>
      <c r="H24" s="295">
        <f t="shared" si="3"/>
        <v>991764</v>
      </c>
      <c r="I24" s="402">
        <f t="shared" si="3"/>
        <v>1567738</v>
      </c>
      <c r="J24" s="89">
        <f t="shared" si="3"/>
        <v>0</v>
      </c>
      <c r="K24" s="89">
        <f t="shared" si="3"/>
        <v>0</v>
      </c>
      <c r="L24" s="377">
        <f t="shared" si="3"/>
        <v>0</v>
      </c>
      <c r="M24" s="147"/>
    </row>
    <row r="25" spans="1:14" x14ac:dyDescent="0.2">
      <c r="A25" s="121">
        <f t="shared" si="1"/>
        <v>17</v>
      </c>
      <c r="B25" s="137" t="s">
        <v>192</v>
      </c>
      <c r="C25" s="294">
        <f>'felh. bev.  '!D13+'felh. bev.  '!D14</f>
        <v>0</v>
      </c>
      <c r="D25" s="294">
        <f>'felh. bev.  '!E13+'felh. bev.  '!E14</f>
        <v>0</v>
      </c>
      <c r="E25" s="294">
        <f>SUM(C25:D25)</f>
        <v>0</v>
      </c>
      <c r="F25" s="518"/>
      <c r="G25" s="234"/>
      <c r="H25" s="234"/>
      <c r="I25" s="401"/>
      <c r="J25" s="10"/>
      <c r="K25" s="10"/>
      <c r="L25" s="10"/>
      <c r="M25" s="147"/>
    </row>
    <row r="26" spans="1:14" x14ac:dyDescent="0.2">
      <c r="A26" s="121">
        <f t="shared" si="1"/>
        <v>18</v>
      </c>
      <c r="B26" s="114" t="s">
        <v>193</v>
      </c>
      <c r="C26" s="227">
        <f>'felh. bev.  '!D20</f>
        <v>0</v>
      </c>
      <c r="D26" s="227">
        <f>'felh. bev.  '!E20</f>
        <v>750000</v>
      </c>
      <c r="E26" s="227">
        <f>'felh. bev.  '!F20</f>
        <v>750000</v>
      </c>
      <c r="F26" s="715" t="s">
        <v>34</v>
      </c>
      <c r="G26" s="297"/>
      <c r="H26" s="297"/>
      <c r="I26" s="401"/>
      <c r="J26" s="10"/>
      <c r="K26" s="10"/>
      <c r="L26" s="10"/>
      <c r="M26" s="147"/>
    </row>
    <row r="27" spans="1:14" x14ac:dyDescent="0.2">
      <c r="A27" s="121">
        <f t="shared" si="0"/>
        <v>19</v>
      </c>
      <c r="B27" s="124" t="s">
        <v>194</v>
      </c>
      <c r="C27" s="227"/>
      <c r="D27" s="227"/>
      <c r="E27" s="227"/>
      <c r="F27" s="422" t="s">
        <v>263</v>
      </c>
      <c r="G27" s="234">
        <f>'felhalm. kiad.  '!H15+'felhalm. kiad.  '!H49+'felhalm. kiad.  '!H59+'felhalm. kiad.  '!H65+'felhalm. kiad.  '!H72</f>
        <v>2545385</v>
      </c>
      <c r="H27" s="234">
        <f>'felhalm. kiad.  '!I15+'felhalm. kiad.  '!I49+'felhalm. kiad.  '!I59+'felhalm. kiad.  '!I65+'felhalm. kiad.  '!I72+'felhalm. kiad.  '!I126</f>
        <v>227971</v>
      </c>
      <c r="I27" s="401">
        <f t="shared" ref="I27:I32" si="4">SUM(G27:H27)</f>
        <v>2773356</v>
      </c>
      <c r="J27" s="10"/>
      <c r="K27" s="10"/>
      <c r="L27" s="10"/>
      <c r="M27" s="518"/>
      <c r="N27" s="711"/>
    </row>
    <row r="28" spans="1:14" x14ac:dyDescent="0.2">
      <c r="A28" s="121">
        <f t="shared" si="0"/>
        <v>20</v>
      </c>
      <c r="B28" s="124"/>
      <c r="C28" s="227"/>
      <c r="D28" s="227"/>
      <c r="E28" s="227"/>
      <c r="F28" s="422" t="s">
        <v>220</v>
      </c>
      <c r="G28" s="234">
        <f>'felhalm. kiad.  '!H22</f>
        <v>10615</v>
      </c>
      <c r="H28" s="234">
        <f>'felhalm. kiad.  '!I22</f>
        <v>19050</v>
      </c>
      <c r="I28" s="401">
        <f t="shared" si="4"/>
        <v>29665</v>
      </c>
      <c r="J28" s="10"/>
      <c r="K28" s="10"/>
      <c r="L28" s="10"/>
      <c r="M28" s="147"/>
    </row>
    <row r="29" spans="1:14" x14ac:dyDescent="0.2">
      <c r="A29" s="121">
        <f t="shared" si="0"/>
        <v>21</v>
      </c>
      <c r="B29" s="114" t="s">
        <v>195</v>
      </c>
      <c r="C29" s="227">
        <f>'tám, végl. pe.átv  '!C44</f>
        <v>0</v>
      </c>
      <c r="D29" s="227">
        <f>'tám, végl. pe.átv  '!D44</f>
        <v>0</v>
      </c>
      <c r="E29" s="227">
        <f>'tám, végl. pe.átv  '!E44</f>
        <v>0</v>
      </c>
      <c r="F29" s="422" t="s">
        <v>221</v>
      </c>
      <c r="G29" s="234"/>
      <c r="H29" s="234"/>
      <c r="I29" s="401"/>
      <c r="J29" s="10"/>
      <c r="K29" s="10"/>
      <c r="L29" s="10"/>
      <c r="M29" s="147"/>
    </row>
    <row r="30" spans="1:14" s="88" customFormat="1" x14ac:dyDescent="0.2">
      <c r="A30" s="121">
        <f t="shared" si="0"/>
        <v>22</v>
      </c>
      <c r="B30" s="114" t="s">
        <v>260</v>
      </c>
      <c r="C30" s="227">
        <f>'felh. bev.  '!D36+'felh. bev.  '!D40</f>
        <v>0</v>
      </c>
      <c r="D30" s="227">
        <f>'felh. bev.  '!E36+'felh. bev.  '!E40</f>
        <v>3006</v>
      </c>
      <c r="E30" s="227">
        <f>'felh. bev.  '!F36+'felh. bev.  '!F40</f>
        <v>3006</v>
      </c>
      <c r="F30" s="422" t="s">
        <v>222</v>
      </c>
      <c r="G30" s="234">
        <f>'felhalm. kiad.  '!H77</f>
        <v>0</v>
      </c>
      <c r="H30" s="234">
        <f>'felhalm. kiad.  '!I77</f>
        <v>0</v>
      </c>
      <c r="I30" s="401">
        <f t="shared" si="4"/>
        <v>0</v>
      </c>
      <c r="M30" s="521"/>
    </row>
    <row r="31" spans="1:14" s="88" customFormat="1" x14ac:dyDescent="0.2">
      <c r="A31" s="121">
        <f t="shared" si="0"/>
        <v>23</v>
      </c>
      <c r="B31" s="114"/>
      <c r="C31" s="227"/>
      <c r="D31" s="227"/>
      <c r="E31" s="227"/>
      <c r="F31" s="422" t="s">
        <v>1048</v>
      </c>
      <c r="G31" s="234">
        <f>'felhalm. kiad.  '!H90</f>
        <v>0</v>
      </c>
      <c r="H31" s="234">
        <f>'felhalm. kiad.  '!I90</f>
        <v>5000</v>
      </c>
      <c r="I31" s="401">
        <f t="shared" si="4"/>
        <v>5000</v>
      </c>
      <c r="M31" s="521"/>
    </row>
    <row r="32" spans="1:14" x14ac:dyDescent="0.2">
      <c r="A32" s="121">
        <f t="shared" si="0"/>
        <v>24</v>
      </c>
      <c r="C32" s="227"/>
      <c r="D32" s="227"/>
      <c r="E32" s="227"/>
      <c r="F32" s="422" t="s">
        <v>1046</v>
      </c>
      <c r="G32" s="234">
        <f>'felhalm. kiad.  '!H85</f>
        <v>28681</v>
      </c>
      <c r="H32" s="234">
        <f>'felhalm. kiad.  '!I85</f>
        <v>16000</v>
      </c>
      <c r="I32" s="401">
        <f t="shared" si="4"/>
        <v>44681</v>
      </c>
      <c r="J32" s="10"/>
      <c r="K32" s="10"/>
      <c r="L32" s="10"/>
      <c r="M32" s="147"/>
    </row>
    <row r="33" spans="1:13" s="11" customFormat="1" x14ac:dyDescent="0.2">
      <c r="A33" s="121">
        <f t="shared" si="0"/>
        <v>25</v>
      </c>
      <c r="B33" s="131" t="s">
        <v>52</v>
      </c>
      <c r="C33" s="749">
        <f>C12+C20+C11+C17+C13+C29</f>
        <v>1371923</v>
      </c>
      <c r="D33" s="749">
        <f>D12+D20+D11+D17+D13+D29</f>
        <v>1035310</v>
      </c>
      <c r="E33" s="749">
        <f>E12+E20+E11+E17+E13+E29</f>
        <v>2407233</v>
      </c>
      <c r="F33" s="422" t="s">
        <v>1047</v>
      </c>
      <c r="G33" s="232">
        <f>tartalék!C18</f>
        <v>0</v>
      </c>
      <c r="H33" s="232">
        <f>tartalék!D18</f>
        <v>66939</v>
      </c>
      <c r="I33" s="232">
        <f>tartalék!E18</f>
        <v>66939</v>
      </c>
      <c r="M33" s="431"/>
    </row>
    <row r="34" spans="1:13" x14ac:dyDescent="0.2">
      <c r="A34" s="121">
        <f t="shared" si="0"/>
        <v>26</v>
      </c>
      <c r="B34" s="132" t="s">
        <v>67</v>
      </c>
      <c r="C34" s="295">
        <f>C15+C16+C24+C25+C26+C27+C30</f>
        <v>1568494</v>
      </c>
      <c r="D34" s="295">
        <f t="shared" ref="D34:E34" si="5">D15+D16+D24+D25+D26+D27+D30</f>
        <v>753006</v>
      </c>
      <c r="E34" s="295">
        <f t="shared" si="5"/>
        <v>2321500</v>
      </c>
      <c r="F34" s="695" t="s">
        <v>68</v>
      </c>
      <c r="G34" s="295">
        <f>SUM(G27:G33)</f>
        <v>2584681</v>
      </c>
      <c r="H34" s="295">
        <f>SUM(H27:H33)</f>
        <v>334960</v>
      </c>
      <c r="I34" s="402">
        <f>SUM(I27:I33)</f>
        <v>2919641</v>
      </c>
      <c r="J34" s="10"/>
      <c r="K34" s="10"/>
      <c r="L34" s="10"/>
      <c r="M34" s="147"/>
    </row>
    <row r="35" spans="1:13" x14ac:dyDescent="0.2">
      <c r="A35" s="121">
        <f t="shared" si="0"/>
        <v>27</v>
      </c>
      <c r="B35" s="135" t="s">
        <v>51</v>
      </c>
      <c r="C35" s="297">
        <f>SUM(C33:C34)</f>
        <v>2940417</v>
      </c>
      <c r="D35" s="297">
        <f>SUM(D33:D34)</f>
        <v>1788316</v>
      </c>
      <c r="E35" s="297">
        <f>SUM(C35:D35)</f>
        <v>4728733</v>
      </c>
      <c r="F35" s="716" t="s">
        <v>69</v>
      </c>
      <c r="G35" s="297">
        <f t="shared" ref="G35:L35" si="6">G24+G34</f>
        <v>3160655</v>
      </c>
      <c r="H35" s="297">
        <f t="shared" si="6"/>
        <v>1326724</v>
      </c>
      <c r="I35" s="379">
        <f t="shared" si="6"/>
        <v>4487379</v>
      </c>
      <c r="J35" s="130">
        <f t="shared" si="6"/>
        <v>0</v>
      </c>
      <c r="K35" s="130">
        <f t="shared" si="6"/>
        <v>0</v>
      </c>
      <c r="L35" s="381">
        <f t="shared" si="6"/>
        <v>0</v>
      </c>
      <c r="M35" s="147"/>
    </row>
    <row r="36" spans="1:13" x14ac:dyDescent="0.2">
      <c r="A36" s="121">
        <f t="shared" si="0"/>
        <v>28</v>
      </c>
      <c r="B36" s="137"/>
      <c r="C36" s="234"/>
      <c r="D36" s="234"/>
      <c r="E36" s="234"/>
      <c r="F36" s="518"/>
      <c r="G36" s="234"/>
      <c r="H36" s="234"/>
      <c r="I36" s="401"/>
      <c r="J36" s="10"/>
      <c r="K36" s="10"/>
      <c r="L36" s="10"/>
      <c r="M36" s="147"/>
    </row>
    <row r="37" spans="1:13" x14ac:dyDescent="0.2">
      <c r="A37" s="121">
        <f t="shared" si="0"/>
        <v>29</v>
      </c>
      <c r="B37" s="135" t="s">
        <v>23</v>
      </c>
      <c r="C37" s="297">
        <f>C35-G35</f>
        <v>-220238</v>
      </c>
      <c r="D37" s="297">
        <f t="shared" ref="D37:E37" si="7">D35-H35</f>
        <v>461592</v>
      </c>
      <c r="E37" s="297">
        <f t="shared" si="7"/>
        <v>241354</v>
      </c>
      <c r="F37" s="714"/>
      <c r="G37" s="295"/>
      <c r="H37" s="295"/>
      <c r="I37" s="402"/>
      <c r="J37" s="10"/>
      <c r="K37" s="10"/>
      <c r="L37" s="10"/>
      <c r="M37" s="147"/>
    </row>
    <row r="38" spans="1:13" s="11" customFormat="1" x14ac:dyDescent="0.2">
      <c r="A38" s="121">
        <f t="shared" si="0"/>
        <v>30</v>
      </c>
      <c r="B38" s="137"/>
      <c r="C38" s="234"/>
      <c r="D38" s="234"/>
      <c r="E38" s="401"/>
      <c r="F38" s="518"/>
      <c r="G38" s="234"/>
      <c r="H38" s="234"/>
      <c r="I38" s="401"/>
      <c r="M38" s="431"/>
    </row>
    <row r="39" spans="1:13" s="11" customFormat="1" x14ac:dyDescent="0.2">
      <c r="A39" s="121">
        <f t="shared" si="0"/>
        <v>31</v>
      </c>
      <c r="B39" s="90" t="s">
        <v>53</v>
      </c>
      <c r="C39" s="540"/>
      <c r="D39" s="540"/>
      <c r="E39" s="540"/>
      <c r="F39" s="715" t="s">
        <v>33</v>
      </c>
      <c r="G39" s="297"/>
      <c r="H39" s="297"/>
      <c r="I39" s="379"/>
      <c r="M39" s="431"/>
    </row>
    <row r="40" spans="1:13" s="11" customFormat="1" x14ac:dyDescent="0.2">
      <c r="A40" s="121">
        <f t="shared" si="0"/>
        <v>32</v>
      </c>
      <c r="B40" s="95" t="s">
        <v>665</v>
      </c>
      <c r="C40" s="540"/>
      <c r="D40" s="540"/>
      <c r="E40" s="540"/>
      <c r="F40" s="717" t="s">
        <v>4</v>
      </c>
      <c r="G40" s="146"/>
      <c r="I40" s="404"/>
      <c r="M40" s="431"/>
    </row>
    <row r="41" spans="1:13" s="11" customFormat="1" ht="12.75" customHeight="1" x14ac:dyDescent="0.2">
      <c r="A41" s="269">
        <f t="shared" si="0"/>
        <v>33</v>
      </c>
      <c r="B41" s="906" t="s">
        <v>1202</v>
      </c>
      <c r="C41" s="678">
        <v>0</v>
      </c>
      <c r="D41" s="1150"/>
      <c r="E41" s="1149">
        <f>SUM(C41:D41)</f>
        <v>0</v>
      </c>
      <c r="F41" s="750" t="s">
        <v>3</v>
      </c>
      <c r="G41" s="234">
        <v>155395</v>
      </c>
      <c r="H41" s="234"/>
      <c r="I41" s="401">
        <f>G41+H41</f>
        <v>155395</v>
      </c>
      <c r="M41" s="431"/>
    </row>
    <row r="42" spans="1:13" x14ac:dyDescent="0.2">
      <c r="A42" s="121">
        <f t="shared" si="0"/>
        <v>34</v>
      </c>
      <c r="B42" s="82" t="s">
        <v>667</v>
      </c>
      <c r="C42" s="718"/>
      <c r="D42" s="719"/>
      <c r="E42" s="719">
        <f>SUM(C42:D42)</f>
        <v>0</v>
      </c>
      <c r="F42" s="422" t="s">
        <v>5</v>
      </c>
      <c r="G42" s="297"/>
      <c r="H42" s="297"/>
      <c r="I42" s="379"/>
      <c r="J42" s="10"/>
      <c r="K42" s="10"/>
      <c r="L42" s="10"/>
      <c r="M42" s="147"/>
    </row>
    <row r="43" spans="1:13" x14ac:dyDescent="0.2">
      <c r="A43" s="121">
        <f t="shared" si="0"/>
        <v>35</v>
      </c>
      <c r="B43" s="82" t="s">
        <v>200</v>
      </c>
      <c r="C43" s="227"/>
      <c r="D43" s="227"/>
      <c r="E43" s="227"/>
      <c r="F43" s="422" t="s">
        <v>6</v>
      </c>
      <c r="G43" s="146"/>
      <c r="H43" s="146"/>
      <c r="I43" s="379"/>
      <c r="J43" s="10"/>
      <c r="K43" s="10"/>
      <c r="L43" s="10"/>
      <c r="M43" s="147"/>
    </row>
    <row r="44" spans="1:13" x14ac:dyDescent="0.2">
      <c r="A44" s="121">
        <f t="shared" si="0"/>
        <v>36</v>
      </c>
      <c r="B44" s="454" t="s">
        <v>201</v>
      </c>
      <c r="C44" s="227">
        <v>1282257</v>
      </c>
      <c r="D44" s="227">
        <v>10000</v>
      </c>
      <c r="E44" s="227">
        <f>C44+D44</f>
        <v>1292257</v>
      </c>
      <c r="F44" s="422" t="s">
        <v>7</v>
      </c>
      <c r="G44" s="146"/>
      <c r="H44" s="146"/>
      <c r="I44" s="379"/>
      <c r="J44" s="10"/>
      <c r="K44" s="10"/>
      <c r="L44" s="10"/>
      <c r="M44" s="147"/>
    </row>
    <row r="45" spans="1:13" x14ac:dyDescent="0.2">
      <c r="A45" s="121">
        <f t="shared" si="0"/>
        <v>37</v>
      </c>
      <c r="B45" s="454" t="s">
        <v>917</v>
      </c>
      <c r="C45" s="227"/>
      <c r="D45" s="227"/>
      <c r="E45" s="227"/>
      <c r="F45" s="422"/>
      <c r="G45" s="146"/>
      <c r="H45" s="146"/>
      <c r="I45" s="379"/>
      <c r="J45" s="10"/>
      <c r="K45" s="10"/>
      <c r="L45" s="10"/>
      <c r="M45" s="147"/>
    </row>
    <row r="46" spans="1:13" x14ac:dyDescent="0.2">
      <c r="A46" s="121">
        <f t="shared" si="0"/>
        <v>38</v>
      </c>
      <c r="B46" s="83" t="s">
        <v>202</v>
      </c>
      <c r="C46" s="227">
        <v>698</v>
      </c>
      <c r="D46" s="227"/>
      <c r="E46" s="227">
        <f>C46+D46</f>
        <v>698</v>
      </c>
      <c r="F46" s="422" t="s">
        <v>8</v>
      </c>
      <c r="G46" s="297"/>
      <c r="H46" s="297"/>
      <c r="I46" s="401"/>
      <c r="J46" s="10"/>
      <c r="K46" s="10"/>
      <c r="L46" s="10"/>
      <c r="M46" s="147"/>
    </row>
    <row r="47" spans="1:13" x14ac:dyDescent="0.2">
      <c r="A47" s="121">
        <f t="shared" si="0"/>
        <v>39</v>
      </c>
      <c r="B47" s="83" t="s">
        <v>669</v>
      </c>
      <c r="C47" s="540"/>
      <c r="D47" s="540"/>
      <c r="E47" s="540"/>
      <c r="F47" s="422" t="s">
        <v>264</v>
      </c>
      <c r="G47" s="234">
        <v>31341</v>
      </c>
      <c r="H47" s="234">
        <v>4730</v>
      </c>
      <c r="I47" s="401">
        <f>SUM(G47:H47)</f>
        <v>36071</v>
      </c>
      <c r="J47" s="10"/>
      <c r="K47" s="10"/>
      <c r="L47" s="10"/>
      <c r="M47" s="147"/>
    </row>
    <row r="48" spans="1:13" x14ac:dyDescent="0.2">
      <c r="A48" s="121">
        <f t="shared" si="0"/>
        <v>40</v>
      </c>
      <c r="B48" s="82" t="s">
        <v>670</v>
      </c>
      <c r="C48" s="227"/>
      <c r="D48" s="227"/>
      <c r="E48" s="227"/>
      <c r="F48" s="422" t="s">
        <v>230</v>
      </c>
      <c r="G48" s="234"/>
      <c r="H48" s="234"/>
      <c r="I48" s="401"/>
      <c r="J48" s="10"/>
      <c r="K48" s="10"/>
      <c r="L48" s="10"/>
      <c r="M48" s="147"/>
    </row>
    <row r="49" spans="1:15" x14ac:dyDescent="0.2">
      <c r="A49" s="121">
        <f t="shared" si="0"/>
        <v>41</v>
      </c>
      <c r="B49" s="82" t="s">
        <v>671</v>
      </c>
      <c r="C49" s="227"/>
      <c r="D49" s="227"/>
      <c r="E49" s="227"/>
      <c r="F49" s="712" t="s">
        <v>231</v>
      </c>
      <c r="G49" s="234">
        <f>'pü.mérleg Hivatal'!D48+'püm. GAMESZ. '!C48+'püm-TASZII.'!C48+püm.Brunszvik!C48+'püm Festetics'!C48</f>
        <v>867651</v>
      </c>
      <c r="H49" s="234">
        <f>'pü.mérleg Hivatal'!E48+'püm. GAMESZ. '!D48+'püm-TASZII.'!D48+püm.Brunszvik!D48+'püm Festetics'!D48</f>
        <v>427892</v>
      </c>
      <c r="I49" s="401">
        <f>SUM(G49:H49)</f>
        <v>1295543</v>
      </c>
      <c r="J49" s="10"/>
      <c r="K49" s="10"/>
      <c r="L49" s="10"/>
      <c r="M49" s="147"/>
    </row>
    <row r="50" spans="1:15" x14ac:dyDescent="0.2">
      <c r="A50" s="121">
        <f t="shared" si="0"/>
        <v>42</v>
      </c>
      <c r="B50" s="82" t="s">
        <v>0</v>
      </c>
      <c r="C50" s="227"/>
      <c r="D50" s="227"/>
      <c r="E50" s="227"/>
      <c r="F50" s="712" t="s">
        <v>232</v>
      </c>
      <c r="G50" s="234">
        <f>'pü.mérleg Hivatal'!D49+'püm. GAMESZ. '!C49+'püm-TASZII.'!C49+püm.Brunszvik!C49+'püm Festetics'!C49</f>
        <v>8330</v>
      </c>
      <c r="H50" s="234">
        <f>'pü.mérleg Hivatal'!E49+'püm. GAMESZ. '!D49+püm.Brunszvik!D49+'püm Festetics'!D49+'püm-TASZII.'!D49</f>
        <v>38970</v>
      </c>
      <c r="I50" s="234">
        <f>'pü.mérleg Hivatal'!F49+'püm. GAMESZ. '!E49+'püm-TASZII.'!E49+püm.Brunszvik!E49+'püm Festetics'!E49</f>
        <v>47300</v>
      </c>
      <c r="J50" s="10"/>
      <c r="K50" s="10"/>
      <c r="L50" s="10"/>
      <c r="M50" s="147"/>
    </row>
    <row r="51" spans="1:15" x14ac:dyDescent="0.2">
      <c r="A51" s="121">
        <f t="shared" si="0"/>
        <v>43</v>
      </c>
      <c r="B51" s="82" t="s">
        <v>1</v>
      </c>
      <c r="C51" s="227"/>
      <c r="D51" s="227"/>
      <c r="E51" s="227">
        <f>SUM(C51:D51)</f>
        <v>0</v>
      </c>
      <c r="F51" s="422" t="s">
        <v>13</v>
      </c>
      <c r="G51" s="867"/>
      <c r="H51" s="867"/>
      <c r="I51" s="868"/>
      <c r="J51" s="10"/>
      <c r="K51" s="10"/>
      <c r="L51" s="10"/>
      <c r="M51" s="147"/>
    </row>
    <row r="52" spans="1:15" x14ac:dyDescent="0.2">
      <c r="A52" s="121">
        <f t="shared" si="0"/>
        <v>44</v>
      </c>
      <c r="B52" s="82"/>
      <c r="C52" s="227"/>
      <c r="D52" s="227"/>
      <c r="E52" s="227"/>
      <c r="F52" s="422" t="s">
        <v>14</v>
      </c>
      <c r="G52" s="234"/>
      <c r="H52" s="234"/>
      <c r="I52" s="401"/>
      <c r="J52" s="10"/>
      <c r="K52" s="10"/>
      <c r="L52" s="10"/>
      <c r="M52" s="147"/>
    </row>
    <row r="53" spans="1:15" x14ac:dyDescent="0.2">
      <c r="A53" s="121">
        <f t="shared" si="0"/>
        <v>45</v>
      </c>
      <c r="B53" s="82"/>
      <c r="C53" s="227"/>
      <c r="D53" s="227"/>
      <c r="E53" s="227"/>
      <c r="F53" s="422" t="s">
        <v>15</v>
      </c>
      <c r="G53" s="234"/>
      <c r="H53" s="234"/>
      <c r="I53" s="401"/>
      <c r="J53" s="10"/>
      <c r="K53" s="10"/>
      <c r="L53" s="10"/>
      <c r="M53" s="147"/>
    </row>
    <row r="54" spans="1:15" ht="12" thickBot="1" x14ac:dyDescent="0.25">
      <c r="A54" s="121">
        <f t="shared" si="0"/>
        <v>46</v>
      </c>
      <c r="B54" s="135" t="s">
        <v>439</v>
      </c>
      <c r="C54" s="540">
        <f>SUM(C40:C52)</f>
        <v>1282955</v>
      </c>
      <c r="D54" s="540">
        <f>SUM(D40:D52)</f>
        <v>10000</v>
      </c>
      <c r="E54" s="540">
        <f>SUM(E40:E52)</f>
        <v>1292955</v>
      </c>
      <c r="F54" s="715" t="s">
        <v>432</v>
      </c>
      <c r="G54" s="297">
        <f t="shared" ref="G54:L54" si="8">SUM(G40:G53)</f>
        <v>1062717</v>
      </c>
      <c r="H54" s="297">
        <f t="shared" si="8"/>
        <v>471592</v>
      </c>
      <c r="I54" s="379">
        <f t="shared" si="8"/>
        <v>1534309</v>
      </c>
      <c r="J54" s="130">
        <f t="shared" si="8"/>
        <v>0</v>
      </c>
      <c r="K54" s="130">
        <f t="shared" si="8"/>
        <v>0</v>
      </c>
      <c r="L54" s="381">
        <f t="shared" si="8"/>
        <v>0</v>
      </c>
      <c r="M54" s="147"/>
    </row>
    <row r="55" spans="1:15" ht="12" thickBot="1" x14ac:dyDescent="0.25">
      <c r="A55" s="768">
        <f t="shared" si="0"/>
        <v>47</v>
      </c>
      <c r="B55" s="895" t="s">
        <v>434</v>
      </c>
      <c r="C55" s="873">
        <f>C35+C54</f>
        <v>4223372</v>
      </c>
      <c r="D55" s="751">
        <f>D35+D54</f>
        <v>1798316</v>
      </c>
      <c r="E55" s="752">
        <f>E35+E54</f>
        <v>6021688</v>
      </c>
      <c r="F55" s="753" t="s">
        <v>433</v>
      </c>
      <c r="G55" s="894">
        <f t="shared" ref="G55:L55" si="9">G35+G54</f>
        <v>4223372</v>
      </c>
      <c r="H55" s="894">
        <f t="shared" si="9"/>
        <v>1798316</v>
      </c>
      <c r="I55" s="1277">
        <f t="shared" si="9"/>
        <v>6021688</v>
      </c>
      <c r="J55" s="387">
        <f t="shared" si="9"/>
        <v>0</v>
      </c>
      <c r="K55" s="427">
        <f t="shared" si="9"/>
        <v>0</v>
      </c>
      <c r="L55" s="479">
        <f t="shared" si="9"/>
        <v>0</v>
      </c>
      <c r="M55" s="233"/>
      <c r="O55" s="908"/>
    </row>
    <row r="56" spans="1:15" x14ac:dyDescent="0.2">
      <c r="B56" s="140"/>
      <c r="C56" s="139"/>
      <c r="D56" s="139"/>
      <c r="E56" s="139"/>
      <c r="F56" s="130"/>
      <c r="G56" s="139"/>
      <c r="H56" s="139"/>
      <c r="I56" s="139"/>
      <c r="J56" s="10"/>
      <c r="K56" s="10"/>
      <c r="L56" s="10"/>
    </row>
    <row r="62" spans="1:15" x14ac:dyDescent="0.2">
      <c r="H62" s="126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8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55"/>
  <sheetViews>
    <sheetView zoomScale="120" workbookViewId="0">
      <selection activeCell="L15" sqref="L15"/>
    </sheetView>
  </sheetViews>
  <sheetFormatPr defaultColWidth="9.140625" defaultRowHeight="11.25" x14ac:dyDescent="0.2"/>
  <cols>
    <col min="1" max="1" width="9.140625" style="10"/>
    <col min="2" max="2" width="3.7109375" style="114" customWidth="1"/>
    <col min="3" max="3" width="36.140625" style="114" customWidth="1"/>
    <col min="4" max="5" width="10.28515625" style="115" customWidth="1"/>
    <col min="6" max="6" width="9" style="115" customWidth="1"/>
    <col min="7" max="7" width="36.140625" style="115" customWidth="1"/>
    <col min="8" max="8" width="7.85546875" style="115" customWidth="1"/>
    <col min="9" max="9" width="10.140625" style="115" customWidth="1"/>
    <col min="10" max="10" width="10" style="115" customWidth="1"/>
    <col min="11" max="16384" width="9.140625" style="10"/>
  </cols>
  <sheetData>
    <row r="1" spans="2:11" ht="12.75" x14ac:dyDescent="0.2">
      <c r="D1" s="1403" t="s">
        <v>1399</v>
      </c>
      <c r="E1" s="1468"/>
      <c r="F1" s="1468"/>
      <c r="G1" s="1468"/>
      <c r="H1" s="1468"/>
      <c r="I1" s="1468"/>
      <c r="J1" s="1468"/>
    </row>
    <row r="2" spans="2:11" x14ac:dyDescent="0.2">
      <c r="G2" s="116"/>
      <c r="H2" s="116"/>
      <c r="I2" s="116"/>
      <c r="J2" s="116"/>
    </row>
    <row r="3" spans="2:11" x14ac:dyDescent="0.2">
      <c r="G3" s="116"/>
      <c r="H3" s="116"/>
      <c r="I3" s="116"/>
      <c r="J3" s="116"/>
    </row>
    <row r="4" spans="2:11" s="86" customFormat="1" x14ac:dyDescent="0.2">
      <c r="B4" s="117"/>
      <c r="C4" s="1407" t="s">
        <v>77</v>
      </c>
      <c r="D4" s="1407"/>
      <c r="E4" s="1407"/>
      <c r="F4" s="1407"/>
      <c r="G4" s="1407"/>
      <c r="H4" s="1407"/>
      <c r="I4" s="1407"/>
      <c r="J4" s="1407"/>
    </row>
    <row r="5" spans="2:11" s="86" customFormat="1" x14ac:dyDescent="0.2">
      <c r="B5" s="117"/>
      <c r="C5" s="1531" t="s">
        <v>176</v>
      </c>
      <c r="D5" s="1531"/>
      <c r="E5" s="1531"/>
      <c r="F5" s="1531"/>
      <c r="G5" s="1531"/>
      <c r="H5" s="1531"/>
      <c r="I5" s="1531"/>
      <c r="J5" s="1531"/>
    </row>
    <row r="6" spans="2:11" s="86" customFormat="1" x14ac:dyDescent="0.2">
      <c r="B6" s="117"/>
      <c r="C6" s="1407" t="s">
        <v>1321</v>
      </c>
      <c r="D6" s="1407"/>
      <c r="E6" s="1407"/>
      <c r="F6" s="1407"/>
      <c r="G6" s="1407"/>
      <c r="H6" s="1407"/>
      <c r="I6" s="1407"/>
      <c r="J6" s="1407"/>
    </row>
    <row r="7" spans="2:11" s="86" customFormat="1" ht="12.75" x14ac:dyDescent="0.2">
      <c r="B7" s="1408" t="s">
        <v>295</v>
      </c>
      <c r="C7" s="1470"/>
      <c r="D7" s="1470"/>
      <c r="E7" s="1470"/>
      <c r="F7" s="1470"/>
      <c r="G7" s="1470"/>
      <c r="H7" s="1470"/>
      <c r="I7" s="1470"/>
      <c r="J7" s="1470"/>
    </row>
    <row r="8" spans="2:11" s="86" customFormat="1" ht="12.75" customHeight="1" x14ac:dyDescent="0.2">
      <c r="B8" s="1413" t="s">
        <v>56</v>
      </c>
      <c r="C8" s="1414" t="s">
        <v>57</v>
      </c>
      <c r="D8" s="1431" t="s">
        <v>58</v>
      </c>
      <c r="E8" s="1431"/>
      <c r="F8" s="1432"/>
      <c r="G8" s="1530" t="s">
        <v>59</v>
      </c>
      <c r="H8" s="1410" t="s">
        <v>60</v>
      </c>
      <c r="I8" s="1411"/>
      <c r="J8" s="1411"/>
      <c r="K8" s="519"/>
    </row>
    <row r="9" spans="2:11" s="86" customFormat="1" ht="12.75" customHeight="1" x14ac:dyDescent="0.2">
      <c r="B9" s="1413"/>
      <c r="C9" s="1414"/>
      <c r="D9" s="1404" t="s">
        <v>1136</v>
      </c>
      <c r="E9" s="1404"/>
      <c r="F9" s="1405"/>
      <c r="G9" s="1532"/>
      <c r="H9" s="1404" t="s">
        <v>1136</v>
      </c>
      <c r="I9" s="1404"/>
      <c r="J9" s="1404"/>
      <c r="K9" s="519"/>
    </row>
    <row r="10" spans="2:11" s="87" customFormat="1" ht="36.6" customHeight="1" x14ac:dyDescent="0.2">
      <c r="B10" s="1413"/>
      <c r="C10" s="118" t="s">
        <v>61</v>
      </c>
      <c r="D10" s="94" t="s">
        <v>62</v>
      </c>
      <c r="E10" s="94" t="s">
        <v>63</v>
      </c>
      <c r="F10" s="119" t="s">
        <v>64</v>
      </c>
      <c r="G10" s="120" t="s">
        <v>65</v>
      </c>
      <c r="H10" s="94" t="s">
        <v>62</v>
      </c>
      <c r="I10" s="94" t="s">
        <v>63</v>
      </c>
      <c r="J10" s="94" t="s">
        <v>64</v>
      </c>
      <c r="K10" s="520"/>
    </row>
    <row r="11" spans="2:11" ht="11.45" customHeight="1" x14ac:dyDescent="0.2">
      <c r="B11" s="121">
        <v>1</v>
      </c>
      <c r="C11" s="122" t="s">
        <v>24</v>
      </c>
      <c r="D11" s="123"/>
      <c r="E11" s="123"/>
      <c r="F11" s="123"/>
      <c r="G11" s="97" t="s">
        <v>25</v>
      </c>
      <c r="H11" s="123"/>
      <c r="I11" s="123"/>
      <c r="J11" s="383"/>
      <c r="K11" s="147"/>
    </row>
    <row r="12" spans="2:11" x14ac:dyDescent="0.2">
      <c r="B12" s="121">
        <f t="shared" ref="B12:B54" si="0">B11+1</f>
        <v>2</v>
      </c>
      <c r="C12" s="124" t="s">
        <v>35</v>
      </c>
      <c r="D12" s="82"/>
      <c r="E12" s="82"/>
      <c r="F12" s="83">
        <f>SUM(D12:E12)</f>
        <v>0</v>
      </c>
      <c r="G12" s="98" t="s">
        <v>208</v>
      </c>
      <c r="H12" s="83">
        <v>97726</v>
      </c>
      <c r="I12" s="83">
        <v>73724</v>
      </c>
      <c r="J12" s="376">
        <f>SUM(H12:I12)</f>
        <v>171450</v>
      </c>
      <c r="K12" s="147"/>
    </row>
    <row r="13" spans="2:11" x14ac:dyDescent="0.2">
      <c r="B13" s="121">
        <f t="shared" si="0"/>
        <v>3</v>
      </c>
      <c r="C13" s="124" t="s">
        <v>36</v>
      </c>
      <c r="D13" s="82"/>
      <c r="E13" s="82"/>
      <c r="F13" s="83">
        <f>SUM(D13:E13)</f>
        <v>0</v>
      </c>
      <c r="G13" s="455" t="s">
        <v>209</v>
      </c>
      <c r="H13" s="83">
        <v>17810</v>
      </c>
      <c r="I13" s="83">
        <v>15794</v>
      </c>
      <c r="J13" s="376">
        <f>SUM(H13:I13)</f>
        <v>33604</v>
      </c>
      <c r="K13" s="147"/>
    </row>
    <row r="14" spans="2:11" x14ac:dyDescent="0.2">
      <c r="B14" s="121">
        <f t="shared" si="0"/>
        <v>4</v>
      </c>
      <c r="C14" s="124" t="s">
        <v>37</v>
      </c>
      <c r="D14" s="82">
        <f>'tám, végl. pe.átv  '!C51</f>
        <v>0</v>
      </c>
      <c r="E14" s="82"/>
      <c r="F14" s="83">
        <f>SUM(D14:E14)</f>
        <v>0</v>
      </c>
      <c r="G14" s="98" t="s">
        <v>210</v>
      </c>
      <c r="H14" s="227">
        <v>7514</v>
      </c>
      <c r="I14" s="227">
        <v>60402</v>
      </c>
      <c r="J14" s="399">
        <f>SUM(H14:I14)</f>
        <v>67916</v>
      </c>
      <c r="K14" s="147"/>
    </row>
    <row r="15" spans="2:11" ht="12" customHeight="1" x14ac:dyDescent="0.2">
      <c r="B15" s="121">
        <f t="shared" si="0"/>
        <v>5</v>
      </c>
      <c r="C15" s="91"/>
      <c r="D15" s="82"/>
      <c r="E15" s="82"/>
      <c r="F15" s="83"/>
      <c r="G15" s="98"/>
      <c r="H15" s="82"/>
      <c r="I15" s="82"/>
      <c r="J15" s="376"/>
      <c r="K15" s="147"/>
    </row>
    <row r="16" spans="2:11" x14ac:dyDescent="0.2">
      <c r="B16" s="121">
        <f t="shared" si="0"/>
        <v>6</v>
      </c>
      <c r="C16" s="124" t="s">
        <v>38</v>
      </c>
      <c r="D16" s="82"/>
      <c r="E16" s="82"/>
      <c r="F16" s="83">
        <f>SUM(D16:E16)</f>
        <v>0</v>
      </c>
      <c r="G16" s="98" t="s">
        <v>28</v>
      </c>
      <c r="H16" s="126">
        <f>'ellátottak hivatal'!E17</f>
        <v>0</v>
      </c>
      <c r="I16" s="126">
        <f>'ellátottak hivatal'!F17</f>
        <v>0</v>
      </c>
      <c r="J16" s="376">
        <f>SUM(H16:I16)</f>
        <v>0</v>
      </c>
      <c r="K16" s="147"/>
    </row>
    <row r="17" spans="2:11" x14ac:dyDescent="0.2">
      <c r="B17" s="121">
        <f t="shared" si="0"/>
        <v>7</v>
      </c>
      <c r="C17" s="124"/>
      <c r="D17" s="82"/>
      <c r="E17" s="82"/>
      <c r="F17" s="83"/>
      <c r="G17" s="98" t="s">
        <v>30</v>
      </c>
      <c r="H17" s="126"/>
      <c r="I17" s="126"/>
      <c r="J17" s="376"/>
      <c r="K17" s="147"/>
    </row>
    <row r="18" spans="2:11" x14ac:dyDescent="0.2">
      <c r="B18" s="121">
        <f t="shared" si="0"/>
        <v>8</v>
      </c>
      <c r="C18" s="124" t="s">
        <v>39</v>
      </c>
      <c r="D18" s="82"/>
      <c r="E18" s="82"/>
      <c r="F18" s="83">
        <f>SUM(D18:E18)</f>
        <v>0</v>
      </c>
      <c r="G18" s="98" t="s">
        <v>437</v>
      </c>
      <c r="H18" s="126">
        <f>mc.pe.átad!E60</f>
        <v>0</v>
      </c>
      <c r="I18" s="126">
        <f>mc.pe.átad!F60</f>
        <v>0</v>
      </c>
      <c r="J18" s="126">
        <f>mc.pe.átad!G60</f>
        <v>0</v>
      </c>
      <c r="K18" s="147"/>
    </row>
    <row r="19" spans="2:11" x14ac:dyDescent="0.2">
      <c r="B19" s="121">
        <f t="shared" si="0"/>
        <v>9</v>
      </c>
      <c r="C19" s="127" t="s">
        <v>40</v>
      </c>
      <c r="D19" s="125"/>
      <c r="E19" s="125"/>
      <c r="F19" s="125"/>
      <c r="G19" s="98" t="s">
        <v>436</v>
      </c>
      <c r="H19" s="126">
        <f>mc.pe.átad!E64</f>
        <v>0</v>
      </c>
      <c r="I19" s="126">
        <f>mc.pe.átad!F64</f>
        <v>0</v>
      </c>
      <c r="J19" s="126">
        <f>mc.pe.átad!G64</f>
        <v>0</v>
      </c>
      <c r="K19" s="147"/>
    </row>
    <row r="20" spans="2:11" x14ac:dyDescent="0.2">
      <c r="B20" s="121">
        <f t="shared" si="0"/>
        <v>10</v>
      </c>
      <c r="C20" s="80" t="s">
        <v>187</v>
      </c>
      <c r="D20" s="294">
        <f>'mük. bev.Önkor és Hivatal '!C80</f>
        <v>15</v>
      </c>
      <c r="E20" s="294">
        <f>'mük. bev.Önkor és Hivatal '!D80</f>
        <v>402</v>
      </c>
      <c r="F20" s="294">
        <f>SUM(D20:E20)</f>
        <v>417</v>
      </c>
      <c r="G20" s="98" t="s">
        <v>215</v>
      </c>
      <c r="H20" s="126"/>
      <c r="I20" s="126"/>
      <c r="J20" s="378"/>
      <c r="K20" s="147"/>
    </row>
    <row r="21" spans="2:11" x14ac:dyDescent="0.2">
      <c r="B21" s="121">
        <f t="shared" si="0"/>
        <v>11</v>
      </c>
      <c r="D21" s="125"/>
      <c r="E21" s="125"/>
      <c r="F21" s="125"/>
      <c r="G21" s="98" t="s">
        <v>429</v>
      </c>
      <c r="H21" s="126"/>
      <c r="I21" s="126"/>
      <c r="J21" s="378"/>
      <c r="K21" s="147"/>
    </row>
    <row r="22" spans="2:11" s="88" customFormat="1" x14ac:dyDescent="0.2">
      <c r="B22" s="121">
        <f t="shared" si="0"/>
        <v>12</v>
      </c>
      <c r="C22" s="114" t="s">
        <v>42</v>
      </c>
      <c r="D22" s="125"/>
      <c r="E22" s="125"/>
      <c r="F22" s="125"/>
      <c r="G22" s="98" t="s">
        <v>430</v>
      </c>
      <c r="H22" s="126"/>
      <c r="I22" s="126"/>
      <c r="J22" s="378"/>
      <c r="K22" s="521"/>
    </row>
    <row r="23" spans="2:11" s="88" customFormat="1" x14ac:dyDescent="0.2">
      <c r="B23" s="121">
        <f t="shared" si="0"/>
        <v>13</v>
      </c>
      <c r="C23" s="114" t="s">
        <v>43</v>
      </c>
      <c r="D23" s="125"/>
      <c r="E23" s="125"/>
      <c r="F23" s="125"/>
      <c r="G23" s="128"/>
      <c r="H23" s="126"/>
      <c r="I23" s="126"/>
      <c r="J23" s="378"/>
      <c r="K23" s="521"/>
    </row>
    <row r="24" spans="2:11" x14ac:dyDescent="0.2">
      <c r="B24" s="121">
        <f t="shared" si="0"/>
        <v>14</v>
      </c>
      <c r="C24" s="124" t="s">
        <v>44</v>
      </c>
      <c r="D24" s="93"/>
      <c r="E24" s="93"/>
      <c r="F24" s="93"/>
      <c r="G24" s="129" t="s">
        <v>66</v>
      </c>
      <c r="H24" s="89">
        <f>SUM(H12:H22)</f>
        <v>123050</v>
      </c>
      <c r="I24" s="89">
        <f>SUM(I12:I22)</f>
        <v>149920</v>
      </c>
      <c r="J24" s="377">
        <f>SUM(J12:J22)</f>
        <v>272970</v>
      </c>
      <c r="K24" s="147"/>
    </row>
    <row r="25" spans="2:11" x14ac:dyDescent="0.2">
      <c r="B25" s="121">
        <f t="shared" si="0"/>
        <v>15</v>
      </c>
      <c r="C25" s="124" t="s">
        <v>45</v>
      </c>
      <c r="D25" s="125"/>
      <c r="E25" s="125"/>
      <c r="F25" s="125"/>
      <c r="G25" s="128"/>
      <c r="H25" s="126"/>
      <c r="I25" s="126"/>
      <c r="J25" s="378"/>
      <c r="K25" s="147"/>
    </row>
    <row r="26" spans="2:11" x14ac:dyDescent="0.2">
      <c r="B26" s="121">
        <f t="shared" si="0"/>
        <v>16</v>
      </c>
      <c r="C26" s="80" t="s">
        <v>46</v>
      </c>
      <c r="D26" s="90"/>
      <c r="E26" s="90"/>
      <c r="F26" s="90"/>
      <c r="G26" s="99" t="s">
        <v>34</v>
      </c>
      <c r="H26" s="130"/>
      <c r="I26" s="130"/>
      <c r="J26" s="378"/>
      <c r="K26" s="147"/>
    </row>
    <row r="27" spans="2:11" x14ac:dyDescent="0.2">
      <c r="B27" s="121">
        <f t="shared" si="0"/>
        <v>17</v>
      </c>
      <c r="C27" s="124" t="s">
        <v>47</v>
      </c>
      <c r="D27" s="83"/>
      <c r="E27" s="83"/>
      <c r="F27" s="83"/>
      <c r="G27" s="98" t="s">
        <v>219</v>
      </c>
      <c r="H27" s="126">
        <f>'felhalm. kiad.  '!H101</f>
        <v>1930</v>
      </c>
      <c r="I27" s="126">
        <f>'felhalm. kiad.  '!I101</f>
        <v>8970</v>
      </c>
      <c r="J27" s="378">
        <f>SUM(H27:I27)</f>
        <v>10900</v>
      </c>
      <c r="K27" s="147"/>
    </row>
    <row r="28" spans="2:11" x14ac:dyDescent="0.2">
      <c r="B28" s="121">
        <f t="shared" si="0"/>
        <v>18</v>
      </c>
      <c r="C28" s="124"/>
      <c r="D28" s="83"/>
      <c r="E28" s="83"/>
      <c r="F28" s="83"/>
      <c r="G28" s="98" t="s">
        <v>31</v>
      </c>
      <c r="H28" s="126"/>
      <c r="I28" s="126"/>
      <c r="J28" s="378"/>
      <c r="K28" s="147"/>
    </row>
    <row r="29" spans="2:11" x14ac:dyDescent="0.2">
      <c r="B29" s="121">
        <f t="shared" si="0"/>
        <v>19</v>
      </c>
      <c r="C29" s="114" t="s">
        <v>50</v>
      </c>
      <c r="D29" s="83"/>
      <c r="E29" s="83"/>
      <c r="F29" s="83"/>
      <c r="G29" s="98" t="s">
        <v>32</v>
      </c>
      <c r="H29" s="126"/>
      <c r="I29" s="126"/>
      <c r="J29" s="378"/>
      <c r="K29" s="147"/>
    </row>
    <row r="30" spans="2:11" s="88" customFormat="1" x14ac:dyDescent="0.2">
      <c r="B30" s="121">
        <f t="shared" si="0"/>
        <v>20</v>
      </c>
      <c r="C30" s="114" t="s">
        <v>48</v>
      </c>
      <c r="D30" s="83"/>
      <c r="E30" s="83"/>
      <c r="F30" s="83"/>
      <c r="G30" s="98" t="s">
        <v>438</v>
      </c>
      <c r="H30" s="126"/>
      <c r="I30" s="126"/>
      <c r="J30" s="378"/>
      <c r="K30" s="521"/>
    </row>
    <row r="31" spans="2:11" x14ac:dyDescent="0.2">
      <c r="B31" s="121">
        <f t="shared" si="0"/>
        <v>21</v>
      </c>
      <c r="D31" s="83"/>
      <c r="E31" s="83"/>
      <c r="F31" s="83"/>
      <c r="G31" s="98" t="s">
        <v>435</v>
      </c>
      <c r="H31" s="126"/>
      <c r="I31" s="126"/>
      <c r="J31" s="378"/>
      <c r="K31" s="147"/>
    </row>
    <row r="32" spans="2:11" s="11" customFormat="1" x14ac:dyDescent="0.2">
      <c r="B32" s="121">
        <f t="shared" si="0"/>
        <v>22</v>
      </c>
      <c r="C32" s="131" t="s">
        <v>52</v>
      </c>
      <c r="D32" s="294">
        <f>D13+D14+D16+D18+D20+D23+D24+D25+D26+D27+D29+D30</f>
        <v>15</v>
      </c>
      <c r="E32" s="294">
        <f>E13+E14+E16+E18+E20+E23+E24+E25+E26+E27+E29+E30</f>
        <v>402</v>
      </c>
      <c r="F32" s="294">
        <f>F13+F14+F16+F18+F20+F23+F24+F25+F26+F27+F29+F30</f>
        <v>417</v>
      </c>
      <c r="G32" s="98" t="s">
        <v>431</v>
      </c>
      <c r="H32" s="115"/>
      <c r="I32" s="115"/>
      <c r="J32" s="378"/>
      <c r="K32" s="431"/>
    </row>
    <row r="33" spans="2:11" x14ac:dyDescent="0.2">
      <c r="B33" s="121">
        <f t="shared" si="0"/>
        <v>23</v>
      </c>
      <c r="C33" s="132" t="s">
        <v>67</v>
      </c>
      <c r="D33" s="296"/>
      <c r="E33" s="296"/>
      <c r="F33" s="296"/>
      <c r="G33" s="133" t="s">
        <v>68</v>
      </c>
      <c r="H33" s="134">
        <f>SUM(H27:H32)</f>
        <v>1930</v>
      </c>
      <c r="I33" s="134">
        <f>SUM(I27:I32)</f>
        <v>8970</v>
      </c>
      <c r="J33" s="380">
        <f>SUM(J27:J31)</f>
        <v>10900</v>
      </c>
      <c r="K33" s="147"/>
    </row>
    <row r="34" spans="2:11" x14ac:dyDescent="0.2">
      <c r="B34" s="121">
        <f t="shared" si="0"/>
        <v>24</v>
      </c>
      <c r="C34" s="135" t="s">
        <v>51</v>
      </c>
      <c r="D34" s="297">
        <f>SUM(D32:D33)</f>
        <v>15</v>
      </c>
      <c r="E34" s="297">
        <f>SUM(E32:E33)</f>
        <v>402</v>
      </c>
      <c r="F34" s="297">
        <f>SUM(F32:F33)</f>
        <v>417</v>
      </c>
      <c r="G34" s="136" t="s">
        <v>69</v>
      </c>
      <c r="H34" s="130">
        <f>H24+H33</f>
        <v>124980</v>
      </c>
      <c r="I34" s="130">
        <f>I24+I33</f>
        <v>158890</v>
      </c>
      <c r="J34" s="381">
        <f>J24+J33</f>
        <v>283870</v>
      </c>
      <c r="K34" s="147"/>
    </row>
    <row r="35" spans="2:11" x14ac:dyDescent="0.2">
      <c r="B35" s="121">
        <f t="shared" si="0"/>
        <v>25</v>
      </c>
      <c r="C35" s="137"/>
      <c r="D35" s="126"/>
      <c r="E35" s="126"/>
      <c r="F35" s="126"/>
      <c r="G35" s="128"/>
      <c r="H35" s="126"/>
      <c r="I35" s="126"/>
      <c r="J35" s="378"/>
      <c r="K35" s="147"/>
    </row>
    <row r="36" spans="2:11" x14ac:dyDescent="0.2">
      <c r="B36" s="121">
        <f t="shared" si="0"/>
        <v>26</v>
      </c>
      <c r="C36" s="137"/>
      <c r="D36" s="126"/>
      <c r="E36" s="126"/>
      <c r="F36" s="126"/>
      <c r="G36" s="129"/>
      <c r="H36" s="89"/>
      <c r="I36" s="89"/>
      <c r="J36" s="377"/>
      <c r="K36" s="147"/>
    </row>
    <row r="37" spans="2:11" s="11" customFormat="1" x14ac:dyDescent="0.2">
      <c r="B37" s="121">
        <f t="shared" si="0"/>
        <v>27</v>
      </c>
      <c r="C37" s="137"/>
      <c r="D37" s="126"/>
      <c r="E37" s="126"/>
      <c r="F37" s="126"/>
      <c r="G37" s="128"/>
      <c r="H37" s="126"/>
      <c r="I37" s="126"/>
      <c r="J37" s="378"/>
      <c r="K37" s="431"/>
    </row>
    <row r="38" spans="2:11" s="11" customFormat="1" x14ac:dyDescent="0.2">
      <c r="B38" s="665">
        <f t="shared" si="0"/>
        <v>28</v>
      </c>
      <c r="C38" s="90" t="s">
        <v>53</v>
      </c>
      <c r="D38" s="90"/>
      <c r="E38" s="90"/>
      <c r="F38" s="90"/>
      <c r="G38" s="99" t="s">
        <v>33</v>
      </c>
      <c r="H38" s="130"/>
      <c r="I38" s="130"/>
      <c r="J38" s="381"/>
      <c r="K38" s="431"/>
    </row>
    <row r="39" spans="2:11" s="11" customFormat="1" x14ac:dyDescent="0.2">
      <c r="B39" s="121">
        <f t="shared" si="0"/>
        <v>29</v>
      </c>
      <c r="C39" s="95" t="s">
        <v>665</v>
      </c>
      <c r="D39" s="90"/>
      <c r="E39" s="90"/>
      <c r="F39" s="90"/>
      <c r="G39" s="138" t="s">
        <v>4</v>
      </c>
      <c r="H39" s="139"/>
      <c r="I39" s="140"/>
      <c r="J39" s="382"/>
      <c r="K39" s="431"/>
    </row>
    <row r="40" spans="2:11" s="11" customFormat="1" x14ac:dyDescent="0.2">
      <c r="B40" s="121">
        <f t="shared" si="0"/>
        <v>30</v>
      </c>
      <c r="C40" s="114" t="s">
        <v>918</v>
      </c>
      <c r="D40" s="90"/>
      <c r="E40" s="90"/>
      <c r="F40" s="90"/>
      <c r="G40" s="456" t="s">
        <v>3</v>
      </c>
      <c r="H40" s="130"/>
      <c r="I40" s="130"/>
      <c r="J40" s="381"/>
      <c r="K40" s="431"/>
    </row>
    <row r="41" spans="2:11" x14ac:dyDescent="0.2">
      <c r="B41" s="121">
        <f t="shared" si="0"/>
        <v>31</v>
      </c>
      <c r="C41" s="82" t="s">
        <v>667</v>
      </c>
      <c r="D41" s="142"/>
      <c r="E41" s="142"/>
      <c r="F41" s="142"/>
      <c r="G41" s="98" t="s">
        <v>5</v>
      </c>
      <c r="H41" s="130"/>
      <c r="I41" s="130"/>
      <c r="J41" s="381"/>
      <c r="K41" s="147"/>
    </row>
    <row r="42" spans="2:11" x14ac:dyDescent="0.2">
      <c r="B42" s="121">
        <f t="shared" si="0"/>
        <v>32</v>
      </c>
      <c r="C42" s="82" t="s">
        <v>200</v>
      </c>
      <c r="D42" s="83"/>
      <c r="E42" s="83"/>
      <c r="F42" s="83"/>
      <c r="G42" s="98" t="s">
        <v>6</v>
      </c>
      <c r="H42" s="139"/>
      <c r="I42" s="139"/>
      <c r="J42" s="381"/>
      <c r="K42" s="147"/>
    </row>
    <row r="43" spans="2:11" x14ac:dyDescent="0.2">
      <c r="B43" s="121">
        <f t="shared" si="0"/>
        <v>33</v>
      </c>
      <c r="C43" s="454" t="s">
        <v>201</v>
      </c>
      <c r="D43" s="83">
        <v>0</v>
      </c>
      <c r="E43" s="83">
        <v>0</v>
      </c>
      <c r="F43" s="83">
        <f>D43+E43</f>
        <v>0</v>
      </c>
      <c r="G43" s="98" t="s">
        <v>7</v>
      </c>
      <c r="H43" s="139"/>
      <c r="I43" s="139"/>
      <c r="J43" s="381"/>
      <c r="K43" s="147"/>
    </row>
    <row r="44" spans="2:11" x14ac:dyDescent="0.2">
      <c r="B44" s="121">
        <f t="shared" si="0"/>
        <v>34</v>
      </c>
      <c r="C44" s="454" t="s">
        <v>917</v>
      </c>
      <c r="D44" s="83"/>
      <c r="E44" s="83"/>
      <c r="F44" s="83"/>
      <c r="G44" s="98"/>
      <c r="H44" s="139"/>
      <c r="I44" s="139"/>
      <c r="J44" s="381"/>
      <c r="K44" s="147"/>
    </row>
    <row r="45" spans="2:11" x14ac:dyDescent="0.2">
      <c r="B45" s="121">
        <f t="shared" si="0"/>
        <v>35</v>
      </c>
      <c r="C45" s="83" t="s">
        <v>668</v>
      </c>
      <c r="D45" s="83"/>
      <c r="E45" s="83"/>
      <c r="F45" s="83"/>
      <c r="G45" s="98" t="s">
        <v>8</v>
      </c>
      <c r="H45" s="130"/>
      <c r="I45" s="130"/>
      <c r="J45" s="378"/>
      <c r="K45" s="147"/>
    </row>
    <row r="46" spans="2:11" x14ac:dyDescent="0.2">
      <c r="B46" s="121">
        <f t="shared" si="0"/>
        <v>36</v>
      </c>
      <c r="C46" s="83" t="s">
        <v>669</v>
      </c>
      <c r="D46" s="90"/>
      <c r="E46" s="90"/>
      <c r="F46" s="90"/>
      <c r="G46" s="98" t="s">
        <v>9</v>
      </c>
      <c r="H46" s="130"/>
      <c r="I46" s="130"/>
      <c r="J46" s="378"/>
      <c r="K46" s="147"/>
    </row>
    <row r="47" spans="2:11" x14ac:dyDescent="0.2">
      <c r="B47" s="121">
        <f t="shared" si="0"/>
        <v>37</v>
      </c>
      <c r="C47" s="82" t="s">
        <v>204</v>
      </c>
      <c r="D47" s="83"/>
      <c r="E47" s="83"/>
      <c r="F47" s="83"/>
      <c r="G47" s="98" t="s">
        <v>10</v>
      </c>
      <c r="H47" s="126"/>
      <c r="I47" s="126"/>
      <c r="J47" s="378"/>
      <c r="K47" s="147"/>
    </row>
    <row r="48" spans="2:11" x14ac:dyDescent="0.2">
      <c r="B48" s="121">
        <f t="shared" si="0"/>
        <v>38</v>
      </c>
      <c r="C48" s="454" t="s">
        <v>205</v>
      </c>
      <c r="D48" s="227">
        <f>H24-(D34+D43)</f>
        <v>123035</v>
      </c>
      <c r="E48" s="227">
        <f>I24-(E34+E43)</f>
        <v>149518</v>
      </c>
      <c r="F48" s="227">
        <f>J24-(F34+F43)</f>
        <v>272553</v>
      </c>
      <c r="G48" s="98" t="s">
        <v>11</v>
      </c>
      <c r="H48" s="126"/>
      <c r="I48" s="126"/>
      <c r="J48" s="378"/>
      <c r="K48" s="147"/>
    </row>
    <row r="49" spans="2:11" x14ac:dyDescent="0.2">
      <c r="B49" s="121">
        <f t="shared" si="0"/>
        <v>39</v>
      </c>
      <c r="C49" s="454" t="s">
        <v>206</v>
      </c>
      <c r="D49" s="83">
        <f>H33-D33</f>
        <v>1930</v>
      </c>
      <c r="E49" s="83">
        <f>I33-E33</f>
        <v>8970</v>
      </c>
      <c r="F49" s="83">
        <f>J33-F33</f>
        <v>10900</v>
      </c>
      <c r="G49" s="98" t="s">
        <v>12</v>
      </c>
      <c r="H49" s="126"/>
      <c r="I49" s="126"/>
      <c r="J49" s="378"/>
      <c r="K49" s="147"/>
    </row>
    <row r="50" spans="2:11" x14ac:dyDescent="0.2">
      <c r="B50" s="121">
        <f t="shared" si="0"/>
        <v>40</v>
      </c>
      <c r="C50" s="82" t="s">
        <v>1</v>
      </c>
      <c r="D50" s="83"/>
      <c r="E50" s="83"/>
      <c r="F50" s="83"/>
      <c r="G50" s="98" t="s">
        <v>13</v>
      </c>
      <c r="H50" s="126"/>
      <c r="I50" s="126"/>
      <c r="J50" s="378"/>
      <c r="K50" s="147"/>
    </row>
    <row r="51" spans="2:11" x14ac:dyDescent="0.2">
      <c r="B51" s="121">
        <f t="shared" si="0"/>
        <v>41</v>
      </c>
      <c r="C51" s="82"/>
      <c r="D51" s="83"/>
      <c r="E51" s="83"/>
      <c r="F51" s="83"/>
      <c r="G51" s="98" t="s">
        <v>14</v>
      </c>
      <c r="H51" s="126"/>
      <c r="I51" s="126"/>
      <c r="J51" s="378"/>
      <c r="K51" s="147"/>
    </row>
    <row r="52" spans="2:11" x14ac:dyDescent="0.2">
      <c r="B52" s="121">
        <f t="shared" si="0"/>
        <v>42</v>
      </c>
      <c r="C52" s="82"/>
      <c r="D52" s="83"/>
      <c r="E52" s="83"/>
      <c r="F52" s="83"/>
      <c r="G52" s="98" t="s">
        <v>15</v>
      </c>
      <c r="H52" s="126"/>
      <c r="I52" s="126"/>
      <c r="J52" s="378"/>
      <c r="K52" s="147"/>
    </row>
    <row r="53" spans="2:11" ht="12" thickBot="1" x14ac:dyDescent="0.25">
      <c r="B53" s="121">
        <f t="shared" si="0"/>
        <v>43</v>
      </c>
      <c r="C53" s="135" t="s">
        <v>439</v>
      </c>
      <c r="D53" s="90">
        <f>SUM(D39:D51)</f>
        <v>124965</v>
      </c>
      <c r="E53" s="90">
        <f>SUM(E39:E51)</f>
        <v>158488</v>
      </c>
      <c r="F53" s="90">
        <f>SUM(F39:F51)</f>
        <v>283453</v>
      </c>
      <c r="G53" s="99" t="s">
        <v>432</v>
      </c>
      <c r="H53" s="130">
        <f>SUM(H39:H52)</f>
        <v>0</v>
      </c>
      <c r="I53" s="130">
        <f>SUM(I39:I52)</f>
        <v>0</v>
      </c>
      <c r="J53" s="381">
        <f>SUM(J39:J52)</f>
        <v>0</v>
      </c>
      <c r="K53" s="147"/>
    </row>
    <row r="54" spans="2:11" ht="12" thickBot="1" x14ac:dyDescent="0.25">
      <c r="B54" s="768">
        <f t="shared" si="0"/>
        <v>44</v>
      </c>
      <c r="C54" s="895" t="s">
        <v>434</v>
      </c>
      <c r="D54" s="247">
        <f>D34+D53</f>
        <v>124980</v>
      </c>
      <c r="E54" s="874">
        <f>E34+E53</f>
        <v>158890</v>
      </c>
      <c r="F54" s="764">
        <f>F34+F53</f>
        <v>283870</v>
      </c>
      <c r="G54" s="428" t="s">
        <v>433</v>
      </c>
      <c r="H54" s="875">
        <f>H34+H53</f>
        <v>124980</v>
      </c>
      <c r="I54" s="875">
        <f>I34+I53</f>
        <v>158890</v>
      </c>
      <c r="J54" s="765">
        <f>J34+J53</f>
        <v>283870</v>
      </c>
      <c r="K54" s="233"/>
    </row>
    <row r="55" spans="2:11" x14ac:dyDescent="0.2">
      <c r="C55" s="140"/>
      <c r="D55" s="139"/>
      <c r="E55" s="139"/>
      <c r="F55" s="139"/>
      <c r="G55" s="139"/>
      <c r="H55" s="139"/>
      <c r="I55" s="139"/>
      <c r="J55" s="139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167" customWidth="1"/>
    <col min="2" max="2" width="33" style="80" customWidth="1"/>
    <col min="3" max="3" width="10.7109375" style="82" customWidth="1"/>
    <col min="4" max="4" width="12.28515625" style="82" customWidth="1"/>
    <col min="5" max="5" width="9.140625" style="82"/>
    <col min="6" max="6" width="11.28515625" style="82" customWidth="1"/>
    <col min="7" max="7" width="11.140625" style="82" customWidth="1"/>
    <col min="8" max="10" width="10" style="82" customWidth="1"/>
    <col min="11" max="11" width="11.28515625" style="82" customWidth="1"/>
    <col min="12" max="12" width="7.28515625" style="239" hidden="1" customWidth="1"/>
    <col min="13" max="13" width="8.5703125" style="239" hidden="1" customWidth="1"/>
    <col min="14" max="14" width="7.5703125" style="239" hidden="1" customWidth="1"/>
    <col min="15" max="15" width="8.28515625" style="239" hidden="1" customWidth="1"/>
    <col min="16" max="16" width="5.7109375" style="239" hidden="1" customWidth="1"/>
    <col min="17" max="17" width="8" style="239" hidden="1" customWidth="1"/>
    <col min="18" max="18" width="6.140625" style="239" hidden="1" customWidth="1"/>
    <col min="19" max="19" width="4.42578125" style="486" customWidth="1"/>
    <col min="20" max="16384" width="9.140625" style="45"/>
  </cols>
  <sheetData>
    <row r="1" spans="1:19" ht="17.25" customHeight="1" x14ac:dyDescent="0.2">
      <c r="B1" s="1538" t="s">
        <v>285</v>
      </c>
      <c r="C1" s="1538"/>
      <c r="D1" s="1538"/>
      <c r="E1" s="1538"/>
      <c r="F1" s="1538"/>
      <c r="G1" s="1538"/>
      <c r="H1" s="1538"/>
      <c r="I1" s="1538"/>
      <c r="J1" s="1538"/>
      <c r="K1" s="1539"/>
      <c r="L1" s="1468"/>
      <c r="M1" s="1468"/>
      <c r="N1" s="1468"/>
      <c r="O1" s="1468"/>
      <c r="P1" s="1468"/>
      <c r="Q1" s="1468"/>
      <c r="R1" s="1468"/>
    </row>
    <row r="2" spans="1:19" ht="13.5" customHeight="1" x14ac:dyDescent="0.2">
      <c r="A2" s="1542" t="s">
        <v>86</v>
      </c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45"/>
      <c r="M2" s="45"/>
      <c r="N2" s="45"/>
      <c r="O2" s="45"/>
      <c r="P2" s="45"/>
      <c r="Q2" s="45"/>
      <c r="R2" s="45"/>
      <c r="S2" s="474"/>
    </row>
    <row r="3" spans="1:19" s="47" customFormat="1" ht="12" customHeight="1" x14ac:dyDescent="0.2">
      <c r="A3" s="1407" t="s">
        <v>284</v>
      </c>
      <c r="B3" s="1540"/>
      <c r="C3" s="1540"/>
      <c r="D3" s="1540"/>
      <c r="E3" s="1540"/>
      <c r="F3" s="1540"/>
      <c r="G3" s="1540"/>
      <c r="H3" s="1540"/>
      <c r="I3" s="1540"/>
      <c r="J3" s="1540"/>
      <c r="K3" s="1540"/>
      <c r="L3" s="1468"/>
      <c r="M3" s="1468"/>
      <c r="N3" s="1468"/>
      <c r="O3" s="1468"/>
      <c r="P3" s="1468"/>
      <c r="Q3" s="1468"/>
      <c r="R3" s="1468"/>
      <c r="S3" s="487"/>
    </row>
    <row r="4" spans="1:19" s="47" customFormat="1" ht="23.25" customHeight="1" thickBot="1" x14ac:dyDescent="0.25">
      <c r="A4" s="168"/>
      <c r="B4" s="169"/>
      <c r="C4" s="170"/>
      <c r="D4" s="170"/>
      <c r="E4" s="170"/>
      <c r="F4" s="170"/>
      <c r="G4" s="1543" t="s">
        <v>295</v>
      </c>
      <c r="H4" s="1543"/>
      <c r="I4" s="1543"/>
      <c r="J4" s="1543"/>
      <c r="K4" s="1543"/>
      <c r="L4" s="277"/>
      <c r="M4" s="277"/>
      <c r="N4" s="277"/>
      <c r="O4" s="277"/>
      <c r="P4" s="277"/>
      <c r="Q4" s="277"/>
      <c r="R4" s="277"/>
      <c r="S4" s="487"/>
    </row>
    <row r="5" spans="1:19" s="81" customFormat="1" ht="17.25" customHeight="1" thickBot="1" x14ac:dyDescent="0.25">
      <c r="A5" s="1548" t="s">
        <v>460</v>
      </c>
      <c r="B5" s="1545" t="s">
        <v>517</v>
      </c>
      <c r="C5" s="1541" t="s">
        <v>57</v>
      </c>
      <c r="D5" s="1541"/>
      <c r="E5" s="1541" t="s">
        <v>58</v>
      </c>
      <c r="F5" s="1541"/>
      <c r="G5" s="1541" t="s">
        <v>59</v>
      </c>
      <c r="H5" s="1541"/>
      <c r="I5" s="1549" t="s">
        <v>60</v>
      </c>
      <c r="J5" s="1550"/>
      <c r="K5" s="171" t="s">
        <v>461</v>
      </c>
      <c r="L5" s="238"/>
      <c r="S5" s="474"/>
    </row>
    <row r="6" spans="1:19" s="81" customFormat="1" ht="17.25" customHeight="1" thickBot="1" x14ac:dyDescent="0.25">
      <c r="A6" s="1548"/>
      <c r="B6" s="1545"/>
      <c r="C6" s="1405" t="s">
        <v>283</v>
      </c>
      <c r="D6" s="1546"/>
      <c r="E6" s="1546"/>
      <c r="F6" s="1546"/>
      <c r="G6" s="1546"/>
      <c r="H6" s="1546"/>
      <c r="I6" s="1546"/>
      <c r="J6" s="1546"/>
      <c r="K6" s="1547"/>
      <c r="L6" s="238"/>
      <c r="S6" s="474"/>
    </row>
    <row r="7" spans="1:19" ht="40.15" customHeight="1" thickBot="1" x14ac:dyDescent="0.25">
      <c r="A7" s="1548"/>
      <c r="B7" s="1545"/>
      <c r="C7" s="1533" t="s">
        <v>443</v>
      </c>
      <c r="D7" s="1533"/>
      <c r="E7" s="1533" t="s">
        <v>444</v>
      </c>
      <c r="F7" s="1533"/>
      <c r="G7" s="1533" t="s">
        <v>22</v>
      </c>
      <c r="H7" s="1533"/>
      <c r="I7" s="1534" t="s">
        <v>246</v>
      </c>
      <c r="J7" s="1535"/>
      <c r="K7" s="1544" t="s">
        <v>518</v>
      </c>
      <c r="M7" s="45"/>
      <c r="N7" s="45"/>
      <c r="O7" s="45"/>
      <c r="P7" s="45"/>
      <c r="Q7" s="45"/>
      <c r="R7" s="45"/>
      <c r="S7" s="474"/>
    </row>
    <row r="8" spans="1:19" ht="50.25" customHeight="1" thickBot="1" x14ac:dyDescent="0.25">
      <c r="A8" s="1548"/>
      <c r="B8" s="1545"/>
      <c r="C8" s="1533"/>
      <c r="D8" s="1533"/>
      <c r="E8" s="1533"/>
      <c r="F8" s="1533"/>
      <c r="G8" s="1533"/>
      <c r="H8" s="1533"/>
      <c r="I8" s="1536"/>
      <c r="J8" s="1537"/>
      <c r="K8" s="1544"/>
      <c r="M8" s="45"/>
      <c r="N8" s="45"/>
      <c r="O8" s="45"/>
      <c r="P8" s="45"/>
      <c r="Q8" s="45"/>
      <c r="R8" s="45"/>
      <c r="S8" s="474"/>
    </row>
    <row r="9" spans="1:19" ht="33" customHeight="1" thickBot="1" x14ac:dyDescent="0.25">
      <c r="A9" s="1548"/>
      <c r="B9" s="1545"/>
      <c r="C9" s="172" t="s">
        <v>62</v>
      </c>
      <c r="D9" s="173" t="s">
        <v>63</v>
      </c>
      <c r="E9" s="172" t="s">
        <v>62</v>
      </c>
      <c r="F9" s="172" t="s">
        <v>63</v>
      </c>
      <c r="G9" s="172" t="s">
        <v>62</v>
      </c>
      <c r="H9" s="172" t="s">
        <v>63</v>
      </c>
      <c r="I9" s="172" t="s">
        <v>62</v>
      </c>
      <c r="J9" s="172" t="s">
        <v>63</v>
      </c>
      <c r="K9" s="1544"/>
      <c r="M9" s="45"/>
      <c r="N9" s="45"/>
      <c r="O9" s="45"/>
      <c r="P9" s="45"/>
      <c r="Q9" s="45"/>
      <c r="R9" s="45"/>
      <c r="S9" s="474"/>
    </row>
    <row r="10" spans="1:19" ht="17.25" customHeight="1" x14ac:dyDescent="0.2">
      <c r="A10" s="174" t="s">
        <v>470</v>
      </c>
      <c r="B10" s="175" t="s">
        <v>236</v>
      </c>
      <c r="C10" s="176">
        <v>1600</v>
      </c>
      <c r="E10" s="177"/>
      <c r="F10" s="178"/>
      <c r="G10" s="177"/>
      <c r="H10" s="438"/>
      <c r="I10" s="178"/>
      <c r="J10" s="178"/>
      <c r="K10" s="179">
        <f t="shared" ref="K10:K39" si="0">SUM(C10:J10)</f>
        <v>1600</v>
      </c>
      <c r="M10" s="45"/>
      <c r="N10" s="45"/>
      <c r="O10" s="45"/>
      <c r="P10" s="45"/>
      <c r="Q10" s="45"/>
      <c r="R10" s="45"/>
      <c r="S10" s="474"/>
    </row>
    <row r="11" spans="1:19" s="46" customFormat="1" ht="17.25" customHeight="1" x14ac:dyDescent="0.2">
      <c r="A11" s="174" t="s">
        <v>478</v>
      </c>
      <c r="B11" s="434" t="s">
        <v>237</v>
      </c>
      <c r="C11" s="435">
        <v>33533</v>
      </c>
      <c r="D11" s="436"/>
      <c r="E11" s="497">
        <f>'közhatalmi bevételek'!D25</f>
        <v>9000</v>
      </c>
      <c r="F11" s="180"/>
      <c r="G11" s="181"/>
      <c r="H11" s="439"/>
      <c r="I11" s="180"/>
      <c r="J11" s="180"/>
      <c r="K11" s="179">
        <f t="shared" si="0"/>
        <v>42533</v>
      </c>
      <c r="L11" s="227"/>
      <c r="S11" s="488"/>
    </row>
    <row r="12" spans="1:19" ht="17.25" customHeight="1" x14ac:dyDescent="0.2">
      <c r="A12" s="174" t="s">
        <v>479</v>
      </c>
      <c r="B12" s="124" t="s">
        <v>238</v>
      </c>
      <c r="C12" s="98"/>
      <c r="D12" s="83">
        <v>53</v>
      </c>
      <c r="E12" s="84"/>
      <c r="F12" s="83"/>
      <c r="G12" s="84"/>
      <c r="H12" s="384"/>
      <c r="I12" s="83"/>
      <c r="J12" s="83"/>
      <c r="K12" s="179">
        <f t="shared" si="0"/>
        <v>53</v>
      </c>
      <c r="M12" s="45"/>
      <c r="N12" s="45"/>
      <c r="O12" s="45"/>
      <c r="P12" s="45"/>
      <c r="Q12" s="45"/>
      <c r="R12" s="45"/>
      <c r="S12" s="474"/>
    </row>
    <row r="13" spans="1:19" ht="17.25" customHeight="1" x14ac:dyDescent="0.2">
      <c r="A13" s="174" t="s">
        <v>480</v>
      </c>
      <c r="B13" s="124" t="s">
        <v>239</v>
      </c>
      <c r="C13" s="98"/>
      <c r="D13" s="83">
        <v>391</v>
      </c>
      <c r="E13" s="84"/>
      <c r="F13" s="83"/>
      <c r="G13" s="84"/>
      <c r="H13" s="440"/>
      <c r="I13" s="182"/>
      <c r="J13" s="182"/>
      <c r="K13" s="179">
        <f t="shared" si="0"/>
        <v>391</v>
      </c>
      <c r="M13" s="45"/>
      <c r="N13" s="45"/>
      <c r="O13" s="45"/>
      <c r="P13" s="45"/>
      <c r="Q13" s="45"/>
      <c r="R13" s="45"/>
      <c r="S13" s="474"/>
    </row>
    <row r="14" spans="1:19" ht="17.25" customHeight="1" x14ac:dyDescent="0.2">
      <c r="A14" s="174" t="s">
        <v>481</v>
      </c>
      <c r="B14" s="124" t="s">
        <v>240</v>
      </c>
      <c r="C14" s="98"/>
      <c r="D14" s="83"/>
      <c r="E14" s="84"/>
      <c r="F14" s="83"/>
      <c r="G14" s="84"/>
      <c r="H14" s="440"/>
      <c r="I14" s="182"/>
      <c r="J14" s="182"/>
      <c r="K14" s="179">
        <f t="shared" si="0"/>
        <v>0</v>
      </c>
      <c r="M14" s="45"/>
      <c r="N14" s="45"/>
      <c r="O14" s="45"/>
      <c r="P14" s="45"/>
      <c r="Q14" s="45"/>
      <c r="R14" s="45"/>
      <c r="S14" s="474"/>
    </row>
    <row r="15" spans="1:19" ht="17.25" customHeight="1" x14ac:dyDescent="0.2">
      <c r="A15" s="174" t="s">
        <v>482</v>
      </c>
      <c r="B15" s="124" t="s">
        <v>241</v>
      </c>
      <c r="C15" s="98"/>
      <c r="D15" s="83">
        <v>20031</v>
      </c>
      <c r="E15" s="84"/>
      <c r="F15" s="83"/>
      <c r="G15" s="84"/>
      <c r="H15" s="440"/>
      <c r="I15" s="182"/>
      <c r="J15" s="182"/>
      <c r="K15" s="179">
        <f t="shared" si="0"/>
        <v>20031</v>
      </c>
      <c r="M15" s="45"/>
      <c r="N15" s="45"/>
      <c r="O15" s="45"/>
      <c r="P15" s="45"/>
      <c r="Q15" s="45"/>
      <c r="R15" s="45"/>
      <c r="S15" s="474"/>
    </row>
    <row r="16" spans="1:19" ht="17.25" customHeight="1" x14ac:dyDescent="0.2">
      <c r="A16" s="174" t="s">
        <v>483</v>
      </c>
      <c r="B16" s="124" t="s">
        <v>242</v>
      </c>
      <c r="C16" s="98">
        <v>3600</v>
      </c>
      <c r="D16" s="83">
        <v>8084</v>
      </c>
      <c r="E16" s="84"/>
      <c r="F16" s="83"/>
      <c r="G16" s="84"/>
      <c r="H16" s="440"/>
      <c r="I16" s="182"/>
      <c r="J16" s="182"/>
      <c r="K16" s="179">
        <f t="shared" si="0"/>
        <v>11684</v>
      </c>
      <c r="M16" s="45"/>
      <c r="N16" s="45"/>
      <c r="O16" s="45"/>
      <c r="P16" s="45"/>
      <c r="Q16" s="45"/>
      <c r="R16" s="45"/>
      <c r="S16" s="474"/>
    </row>
    <row r="17" spans="1:19" ht="17.25" customHeight="1" x14ac:dyDescent="0.2">
      <c r="A17" s="174" t="s">
        <v>484</v>
      </c>
      <c r="B17" s="124" t="s">
        <v>243</v>
      </c>
      <c r="C17" s="98"/>
      <c r="D17" s="83">
        <v>10160</v>
      </c>
      <c r="E17" s="84"/>
      <c r="F17" s="83"/>
      <c r="G17" s="84"/>
      <c r="H17" s="440"/>
      <c r="I17" s="182"/>
      <c r="J17" s="182"/>
      <c r="K17" s="179">
        <f t="shared" si="0"/>
        <v>10160</v>
      </c>
      <c r="M17" s="45"/>
      <c r="N17" s="45"/>
      <c r="O17" s="45"/>
      <c r="P17" s="45"/>
      <c r="Q17" s="45"/>
      <c r="R17" s="45"/>
      <c r="S17" s="474"/>
    </row>
    <row r="18" spans="1:19" ht="17.25" customHeight="1" x14ac:dyDescent="0.2">
      <c r="A18" s="174" t="s">
        <v>485</v>
      </c>
      <c r="B18" s="124" t="s">
        <v>244</v>
      </c>
      <c r="C18" s="98">
        <v>183</v>
      </c>
      <c r="D18" s="83"/>
      <c r="E18" s="84"/>
      <c r="F18" s="83"/>
      <c r="G18" s="84"/>
      <c r="H18" s="440"/>
      <c r="I18" s="182"/>
      <c r="J18" s="182"/>
      <c r="K18" s="179">
        <f t="shared" si="0"/>
        <v>183</v>
      </c>
      <c r="M18" s="45"/>
      <c r="N18" s="45"/>
      <c r="O18" s="45"/>
      <c r="P18" s="45"/>
      <c r="Q18" s="45"/>
      <c r="R18" s="45"/>
      <c r="S18" s="474"/>
    </row>
    <row r="19" spans="1:19" ht="17.25" customHeight="1" x14ac:dyDescent="0.2">
      <c r="A19" s="174" t="s">
        <v>519</v>
      </c>
      <c r="B19" s="127" t="s">
        <v>245</v>
      </c>
      <c r="C19" s="98">
        <v>1288</v>
      </c>
      <c r="D19" s="83">
        <v>2062</v>
      </c>
      <c r="E19" s="84"/>
      <c r="F19" s="83"/>
      <c r="G19" s="84" t="e">
        <f>'tám, végl. pe.átv  '!#REF!</f>
        <v>#REF!</v>
      </c>
      <c r="H19" s="384"/>
      <c r="J19" s="82">
        <v>0</v>
      </c>
      <c r="K19" s="179" t="e">
        <f>SUM(C19:J19)</f>
        <v>#REF!</v>
      </c>
      <c r="M19" s="45"/>
      <c r="N19" s="45"/>
      <c r="O19" s="45"/>
      <c r="P19" s="45"/>
      <c r="Q19" s="45"/>
      <c r="R19" s="45"/>
      <c r="S19" s="474"/>
    </row>
    <row r="20" spans="1:19" ht="17.25" customHeight="1" x14ac:dyDescent="0.2">
      <c r="A20" s="174" t="s">
        <v>520</v>
      </c>
      <c r="B20" s="124" t="s">
        <v>267</v>
      </c>
      <c r="C20" s="98">
        <v>25</v>
      </c>
      <c r="D20" s="83"/>
      <c r="E20" s="84"/>
      <c r="F20" s="83"/>
      <c r="G20" s="420">
        <v>447</v>
      </c>
      <c r="H20" s="441"/>
      <c r="I20" s="240"/>
      <c r="J20" s="240"/>
      <c r="K20" s="179">
        <f t="shared" si="0"/>
        <v>472</v>
      </c>
      <c r="M20" s="45"/>
      <c r="N20" s="45"/>
      <c r="O20" s="45"/>
      <c r="P20" s="45"/>
      <c r="Q20" s="45"/>
      <c r="R20" s="45"/>
      <c r="S20" s="474"/>
    </row>
    <row r="21" spans="1:19" s="47" customFormat="1" ht="17.25" customHeight="1" x14ac:dyDescent="0.2">
      <c r="A21" s="174" t="s">
        <v>521</v>
      </c>
      <c r="B21" s="124" t="s">
        <v>268</v>
      </c>
      <c r="C21" s="98"/>
      <c r="D21" s="83"/>
      <c r="E21" s="84"/>
      <c r="F21" s="83"/>
      <c r="G21" s="420">
        <f>'tám, végl. pe.átv  '!C11</f>
        <v>455832</v>
      </c>
      <c r="H21" s="400">
        <f>'tám, végl. pe.átv  '!D11</f>
        <v>118245</v>
      </c>
      <c r="I21" s="227"/>
      <c r="J21" s="227"/>
      <c r="K21" s="179">
        <f t="shared" si="0"/>
        <v>574077</v>
      </c>
      <c r="L21" s="240"/>
      <c r="S21" s="489"/>
    </row>
    <row r="22" spans="1:19" ht="17.25" customHeight="1" x14ac:dyDescent="0.2">
      <c r="A22" s="174" t="s">
        <v>522</v>
      </c>
      <c r="B22" s="124" t="s">
        <v>269</v>
      </c>
      <c r="C22" s="98"/>
      <c r="D22" s="83"/>
      <c r="E22" s="84"/>
      <c r="F22" s="83"/>
      <c r="G22" s="420">
        <f>'tám, végl. pe.átv  '!C19</f>
        <v>0</v>
      </c>
      <c r="H22" s="441"/>
      <c r="I22" s="240"/>
      <c r="J22" s="240"/>
      <c r="K22" s="179">
        <f t="shared" si="0"/>
        <v>0</v>
      </c>
      <c r="M22" s="45"/>
      <c r="N22" s="45"/>
      <c r="O22" s="45"/>
      <c r="P22" s="45"/>
      <c r="Q22" s="45"/>
      <c r="R22" s="45"/>
      <c r="S22" s="474"/>
    </row>
    <row r="23" spans="1:19" ht="17.25" customHeight="1" x14ac:dyDescent="0.2">
      <c r="A23" s="174" t="s">
        <v>523</v>
      </c>
      <c r="B23" s="124" t="s">
        <v>281</v>
      </c>
      <c r="C23" s="98"/>
      <c r="D23" s="83"/>
      <c r="E23" s="84"/>
      <c r="F23" s="83"/>
      <c r="G23" s="420"/>
      <c r="H23" s="400">
        <f>'tám, végl. pe.átv  '!D20</f>
        <v>2081</v>
      </c>
      <c r="I23" s="240"/>
      <c r="J23" s="240"/>
      <c r="K23" s="179">
        <f t="shared" si="0"/>
        <v>2081</v>
      </c>
      <c r="M23" s="45"/>
      <c r="N23" s="45"/>
      <c r="O23" s="45"/>
      <c r="P23" s="45"/>
      <c r="Q23" s="45"/>
      <c r="R23" s="45"/>
      <c r="S23" s="474"/>
    </row>
    <row r="24" spans="1:19" ht="17.25" customHeight="1" x14ac:dyDescent="0.2">
      <c r="A24" s="174" t="s">
        <v>524</v>
      </c>
      <c r="B24" s="124" t="s">
        <v>282</v>
      </c>
      <c r="C24" s="98"/>
      <c r="D24" s="83"/>
      <c r="E24" s="84"/>
      <c r="F24" s="83"/>
      <c r="G24" s="420">
        <v>1300</v>
      </c>
      <c r="H24" s="441"/>
      <c r="I24" s="240"/>
      <c r="J24" s="240"/>
      <c r="K24" s="179">
        <f t="shared" si="0"/>
        <v>1300</v>
      </c>
      <c r="M24" s="45"/>
      <c r="N24" s="45"/>
      <c r="O24" s="45"/>
      <c r="P24" s="45"/>
      <c r="Q24" s="45"/>
      <c r="R24" s="45"/>
      <c r="S24" s="474"/>
    </row>
    <row r="25" spans="1:19" ht="17.25" customHeight="1" x14ac:dyDescent="0.2">
      <c r="A25" s="174" t="s">
        <v>525</v>
      </c>
      <c r="B25" s="124" t="s">
        <v>270</v>
      </c>
      <c r="C25" s="98"/>
      <c r="D25" s="83"/>
      <c r="E25" s="84"/>
      <c r="F25" s="83"/>
      <c r="G25" s="420">
        <v>14203</v>
      </c>
      <c r="H25" s="400"/>
      <c r="I25" s="227"/>
      <c r="J25" s="227"/>
      <c r="K25" s="179">
        <f t="shared" si="0"/>
        <v>14203</v>
      </c>
      <c r="M25" s="45"/>
      <c r="N25" s="45"/>
      <c r="O25" s="45"/>
      <c r="P25" s="45"/>
      <c r="Q25" s="45"/>
      <c r="R25" s="45"/>
      <c r="S25" s="474"/>
    </row>
    <row r="26" spans="1:19" ht="17.25" customHeight="1" x14ac:dyDescent="0.2">
      <c r="A26" s="174" t="s">
        <v>526</v>
      </c>
      <c r="B26" s="124" t="s">
        <v>247</v>
      </c>
      <c r="C26" s="98"/>
      <c r="E26" s="84">
        <f>'közhatalmi bevételek'!D13</f>
        <v>730215</v>
      </c>
      <c r="F26" s="83">
        <f>'közhatalmi bevételek'!E13</f>
        <v>17385</v>
      </c>
      <c r="G26" s="84"/>
      <c r="H26" s="440"/>
      <c r="I26" s="182"/>
      <c r="J26" s="182"/>
      <c r="K26" s="179">
        <f t="shared" si="0"/>
        <v>747600</v>
      </c>
      <c r="M26" s="45"/>
      <c r="N26" s="45"/>
      <c r="O26" s="45"/>
      <c r="P26" s="45"/>
      <c r="Q26" s="45"/>
      <c r="R26" s="45"/>
      <c r="S26" s="474"/>
    </row>
    <row r="27" spans="1:19" ht="17.25" customHeight="1" x14ac:dyDescent="0.2">
      <c r="A27" s="174" t="s">
        <v>528</v>
      </c>
      <c r="B27" s="127" t="s">
        <v>527</v>
      </c>
      <c r="C27" s="98"/>
      <c r="E27" s="84"/>
      <c r="F27" s="83"/>
      <c r="G27" s="84"/>
      <c r="H27" s="440"/>
      <c r="I27" s="182"/>
      <c r="J27" s="182"/>
      <c r="K27" s="179">
        <f t="shared" si="0"/>
        <v>0</v>
      </c>
      <c r="M27" s="45"/>
      <c r="N27" s="45"/>
      <c r="O27" s="45"/>
      <c r="P27" s="45"/>
      <c r="Q27" s="45"/>
      <c r="R27" s="45"/>
      <c r="S27" s="474"/>
    </row>
    <row r="28" spans="1:19" ht="17.25" customHeight="1" x14ac:dyDescent="0.2">
      <c r="A28" s="174" t="s">
        <v>529</v>
      </c>
      <c r="B28" s="124" t="s">
        <v>271</v>
      </c>
      <c r="C28" s="98"/>
      <c r="E28" s="84">
        <f>'közhatalmi bevételek'!D19</f>
        <v>0</v>
      </c>
      <c r="F28" s="83"/>
      <c r="G28" s="84"/>
      <c r="H28" s="440"/>
      <c r="I28" s="182"/>
      <c r="J28" s="182"/>
      <c r="K28" s="179">
        <f t="shared" si="0"/>
        <v>0</v>
      </c>
      <c r="M28" s="45"/>
      <c r="N28" s="45"/>
      <c r="O28" s="45"/>
      <c r="P28" s="45"/>
      <c r="Q28" s="45"/>
      <c r="R28" s="45"/>
      <c r="S28" s="474"/>
    </row>
    <row r="29" spans="1:19" s="47" customFormat="1" ht="17.25" customHeight="1" x14ac:dyDescent="0.2">
      <c r="A29" s="174" t="s">
        <v>530</v>
      </c>
      <c r="B29" s="124" t="s">
        <v>248</v>
      </c>
      <c r="C29" s="98"/>
      <c r="D29" s="85"/>
      <c r="E29" s="420">
        <f>'közhatalmi bevételek'!D15</f>
        <v>4500</v>
      </c>
      <c r="F29" s="83">
        <f>'közhatalmi bevételek'!E15</f>
        <v>0</v>
      </c>
      <c r="G29" s="98"/>
      <c r="H29" s="440"/>
      <c r="I29" s="182"/>
      <c r="J29" s="182"/>
      <c r="K29" s="179">
        <f t="shared" si="0"/>
        <v>4500</v>
      </c>
      <c r="L29" s="240"/>
      <c r="S29" s="489"/>
    </row>
    <row r="30" spans="1:19" ht="17.25" customHeight="1" x14ac:dyDescent="0.2">
      <c r="A30" s="174" t="s">
        <v>531</v>
      </c>
      <c r="B30" s="124" t="s">
        <v>249</v>
      </c>
      <c r="C30" s="98"/>
      <c r="D30" s="83"/>
      <c r="E30" s="420">
        <f>'közhatalmi bevételek'!D24</f>
        <v>0</v>
      </c>
      <c r="F30" s="83"/>
      <c r="G30" s="84"/>
      <c r="H30" s="440"/>
      <c r="I30" s="182"/>
      <c r="J30" s="182"/>
      <c r="K30" s="179">
        <f t="shared" si="0"/>
        <v>0</v>
      </c>
      <c r="M30" s="45"/>
      <c r="N30" s="45"/>
      <c r="O30" s="45"/>
      <c r="P30" s="45"/>
      <c r="Q30" s="45"/>
      <c r="R30" s="45"/>
      <c r="S30" s="474"/>
    </row>
    <row r="31" spans="1:19" ht="17.25" customHeight="1" x14ac:dyDescent="0.2">
      <c r="A31" s="174" t="s">
        <v>532</v>
      </c>
      <c r="B31" s="124" t="s">
        <v>250</v>
      </c>
      <c r="C31" s="98"/>
      <c r="D31" s="83"/>
      <c r="E31" s="84"/>
      <c r="F31" s="83"/>
      <c r="G31" s="84"/>
      <c r="H31" s="440"/>
      <c r="I31" s="182"/>
      <c r="J31" s="182"/>
      <c r="K31" s="179">
        <f t="shared" si="0"/>
        <v>0</v>
      </c>
      <c r="M31" s="45"/>
      <c r="N31" s="45"/>
      <c r="O31" s="45"/>
      <c r="P31" s="45"/>
      <c r="Q31" s="45"/>
      <c r="R31" s="45"/>
      <c r="S31" s="474"/>
    </row>
    <row r="32" spans="1:19" ht="17.25" customHeight="1" x14ac:dyDescent="0.2">
      <c r="A32" s="174" t="s">
        <v>534</v>
      </c>
      <c r="B32" s="124" t="s">
        <v>251</v>
      </c>
      <c r="C32" s="98">
        <v>140</v>
      </c>
      <c r="D32" s="83">
        <v>46</v>
      </c>
      <c r="E32" s="84"/>
      <c r="F32" s="83"/>
      <c r="G32" s="84"/>
      <c r="H32" s="440"/>
      <c r="I32" s="182"/>
      <c r="J32" s="182"/>
      <c r="K32" s="179">
        <f t="shared" si="0"/>
        <v>186</v>
      </c>
      <c r="M32" s="45"/>
      <c r="N32" s="45"/>
      <c r="O32" s="45"/>
      <c r="P32" s="45"/>
      <c r="Q32" s="45"/>
      <c r="R32" s="45"/>
      <c r="S32" s="474"/>
    </row>
    <row r="33" spans="1:19" ht="17.25" customHeight="1" x14ac:dyDescent="0.2">
      <c r="A33" s="174" t="s">
        <v>535</v>
      </c>
      <c r="B33" s="175" t="s">
        <v>252</v>
      </c>
      <c r="C33" s="183"/>
      <c r="D33" s="178"/>
      <c r="E33" s="177"/>
      <c r="F33" s="178"/>
      <c r="G33" s="421">
        <v>5065</v>
      </c>
      <c r="H33" s="440"/>
      <c r="I33" s="182"/>
      <c r="J33" s="182"/>
      <c r="K33" s="179">
        <f t="shared" si="0"/>
        <v>5065</v>
      </c>
      <c r="M33" s="45"/>
      <c r="N33" s="45"/>
      <c r="O33" s="45"/>
      <c r="P33" s="45"/>
      <c r="Q33" s="45"/>
      <c r="R33" s="45"/>
      <c r="S33" s="474"/>
    </row>
    <row r="34" spans="1:19" ht="17.25" customHeight="1" x14ac:dyDescent="0.2">
      <c r="A34" s="174" t="s">
        <v>552</v>
      </c>
      <c r="B34" s="175" t="s">
        <v>253</v>
      </c>
      <c r="C34" s="183"/>
      <c r="D34" s="178"/>
      <c r="E34" s="177"/>
      <c r="F34" s="178"/>
      <c r="G34" s="421">
        <v>0</v>
      </c>
      <c r="H34" s="440"/>
      <c r="I34" s="182"/>
      <c r="J34" s="182"/>
      <c r="K34" s="179">
        <f t="shared" si="0"/>
        <v>0</v>
      </c>
      <c r="M34" s="45"/>
      <c r="N34" s="45"/>
      <c r="O34" s="45"/>
      <c r="P34" s="45"/>
      <c r="Q34" s="45"/>
      <c r="R34" s="45"/>
      <c r="S34" s="474"/>
    </row>
    <row r="35" spans="1:19" ht="17.25" customHeight="1" x14ac:dyDescent="0.2">
      <c r="A35" s="174" t="s">
        <v>553</v>
      </c>
      <c r="B35" s="175" t="s">
        <v>254</v>
      </c>
      <c r="C35" s="183"/>
      <c r="D35" s="178"/>
      <c r="E35" s="177"/>
      <c r="F35" s="178"/>
      <c r="G35" s="421">
        <v>455</v>
      </c>
      <c r="H35" s="440"/>
      <c r="I35" s="182"/>
      <c r="J35" s="182"/>
      <c r="K35" s="179">
        <f t="shared" si="0"/>
        <v>455</v>
      </c>
      <c r="M35" s="45"/>
      <c r="N35" s="45"/>
      <c r="O35" s="45"/>
      <c r="P35" s="45"/>
      <c r="Q35" s="45"/>
      <c r="R35" s="45"/>
      <c r="S35" s="474"/>
    </row>
    <row r="36" spans="1:19" ht="17.25" customHeight="1" x14ac:dyDescent="0.2">
      <c r="A36" s="174" t="s">
        <v>554</v>
      </c>
      <c r="B36" s="175" t="s">
        <v>537</v>
      </c>
      <c r="C36" s="183"/>
      <c r="D36" s="178"/>
      <c r="E36" s="177"/>
      <c r="F36" s="178"/>
      <c r="G36" s="421">
        <v>500</v>
      </c>
      <c r="H36" s="440"/>
      <c r="I36" s="182"/>
      <c r="J36" s="182"/>
      <c r="K36" s="179">
        <f t="shared" si="0"/>
        <v>500</v>
      </c>
      <c r="M36" s="45"/>
      <c r="N36" s="45"/>
      <c r="O36" s="45"/>
      <c r="P36" s="45"/>
      <c r="Q36" s="45"/>
      <c r="R36" s="45"/>
      <c r="S36" s="474"/>
    </row>
    <row r="37" spans="1:19" ht="17.25" customHeight="1" x14ac:dyDescent="0.2">
      <c r="A37" s="174" t="s">
        <v>555</v>
      </c>
      <c r="B37" s="175" t="s">
        <v>255</v>
      </c>
      <c r="C37" s="183"/>
      <c r="D37" s="178"/>
      <c r="E37" s="177"/>
      <c r="F37" s="178"/>
      <c r="G37" s="421">
        <v>2032</v>
      </c>
      <c r="H37" s="440"/>
      <c r="I37" s="182"/>
      <c r="J37" s="182"/>
      <c r="K37" s="179">
        <f t="shared" si="0"/>
        <v>2032</v>
      </c>
      <c r="M37" s="45"/>
      <c r="N37" s="45"/>
      <c r="O37" s="45"/>
      <c r="P37" s="45"/>
      <c r="Q37" s="45"/>
      <c r="R37" s="45"/>
      <c r="S37" s="474"/>
    </row>
    <row r="38" spans="1:19" ht="17.25" customHeight="1" x14ac:dyDescent="0.2">
      <c r="A38" s="174" t="s">
        <v>556</v>
      </c>
      <c r="B38" s="175" t="s">
        <v>256</v>
      </c>
      <c r="C38" s="183"/>
      <c r="D38" s="423">
        <v>2286</v>
      </c>
      <c r="E38" s="183"/>
      <c r="F38" s="178"/>
      <c r="G38" s="422"/>
      <c r="H38" s="384"/>
      <c r="K38" s="179">
        <f t="shared" si="0"/>
        <v>2286</v>
      </c>
      <c r="M38" s="45"/>
      <c r="N38" s="45"/>
      <c r="O38" s="45"/>
      <c r="P38" s="45"/>
      <c r="Q38" s="45"/>
      <c r="R38" s="45"/>
      <c r="S38" s="474"/>
    </row>
    <row r="39" spans="1:19" ht="17.25" customHeight="1" thickBot="1" x14ac:dyDescent="0.25">
      <c r="A39" s="174" t="s">
        <v>557</v>
      </c>
      <c r="B39" s="175" t="s">
        <v>257</v>
      </c>
      <c r="C39" s="183"/>
      <c r="D39" s="178"/>
      <c r="E39" s="177"/>
      <c r="F39" s="178"/>
      <c r="G39" s="177"/>
      <c r="H39" s="440"/>
      <c r="I39" s="182"/>
      <c r="J39" s="182"/>
      <c r="K39" s="179">
        <f t="shared" si="0"/>
        <v>0</v>
      </c>
      <c r="M39" s="45"/>
      <c r="N39" s="45"/>
      <c r="O39" s="45"/>
      <c r="P39" s="45"/>
      <c r="Q39" s="45"/>
      <c r="R39" s="45"/>
      <c r="S39" s="474"/>
    </row>
    <row r="40" spans="1:19" ht="17.25" customHeight="1" thickBot="1" x14ac:dyDescent="0.25">
      <c r="A40" s="1560" t="s">
        <v>561</v>
      </c>
      <c r="B40" s="1561"/>
      <c r="C40" s="290">
        <f>SUM(C10:C39)</f>
        <v>40369</v>
      </c>
      <c r="D40" s="290">
        <f>SUM(D10:D39)</f>
        <v>43113</v>
      </c>
      <c r="E40" s="461">
        <f>SUM(E10:E39)</f>
        <v>743715</v>
      </c>
      <c r="F40" s="462">
        <f>SUM(F10:F39)</f>
        <v>17385</v>
      </c>
      <c r="G40" s="290" t="e">
        <f>SUM(G10:G39)</f>
        <v>#REF!</v>
      </c>
      <c r="H40" s="442">
        <f>SUM(H12:H39)</f>
        <v>120326</v>
      </c>
      <c r="I40" s="442">
        <f>SUM(I12:I39)</f>
        <v>0</v>
      </c>
      <c r="J40" s="442">
        <f>SUM(J12:J39)</f>
        <v>0</v>
      </c>
      <c r="K40" s="291" t="e">
        <f>SUM(C40:J40)</f>
        <v>#REF!</v>
      </c>
      <c r="M40" s="45"/>
      <c r="N40" s="45"/>
      <c r="O40" s="45"/>
      <c r="P40" s="45"/>
      <c r="Q40" s="45"/>
      <c r="R40" s="45"/>
      <c r="S40" s="474"/>
    </row>
    <row r="41" spans="1:19" ht="17.25" customHeight="1" x14ac:dyDescent="0.2">
      <c r="M41" s="45"/>
      <c r="N41" s="45"/>
      <c r="O41" s="45"/>
      <c r="P41" s="45"/>
      <c r="Q41" s="45"/>
      <c r="R41" s="45"/>
      <c r="S41" s="474"/>
    </row>
    <row r="42" spans="1:19" ht="17.25" customHeight="1" x14ac:dyDescent="0.2">
      <c r="M42" s="45"/>
      <c r="N42" s="45"/>
      <c r="O42" s="45"/>
      <c r="P42" s="45"/>
      <c r="Q42" s="45"/>
      <c r="R42" s="45"/>
      <c r="S42" s="474"/>
    </row>
    <row r="43" spans="1:19" ht="17.25" customHeight="1" x14ac:dyDescent="0.2">
      <c r="M43" s="45"/>
      <c r="N43" s="45"/>
      <c r="O43" s="45"/>
      <c r="P43" s="45"/>
      <c r="Q43" s="45"/>
      <c r="R43" s="45"/>
      <c r="S43" s="474"/>
    </row>
    <row r="44" spans="1:19" ht="17.25" customHeight="1" x14ac:dyDescent="0.2">
      <c r="M44" s="45"/>
      <c r="N44" s="45"/>
      <c r="O44" s="45"/>
      <c r="P44" s="45"/>
      <c r="Q44" s="45"/>
      <c r="R44" s="45"/>
      <c r="S44" s="474"/>
    </row>
    <row r="45" spans="1:19" ht="17.25" customHeight="1" x14ac:dyDescent="0.2">
      <c r="M45" s="45"/>
      <c r="N45" s="45"/>
      <c r="O45" s="45"/>
      <c r="P45" s="45"/>
      <c r="Q45" s="45"/>
      <c r="R45" s="45"/>
      <c r="S45" s="474"/>
    </row>
    <row r="46" spans="1:19" ht="17.25" customHeight="1" x14ac:dyDescent="0.2">
      <c r="M46" s="45"/>
      <c r="N46" s="45"/>
      <c r="O46" s="45"/>
      <c r="P46" s="45"/>
      <c r="Q46" s="45"/>
      <c r="R46" s="45"/>
      <c r="S46" s="474"/>
    </row>
    <row r="47" spans="1:19" ht="17.25" customHeight="1" x14ac:dyDescent="0.2">
      <c r="M47" s="45"/>
      <c r="N47" s="45"/>
      <c r="O47" s="45"/>
      <c r="P47" s="45"/>
      <c r="Q47" s="45"/>
      <c r="R47" s="45"/>
      <c r="S47" s="474"/>
    </row>
    <row r="48" spans="1:19" ht="17.25" customHeight="1" x14ac:dyDescent="0.2">
      <c r="M48" s="45"/>
      <c r="N48" s="45"/>
      <c r="O48" s="45"/>
      <c r="P48" s="45"/>
      <c r="Q48" s="45"/>
      <c r="R48" s="45"/>
      <c r="S48" s="474"/>
    </row>
    <row r="49" spans="2:24" ht="17.25" customHeight="1" x14ac:dyDescent="0.2">
      <c r="M49" s="45"/>
      <c r="N49" s="45"/>
      <c r="O49" s="45"/>
      <c r="P49" s="45"/>
      <c r="Q49" s="45"/>
      <c r="R49" s="45"/>
      <c r="S49" s="474"/>
    </row>
    <row r="50" spans="2:24" ht="17.25" customHeight="1" x14ac:dyDescent="0.2">
      <c r="M50" s="45"/>
      <c r="N50" s="45"/>
      <c r="O50" s="45"/>
      <c r="P50" s="45"/>
      <c r="Q50" s="45"/>
      <c r="R50" s="45"/>
      <c r="S50" s="474"/>
    </row>
    <row r="51" spans="2:24" ht="17.25" customHeight="1" x14ac:dyDescent="0.2">
      <c r="M51" s="45"/>
      <c r="N51" s="45"/>
      <c r="O51" s="45"/>
      <c r="P51" s="45"/>
      <c r="Q51" s="45"/>
      <c r="R51" s="45"/>
      <c r="S51" s="474"/>
    </row>
    <row r="52" spans="2:24" ht="17.25" customHeight="1" x14ac:dyDescent="0.2">
      <c r="M52" s="45"/>
      <c r="N52" s="45"/>
      <c r="O52" s="45"/>
      <c r="P52" s="45"/>
      <c r="Q52" s="45"/>
      <c r="R52" s="45"/>
      <c r="S52" s="474"/>
    </row>
    <row r="53" spans="2:24" ht="17.25" customHeight="1" x14ac:dyDescent="0.2">
      <c r="M53" s="45"/>
      <c r="N53" s="45"/>
      <c r="O53" s="45"/>
      <c r="P53" s="45"/>
      <c r="Q53" s="45"/>
      <c r="R53" s="45"/>
      <c r="S53" s="474"/>
    </row>
    <row r="54" spans="2:24" ht="17.25" customHeight="1" x14ac:dyDescent="0.2">
      <c r="M54" s="45"/>
      <c r="N54" s="45"/>
      <c r="O54" s="45"/>
      <c r="P54" s="45"/>
      <c r="Q54" s="45"/>
      <c r="R54" s="45"/>
      <c r="S54" s="474"/>
    </row>
    <row r="55" spans="2:24" ht="17.25" customHeight="1" x14ac:dyDescent="0.2">
      <c r="M55" s="45"/>
      <c r="N55" s="45"/>
      <c r="O55" s="45"/>
      <c r="P55" s="45"/>
      <c r="Q55" s="45"/>
      <c r="R55" s="45"/>
      <c r="S55" s="474"/>
    </row>
    <row r="56" spans="2:24" ht="17.25" customHeight="1" x14ac:dyDescent="0.2">
      <c r="M56" s="45"/>
      <c r="N56" s="45"/>
      <c r="O56" s="45"/>
      <c r="P56" s="45"/>
      <c r="Q56" s="45"/>
      <c r="R56" s="45"/>
      <c r="S56" s="474"/>
    </row>
    <row r="57" spans="2:24" ht="17.25" customHeight="1" x14ac:dyDescent="0.2">
      <c r="M57" s="45"/>
      <c r="N57" s="45"/>
      <c r="O57" s="45"/>
      <c r="P57" s="45"/>
      <c r="Q57" s="45"/>
      <c r="R57" s="45"/>
      <c r="S57" s="474"/>
    </row>
    <row r="58" spans="2:24" ht="17.25" customHeight="1" x14ac:dyDescent="0.2">
      <c r="M58" s="45"/>
      <c r="N58" s="45"/>
      <c r="O58" s="45"/>
      <c r="P58" s="45"/>
      <c r="Q58" s="45"/>
      <c r="R58" s="45"/>
      <c r="S58" s="474"/>
    </row>
    <row r="64" spans="2:24" ht="17.25" customHeight="1" x14ac:dyDescent="0.2">
      <c r="B64" s="1538" t="s">
        <v>538</v>
      </c>
      <c r="C64" s="1468"/>
      <c r="D64" s="1468"/>
      <c r="E64" s="1468"/>
      <c r="F64" s="1468"/>
      <c r="G64" s="1468"/>
      <c r="H64" s="1468"/>
      <c r="I64" s="1468"/>
      <c r="J64" s="1468"/>
      <c r="K64" s="1468"/>
      <c r="L64" s="1468"/>
      <c r="M64" s="1468"/>
      <c r="N64" s="1468"/>
      <c r="O64" s="1468"/>
      <c r="P64" s="1468"/>
      <c r="Q64" s="1468"/>
      <c r="R64" s="1468"/>
      <c r="W64" s="46"/>
      <c r="X64" s="46"/>
    </row>
    <row r="65" spans="1:23" ht="17.25" customHeight="1" x14ac:dyDescent="0.2">
      <c r="D65" s="80"/>
      <c r="E65" s="80"/>
      <c r="F65" s="80"/>
      <c r="G65" s="80"/>
      <c r="H65" s="80"/>
      <c r="I65" s="80"/>
      <c r="J65" s="80"/>
      <c r="K65" s="80"/>
      <c r="W65" s="46"/>
    </row>
    <row r="66" spans="1:23" ht="17.25" customHeight="1" x14ac:dyDescent="0.2">
      <c r="A66" s="1407" t="s">
        <v>516</v>
      </c>
      <c r="B66" s="1468"/>
      <c r="C66" s="1468"/>
      <c r="D66" s="1468"/>
      <c r="E66" s="1468"/>
      <c r="F66" s="1468"/>
      <c r="G66" s="1468"/>
      <c r="H66" s="1468"/>
      <c r="I66" s="1468"/>
      <c r="J66" s="1468"/>
      <c r="K66" s="1468"/>
      <c r="L66" s="1468"/>
      <c r="M66" s="1468"/>
      <c r="N66" s="1468"/>
      <c r="O66" s="1468"/>
      <c r="P66" s="1468"/>
      <c r="Q66" s="1468"/>
      <c r="R66" s="1468"/>
    </row>
    <row r="67" spans="1:23" ht="17.25" customHeight="1" x14ac:dyDescent="0.2">
      <c r="A67" s="1407" t="s">
        <v>284</v>
      </c>
      <c r="B67" s="1468"/>
      <c r="C67" s="1468"/>
      <c r="D67" s="1468"/>
      <c r="E67" s="1468"/>
      <c r="F67" s="1468"/>
      <c r="G67" s="1468"/>
      <c r="H67" s="1468"/>
      <c r="I67" s="1468"/>
      <c r="J67" s="1468"/>
      <c r="K67" s="1468"/>
      <c r="L67" s="1468"/>
      <c r="M67" s="1468"/>
      <c r="N67" s="1468"/>
      <c r="O67" s="1468"/>
      <c r="P67" s="1468"/>
      <c r="Q67" s="1468"/>
      <c r="R67" s="1468"/>
    </row>
    <row r="68" spans="1:23" ht="17.25" customHeight="1" x14ac:dyDescent="0.2">
      <c r="B68" s="169"/>
      <c r="C68" s="170"/>
      <c r="D68" s="170"/>
      <c r="E68" s="170"/>
      <c r="F68" s="170"/>
      <c r="G68" s="170"/>
      <c r="H68" s="170"/>
      <c r="I68" s="170"/>
      <c r="J68" s="170"/>
      <c r="K68" s="170"/>
    </row>
    <row r="69" spans="1:23" ht="12.75" customHeight="1" thickBot="1" x14ac:dyDescent="0.25">
      <c r="A69" s="1558" t="s">
        <v>295</v>
      </c>
      <c r="B69" s="1559"/>
      <c r="C69" s="1559"/>
      <c r="D69" s="1559"/>
      <c r="E69" s="1559"/>
      <c r="F69" s="1559"/>
      <c r="G69" s="1559"/>
      <c r="H69" s="1559"/>
      <c r="I69" s="1559"/>
      <c r="J69" s="1559"/>
      <c r="K69" s="1559"/>
      <c r="L69" s="1508"/>
      <c r="M69" s="1508"/>
      <c r="N69" s="1508"/>
      <c r="O69" s="1508"/>
      <c r="P69" s="1508"/>
      <c r="Q69" s="1508"/>
      <c r="R69" s="1508"/>
    </row>
    <row r="70" spans="1:23" s="81" customFormat="1" ht="11.25" customHeight="1" x14ac:dyDescent="0.2">
      <c r="A70" s="1568" t="s">
        <v>460</v>
      </c>
      <c r="B70" s="1562" t="s">
        <v>85</v>
      </c>
      <c r="C70" s="1552" t="s">
        <v>57</v>
      </c>
      <c r="D70" s="1557"/>
      <c r="E70" s="1557" t="s">
        <v>58</v>
      </c>
      <c r="F70" s="1557"/>
      <c r="G70" s="1557" t="s">
        <v>59</v>
      </c>
      <c r="H70" s="1557"/>
      <c r="I70" s="1551"/>
      <c r="J70" s="1552"/>
      <c r="K70" s="255" t="s">
        <v>60</v>
      </c>
      <c r="L70" s="1550" t="s">
        <v>461</v>
      </c>
      <c r="M70" s="1541"/>
      <c r="N70" s="1541" t="s">
        <v>462</v>
      </c>
      <c r="O70" s="1541"/>
      <c r="P70" s="1541" t="s">
        <v>463</v>
      </c>
      <c r="Q70" s="1541"/>
      <c r="R70" s="251" t="s">
        <v>580</v>
      </c>
      <c r="S70" s="486"/>
    </row>
    <row r="71" spans="1:23" ht="31.5" customHeight="1" x14ac:dyDescent="0.2">
      <c r="A71" s="1569"/>
      <c r="B71" s="1563"/>
      <c r="C71" s="1553" t="s">
        <v>539</v>
      </c>
      <c r="D71" s="1546"/>
      <c r="E71" s="1546"/>
      <c r="F71" s="1546"/>
      <c r="G71" s="1546"/>
      <c r="H71" s="1546"/>
      <c r="I71" s="1546"/>
      <c r="J71" s="1546"/>
      <c r="K71" s="1556"/>
      <c r="L71" s="1553" t="s">
        <v>505</v>
      </c>
      <c r="M71" s="1554"/>
      <c r="N71" s="1554"/>
      <c r="O71" s="1554"/>
      <c r="P71" s="1554"/>
      <c r="Q71" s="1554"/>
      <c r="R71" s="1555"/>
    </row>
    <row r="72" spans="1:23" ht="36" customHeight="1" thickBot="1" x14ac:dyDescent="0.25">
      <c r="A72" s="1569"/>
      <c r="B72" s="1563"/>
      <c r="C72" s="1565" t="s">
        <v>443</v>
      </c>
      <c r="D72" s="1533"/>
      <c r="E72" s="1533" t="s">
        <v>444</v>
      </c>
      <c r="F72" s="1533"/>
      <c r="G72" s="1533" t="s">
        <v>22</v>
      </c>
      <c r="H72" s="1533"/>
      <c r="I72" s="1534"/>
      <c r="J72" s="1535"/>
      <c r="K72" s="1571" t="s">
        <v>518</v>
      </c>
      <c r="L72" s="1565" t="s">
        <v>443</v>
      </c>
      <c r="M72" s="1533"/>
      <c r="N72" s="1533" t="s">
        <v>444</v>
      </c>
      <c r="O72" s="1533"/>
      <c r="P72" s="1533" t="s">
        <v>22</v>
      </c>
      <c r="Q72" s="1533"/>
      <c r="R72" s="1566" t="s">
        <v>518</v>
      </c>
    </row>
    <row r="73" spans="1:23" ht="35.25" customHeight="1" thickBot="1" x14ac:dyDescent="0.25">
      <c r="A73" s="1569"/>
      <c r="B73" s="1563"/>
      <c r="C73" s="1565"/>
      <c r="D73" s="1533"/>
      <c r="E73" s="1533"/>
      <c r="F73" s="1533"/>
      <c r="G73" s="1533"/>
      <c r="H73" s="1533"/>
      <c r="I73" s="1536"/>
      <c r="J73" s="1537"/>
      <c r="K73" s="1571"/>
      <c r="L73" s="1565"/>
      <c r="M73" s="1533"/>
      <c r="N73" s="1533"/>
      <c r="O73" s="1533"/>
      <c r="P73" s="1533"/>
      <c r="Q73" s="1533"/>
      <c r="R73" s="1566"/>
    </row>
    <row r="74" spans="1:23" ht="32.25" customHeight="1" thickBot="1" x14ac:dyDescent="0.25">
      <c r="A74" s="1570"/>
      <c r="B74" s="1564"/>
      <c r="C74" s="426" t="s">
        <v>62</v>
      </c>
      <c r="D74" s="257" t="s">
        <v>63</v>
      </c>
      <c r="E74" s="256" t="s">
        <v>62</v>
      </c>
      <c r="F74" s="256" t="s">
        <v>63</v>
      </c>
      <c r="G74" s="256" t="s">
        <v>62</v>
      </c>
      <c r="H74" s="256" t="s">
        <v>63</v>
      </c>
      <c r="I74" s="256" t="s">
        <v>62</v>
      </c>
      <c r="J74" s="256" t="s">
        <v>63</v>
      </c>
      <c r="K74" s="1572"/>
      <c r="L74" s="259" t="s">
        <v>62</v>
      </c>
      <c r="M74" s="260" t="s">
        <v>63</v>
      </c>
      <c r="N74" s="254" t="s">
        <v>62</v>
      </c>
      <c r="O74" s="254" t="s">
        <v>63</v>
      </c>
      <c r="P74" s="254" t="s">
        <v>62</v>
      </c>
      <c r="Q74" s="254" t="s">
        <v>63</v>
      </c>
      <c r="R74" s="1567"/>
    </row>
    <row r="75" spans="1:23" ht="17.25" customHeight="1" x14ac:dyDescent="0.2">
      <c r="A75" s="184">
        <v>1</v>
      </c>
      <c r="B75" s="482" t="s">
        <v>542</v>
      </c>
      <c r="C75" s="203">
        <v>10</v>
      </c>
      <c r="D75" s="203">
        <v>0</v>
      </c>
      <c r="E75" s="203"/>
      <c r="F75" s="203"/>
      <c r="G75" s="203"/>
      <c r="H75" s="203"/>
      <c r="I75" s="203"/>
      <c r="J75" s="203"/>
      <c r="K75" s="425">
        <f>SUM(C75:H75)</f>
        <v>10</v>
      </c>
      <c r="L75" s="261">
        <v>20</v>
      </c>
      <c r="M75" s="261">
        <v>188</v>
      </c>
      <c r="N75" s="261"/>
      <c r="O75" s="261"/>
      <c r="P75" s="261"/>
      <c r="Q75" s="261"/>
      <c r="R75" s="262">
        <f>SUM(L75:Q75)</f>
        <v>208</v>
      </c>
    </row>
    <row r="76" spans="1:23" ht="17.25" customHeight="1" x14ac:dyDescent="0.2">
      <c r="A76" s="184">
        <v>2</v>
      </c>
      <c r="B76" s="483" t="s">
        <v>541</v>
      </c>
      <c r="C76" s="203"/>
      <c r="D76" s="203">
        <v>284</v>
      </c>
      <c r="E76" s="203"/>
      <c r="F76" s="203"/>
      <c r="G76" s="203"/>
      <c r="H76" s="203"/>
      <c r="I76" s="203"/>
      <c r="J76" s="203"/>
      <c r="K76" s="449">
        <f>SUM(C76:H76)</f>
        <v>284</v>
      </c>
      <c r="L76" s="203"/>
      <c r="M76" s="203"/>
      <c r="N76" s="203"/>
      <c r="O76" s="203"/>
      <c r="P76" s="203"/>
      <c r="Q76" s="203"/>
      <c r="R76" s="443"/>
    </row>
    <row r="77" spans="1:23" ht="17.25" customHeight="1" x14ac:dyDescent="0.2">
      <c r="A77" s="184">
        <v>3</v>
      </c>
      <c r="B77" s="483" t="s">
        <v>540</v>
      </c>
      <c r="C77" s="203">
        <v>3</v>
      </c>
      <c r="D77" s="203">
        <v>78</v>
      </c>
      <c r="E77" s="203"/>
      <c r="F77" s="203"/>
      <c r="G77" s="203"/>
      <c r="H77" s="203"/>
      <c r="I77" s="203"/>
      <c r="J77" s="203"/>
      <c r="K77" s="449">
        <f>SUM(C77:H77)</f>
        <v>81</v>
      </c>
      <c r="L77" s="203"/>
      <c r="M77" s="203"/>
      <c r="N77" s="203"/>
      <c r="O77" s="203"/>
      <c r="P77" s="203"/>
      <c r="Q77" s="203"/>
      <c r="R77" s="443"/>
    </row>
    <row r="78" spans="1:23" ht="17.25" customHeight="1" x14ac:dyDescent="0.2">
      <c r="A78" s="174">
        <v>4</v>
      </c>
      <c r="B78" s="483" t="s">
        <v>543</v>
      </c>
      <c r="C78" s="481">
        <v>2</v>
      </c>
      <c r="D78" s="258"/>
      <c r="E78" s="258"/>
      <c r="F78" s="258"/>
      <c r="G78" s="258"/>
      <c r="H78" s="258"/>
      <c r="I78" s="258"/>
      <c r="J78" s="258"/>
      <c r="K78" s="449">
        <f>SUM(C78:H78)</f>
        <v>2</v>
      </c>
      <c r="L78" s="263"/>
      <c r="M78" s="263"/>
      <c r="N78" s="263"/>
      <c r="O78" s="263"/>
      <c r="P78" s="263"/>
      <c r="Q78" s="263"/>
      <c r="R78" s="264"/>
    </row>
    <row r="79" spans="1:23" ht="17.25" customHeight="1" thickBot="1" x14ac:dyDescent="0.25">
      <c r="A79" s="450">
        <v>5</v>
      </c>
      <c r="B79" s="484" t="s">
        <v>544</v>
      </c>
      <c r="C79" s="481"/>
      <c r="D79" s="258">
        <v>40</v>
      </c>
      <c r="E79" s="258"/>
      <c r="F79" s="258"/>
      <c r="G79" s="258"/>
      <c r="H79" s="258"/>
      <c r="I79" s="258"/>
      <c r="J79" s="258"/>
      <c r="K79" s="485">
        <f>SUM(C79:J79)</f>
        <v>40</v>
      </c>
      <c r="L79" s="263"/>
      <c r="M79" s="263"/>
      <c r="N79" s="263"/>
      <c r="O79" s="263"/>
      <c r="P79" s="263"/>
      <c r="Q79" s="263"/>
      <c r="R79" s="264"/>
    </row>
    <row r="80" spans="1:23" ht="17.25" customHeight="1" thickBot="1" x14ac:dyDescent="0.25">
      <c r="A80" s="437" t="s">
        <v>258</v>
      </c>
      <c r="B80" s="444"/>
      <c r="C80" s="445">
        <f>SUM(C74:C78)</f>
        <v>15</v>
      </c>
      <c r="D80" s="445">
        <f>SUM(D74:D79)</f>
        <v>402</v>
      </c>
      <c r="E80" s="446">
        <f>SUM(E74)</f>
        <v>0</v>
      </c>
      <c r="F80" s="446">
        <f>SUM(F74)</f>
        <v>0</v>
      </c>
      <c r="G80" s="446">
        <f>SUM(G74)</f>
        <v>0</v>
      </c>
      <c r="H80" s="446">
        <f>SUM(H74:H78)</f>
        <v>0</v>
      </c>
      <c r="I80" s="447"/>
      <c r="J80" s="447"/>
      <c r="K80" s="448">
        <f>SUM(K74:K79)</f>
        <v>417</v>
      </c>
      <c r="L80" s="424">
        <f>SUM(L75:L78)</f>
        <v>20</v>
      </c>
      <c r="M80" s="252">
        <f>SUM(M75:M78)</f>
        <v>188</v>
      </c>
      <c r="N80" s="252"/>
      <c r="O80" s="252"/>
      <c r="P80" s="252"/>
      <c r="Q80" s="252"/>
      <c r="R80" s="265">
        <f>SUM(L80:Q80)</f>
        <v>208</v>
      </c>
      <c r="S80" s="487"/>
    </row>
  </sheetData>
  <sheetProtection selectLockedCells="1" selectUnlockedCells="1"/>
  <mergeCells count="41"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70"/>
  <sheetViews>
    <sheetView zoomScale="130" zoomScaleNormal="13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T15" sqref="T15"/>
    </sheetView>
  </sheetViews>
  <sheetFormatPr defaultColWidth="9.140625" defaultRowHeight="10.5" x14ac:dyDescent="0.2"/>
  <cols>
    <col min="1" max="1" width="4.140625" style="45" customWidth="1"/>
    <col min="2" max="2" width="4.85546875" style="280" customWidth="1"/>
    <col min="3" max="3" width="26.7109375" style="287" customWidth="1"/>
    <col min="4" max="4" width="5.85546875" style="288" customWidth="1"/>
    <col min="5" max="5" width="6.7109375" style="289" customWidth="1"/>
    <col min="6" max="6" width="5.85546875" style="289" customWidth="1"/>
    <col min="7" max="7" width="6.42578125" style="289" customWidth="1"/>
    <col min="8" max="8" width="5.42578125" style="289" customWidth="1"/>
    <col min="9" max="9" width="6.42578125" style="289" customWidth="1"/>
    <col min="10" max="10" width="5.7109375" style="289" customWidth="1"/>
    <col min="11" max="11" width="5.5703125" style="289" customWidth="1"/>
    <col min="12" max="12" width="6" style="289" customWidth="1"/>
    <col min="13" max="15" width="5.85546875" style="289" customWidth="1"/>
    <col min="16" max="16" width="4.7109375" style="289" customWidth="1"/>
    <col min="17" max="17" width="5" style="289" customWidth="1"/>
    <col min="18" max="18" width="6.5703125" style="289" bestFit="1" customWidth="1"/>
    <col min="19" max="19" width="12.85546875" style="279" customWidth="1"/>
    <col min="20" max="22" width="9.140625" style="279"/>
    <col min="23" max="16384" width="9.140625" style="45"/>
  </cols>
  <sheetData>
    <row r="1" spans="1:22" ht="12.75" x14ac:dyDescent="0.2">
      <c r="B1" s="1538" t="s">
        <v>1389</v>
      </c>
      <c r="C1" s="1575"/>
      <c r="D1" s="1575"/>
      <c r="E1" s="1575"/>
      <c r="F1" s="1575"/>
      <c r="G1" s="1575"/>
      <c r="H1" s="1575"/>
      <c r="I1" s="1575"/>
      <c r="J1" s="1575"/>
      <c r="K1" s="1575"/>
      <c r="L1" s="1575"/>
      <c r="M1" s="1575"/>
      <c r="N1" s="1575"/>
      <c r="O1" s="1575"/>
      <c r="P1" s="1575"/>
      <c r="Q1" s="1575"/>
      <c r="R1" s="1575"/>
    </row>
    <row r="2" spans="1:22" ht="12.75" x14ac:dyDescent="0.2">
      <c r="B2" s="1576" t="s">
        <v>77</v>
      </c>
      <c r="C2" s="1577"/>
      <c r="D2" s="1577"/>
      <c r="E2" s="1577"/>
      <c r="F2" s="1577"/>
      <c r="G2" s="1577"/>
      <c r="H2" s="1577"/>
      <c r="I2" s="1577"/>
      <c r="J2" s="1577"/>
      <c r="K2" s="1577"/>
      <c r="L2" s="1577"/>
      <c r="M2" s="1577"/>
      <c r="N2" s="1577"/>
      <c r="O2" s="1577"/>
      <c r="P2" s="1577"/>
      <c r="Q2" s="1577"/>
      <c r="R2" s="1577"/>
    </row>
    <row r="3" spans="1:22" ht="12.75" x14ac:dyDescent="0.2">
      <c r="A3" s="46"/>
      <c r="B3" s="1407" t="s">
        <v>1322</v>
      </c>
      <c r="C3" s="1575"/>
      <c r="D3" s="1575"/>
      <c r="E3" s="1575"/>
      <c r="F3" s="1575"/>
      <c r="G3" s="1575"/>
      <c r="H3" s="1575"/>
      <c r="I3" s="1575"/>
      <c r="J3" s="1575"/>
      <c r="K3" s="1575"/>
      <c r="L3" s="1575"/>
      <c r="M3" s="1575"/>
      <c r="N3" s="1575"/>
      <c r="O3" s="1575"/>
      <c r="P3" s="1575"/>
      <c r="Q3" s="1575"/>
      <c r="R3" s="1575"/>
    </row>
    <row r="4" spans="1:22" x14ac:dyDescent="0.2">
      <c r="A4" s="46"/>
      <c r="C4" s="1590" t="s">
        <v>295</v>
      </c>
      <c r="D4" s="1590"/>
      <c r="E4" s="1590"/>
      <c r="F4" s="1590"/>
      <c r="G4" s="1590"/>
      <c r="H4" s="1590"/>
      <c r="I4" s="1590"/>
      <c r="J4" s="1590"/>
      <c r="K4" s="1590"/>
      <c r="L4" s="1590"/>
      <c r="M4" s="1590"/>
      <c r="N4" s="1590"/>
      <c r="O4" s="1590"/>
      <c r="P4" s="1590"/>
      <c r="Q4" s="1590"/>
      <c r="R4" s="1590"/>
    </row>
    <row r="5" spans="1:22" x14ac:dyDescent="0.2">
      <c r="A5" s="700"/>
      <c r="B5" s="1578" t="s">
        <v>460</v>
      </c>
      <c r="C5" s="698" t="s">
        <v>57</v>
      </c>
      <c r="D5" s="1583" t="s">
        <v>58</v>
      </c>
      <c r="E5" s="1574"/>
      <c r="F5" s="1583" t="s">
        <v>59</v>
      </c>
      <c r="G5" s="1574"/>
      <c r="H5" s="1583" t="s">
        <v>579</v>
      </c>
      <c r="I5" s="1574"/>
      <c r="J5" s="1583" t="s">
        <v>461</v>
      </c>
      <c r="K5" s="1574"/>
      <c r="L5" s="1573" t="s">
        <v>462</v>
      </c>
      <c r="M5" s="1574"/>
      <c r="N5" s="1573" t="s">
        <v>463</v>
      </c>
      <c r="O5" s="1574"/>
      <c r="P5" s="1573" t="s">
        <v>580</v>
      </c>
      <c r="Q5" s="1574"/>
      <c r="R5" s="452" t="s">
        <v>588</v>
      </c>
    </row>
    <row r="6" spans="1:22" ht="12.75" x14ac:dyDescent="0.2">
      <c r="A6" s="700"/>
      <c r="B6" s="1579"/>
      <c r="C6" s="699"/>
      <c r="D6" s="1591" t="s">
        <v>1136</v>
      </c>
      <c r="E6" s="1592"/>
      <c r="F6" s="1592"/>
      <c r="G6" s="1592"/>
      <c r="H6" s="1592"/>
      <c r="I6" s="1592"/>
      <c r="J6" s="1592"/>
      <c r="K6" s="1592"/>
      <c r="L6" s="1592"/>
      <c r="M6" s="1592"/>
      <c r="N6" s="1592"/>
      <c r="O6" s="1592"/>
      <c r="P6" s="1592"/>
      <c r="Q6" s="1592"/>
      <c r="R6" s="1593"/>
    </row>
    <row r="7" spans="1:22" ht="24.95" customHeight="1" x14ac:dyDescent="0.2">
      <c r="A7" s="700"/>
      <c r="B7" s="1579"/>
      <c r="C7" s="1595" t="s">
        <v>85</v>
      </c>
      <c r="D7" s="1581" t="s">
        <v>442</v>
      </c>
      <c r="E7" s="1582"/>
      <c r="F7" s="1594" t="s">
        <v>21</v>
      </c>
      <c r="G7" s="1594"/>
      <c r="H7" s="1594" t="s">
        <v>440</v>
      </c>
      <c r="I7" s="1594"/>
      <c r="J7" s="1582" t="s">
        <v>450</v>
      </c>
      <c r="K7" s="1582"/>
      <c r="L7" s="1582" t="s">
        <v>449</v>
      </c>
      <c r="M7" s="1582"/>
      <c r="N7" s="1534" t="s">
        <v>259</v>
      </c>
      <c r="O7" s="1584"/>
      <c r="P7" s="1582" t="s">
        <v>441</v>
      </c>
      <c r="Q7" s="1582"/>
      <c r="R7" s="1587" t="s">
        <v>518</v>
      </c>
    </row>
    <row r="8" spans="1:22" ht="26.25" customHeight="1" x14ac:dyDescent="0.2">
      <c r="A8" s="700"/>
      <c r="B8" s="1579"/>
      <c r="C8" s="1596"/>
      <c r="D8" s="1581"/>
      <c r="E8" s="1582"/>
      <c r="F8" s="1594"/>
      <c r="G8" s="1594"/>
      <c r="H8" s="1594"/>
      <c r="I8" s="1594"/>
      <c r="J8" s="1582"/>
      <c r="K8" s="1582"/>
      <c r="L8" s="1582"/>
      <c r="M8" s="1582"/>
      <c r="N8" s="1585"/>
      <c r="O8" s="1586"/>
      <c r="P8" s="1582"/>
      <c r="Q8" s="1582"/>
      <c r="R8" s="1588"/>
      <c r="S8" s="677"/>
      <c r="T8" s="286"/>
    </row>
    <row r="9" spans="1:22" s="226" customFormat="1" ht="40.9" customHeight="1" x14ac:dyDescent="0.15">
      <c r="A9" s="701"/>
      <c r="B9" s="1580"/>
      <c r="C9" s="1597"/>
      <c r="D9" s="281" t="s">
        <v>62</v>
      </c>
      <c r="E9" s="282" t="s">
        <v>63</v>
      </c>
      <c r="F9" s="283" t="s">
        <v>62</v>
      </c>
      <c r="G9" s="282" t="s">
        <v>63</v>
      </c>
      <c r="H9" s="283" t="s">
        <v>62</v>
      </c>
      <c r="I9" s="282" t="s">
        <v>63</v>
      </c>
      <c r="J9" s="283" t="s">
        <v>62</v>
      </c>
      <c r="K9" s="283" t="s">
        <v>63</v>
      </c>
      <c r="L9" s="283" t="s">
        <v>62</v>
      </c>
      <c r="M9" s="282" t="s">
        <v>63</v>
      </c>
      <c r="N9" s="283" t="s">
        <v>62</v>
      </c>
      <c r="O9" s="282" t="s">
        <v>63</v>
      </c>
      <c r="P9" s="283" t="s">
        <v>62</v>
      </c>
      <c r="Q9" s="283" t="s">
        <v>63</v>
      </c>
      <c r="R9" s="1589"/>
      <c r="S9" s="284"/>
      <c r="T9" s="284"/>
      <c r="U9" s="284"/>
      <c r="V9" s="284"/>
    </row>
    <row r="10" spans="1:22" s="226" customFormat="1" ht="21" customHeight="1" x14ac:dyDescent="0.15">
      <c r="A10" s="701"/>
      <c r="B10" s="763" t="s">
        <v>470</v>
      </c>
      <c r="C10" s="696" t="s">
        <v>1226</v>
      </c>
      <c r="D10" s="1107"/>
      <c r="E10" s="1101"/>
      <c r="F10" s="1076"/>
      <c r="G10" s="1101"/>
      <c r="H10" s="678">
        <v>12261</v>
      </c>
      <c r="I10" s="1101"/>
      <c r="J10" s="1076"/>
      <c r="K10" s="1101"/>
      <c r="L10" s="1108"/>
      <c r="M10" s="1101"/>
      <c r="N10" s="1076"/>
      <c r="O10" s="1101"/>
      <c r="P10" s="678"/>
      <c r="Q10" s="679"/>
      <c r="R10" s="684">
        <f t="shared" ref="R10:R12" si="0">SUM(D10:Q10)</f>
        <v>12261</v>
      </c>
      <c r="S10" s="284"/>
      <c r="T10" s="284"/>
      <c r="U10" s="284"/>
      <c r="V10" s="284"/>
    </row>
    <row r="11" spans="1:22" s="226" customFormat="1" ht="21" customHeight="1" x14ac:dyDescent="0.2">
      <c r="A11" s="701"/>
      <c r="B11" s="763" t="s">
        <v>478</v>
      </c>
      <c r="C11" s="692" t="s">
        <v>1391</v>
      </c>
      <c r="D11" s="422">
        <v>13950</v>
      </c>
      <c r="E11" s="1081"/>
      <c r="F11" s="420">
        <v>3069</v>
      </c>
      <c r="G11" s="1081"/>
      <c r="H11" s="693">
        <v>92846</v>
      </c>
      <c r="I11" s="1076"/>
      <c r="J11" s="1099"/>
      <c r="K11" s="1100"/>
      <c r="L11" s="1099"/>
      <c r="M11" s="1101"/>
      <c r="N11" s="1076"/>
      <c r="O11" s="1076"/>
      <c r="P11" s="693"/>
      <c r="Q11" s="678"/>
      <c r="R11" s="684">
        <f t="shared" si="0"/>
        <v>109865</v>
      </c>
      <c r="S11" s="284"/>
      <c r="T11" s="284"/>
      <c r="U11" s="284"/>
      <c r="V11" s="284"/>
    </row>
    <row r="12" spans="1:22" s="226" customFormat="1" ht="21" customHeight="1" x14ac:dyDescent="0.2">
      <c r="A12" s="701"/>
      <c r="B12" s="763" t="s">
        <v>479</v>
      </c>
      <c r="C12" s="683" t="s">
        <v>934</v>
      </c>
      <c r="D12" s="1092"/>
      <c r="E12" s="1087"/>
      <c r="F12" s="1088"/>
      <c r="G12" s="1087"/>
      <c r="H12" s="1135">
        <v>1969</v>
      </c>
      <c r="I12" s="1081"/>
      <c r="J12" s="1093"/>
      <c r="K12" s="1090"/>
      <c r="L12" s="1088"/>
      <c r="M12" s="1091"/>
      <c r="N12" s="1087"/>
      <c r="O12" s="1087"/>
      <c r="P12" s="686"/>
      <c r="Q12" s="685"/>
      <c r="R12" s="684">
        <f t="shared" si="0"/>
        <v>1969</v>
      </c>
      <c r="S12" s="284"/>
      <c r="T12" s="284"/>
      <c r="U12" s="284"/>
      <c r="V12" s="284"/>
    </row>
    <row r="13" spans="1:22" s="226" customFormat="1" ht="35.25" customHeight="1" x14ac:dyDescent="0.15">
      <c r="A13" s="701"/>
      <c r="B13" s="763" t="s">
        <v>480</v>
      </c>
      <c r="C13" s="697" t="s">
        <v>1392</v>
      </c>
      <c r="D13" s="687">
        <v>4098</v>
      </c>
      <c r="E13" s="687"/>
      <c r="F13" s="688">
        <v>902</v>
      </c>
      <c r="G13" s="685"/>
      <c r="H13" s="688">
        <v>20156</v>
      </c>
      <c r="I13" s="687">
        <v>3808</v>
      </c>
      <c r="J13" s="1088"/>
      <c r="K13" s="1090"/>
      <c r="L13" s="1088"/>
      <c r="M13" s="1091"/>
      <c r="N13" s="1087"/>
      <c r="O13" s="1087"/>
      <c r="P13" s="686"/>
      <c r="Q13" s="685"/>
      <c r="R13" s="684">
        <f>SUM(D13:Q13)</f>
        <v>28964</v>
      </c>
      <c r="S13" s="284"/>
      <c r="T13" s="284"/>
      <c r="U13" s="284"/>
      <c r="V13" s="284"/>
    </row>
    <row r="14" spans="1:22" s="226" customFormat="1" ht="21" customHeight="1" x14ac:dyDescent="0.15">
      <c r="A14" s="701"/>
      <c r="B14" s="763" t="s">
        <v>481</v>
      </c>
      <c r="C14" s="696" t="s">
        <v>1021</v>
      </c>
      <c r="D14" s="1107"/>
      <c r="E14" s="1101"/>
      <c r="F14" s="1076"/>
      <c r="G14" s="1101"/>
      <c r="H14" s="678">
        <v>77</v>
      </c>
      <c r="I14" s="679"/>
      <c r="J14" s="678"/>
      <c r="K14" s="1101"/>
      <c r="L14" s="1108"/>
      <c r="M14" s="1101"/>
      <c r="N14" s="1076"/>
      <c r="O14" s="1101"/>
      <c r="P14" s="678"/>
      <c r="Q14" s="679"/>
      <c r="R14" s="684">
        <f t="shared" ref="R14" si="1">SUM(D14:Q14)</f>
        <v>77</v>
      </c>
      <c r="S14" s="284"/>
      <c r="T14" s="284"/>
      <c r="U14" s="284"/>
      <c r="V14" s="284"/>
    </row>
    <row r="15" spans="1:22" s="226" customFormat="1" ht="24.75" customHeight="1" x14ac:dyDescent="0.2">
      <c r="A15" s="701"/>
      <c r="B15" s="763" t="s">
        <v>482</v>
      </c>
      <c r="C15" s="697" t="s">
        <v>1393</v>
      </c>
      <c r="D15" s="685">
        <v>0</v>
      </c>
      <c r="E15" s="685"/>
      <c r="F15" s="686">
        <v>0</v>
      </c>
      <c r="G15" s="685"/>
      <c r="H15" s="688">
        <v>1912</v>
      </c>
      <c r="I15" s="685"/>
      <c r="J15" s="688"/>
      <c r="K15" s="1133"/>
      <c r="L15" s="686"/>
      <c r="M15" s="1134"/>
      <c r="N15" s="685"/>
      <c r="O15" s="685"/>
      <c r="P15" s="686"/>
      <c r="Q15" s="685"/>
      <c r="R15" s="684">
        <f>SUM(D15:Q15)</f>
        <v>1912</v>
      </c>
      <c r="S15" s="629"/>
      <c r="T15" s="630"/>
      <c r="U15" s="284"/>
      <c r="V15" s="284"/>
    </row>
    <row r="16" spans="1:22" s="226" customFormat="1" ht="15" customHeight="1" x14ac:dyDescent="0.2">
      <c r="A16" s="701"/>
      <c r="B16" s="763" t="s">
        <v>483</v>
      </c>
      <c r="C16" s="696" t="s">
        <v>1022</v>
      </c>
      <c r="D16" s="1107"/>
      <c r="E16" s="1101"/>
      <c r="F16" s="1076"/>
      <c r="G16" s="1101"/>
      <c r="H16" s="678"/>
      <c r="I16" s="679">
        <v>24315</v>
      </c>
      <c r="J16" s="678"/>
      <c r="K16" s="1101"/>
      <c r="L16" s="1108"/>
      <c r="M16" s="1101"/>
      <c r="N16" s="1076"/>
      <c r="O16" s="1101"/>
      <c r="P16" s="678"/>
      <c r="Q16" s="679"/>
      <c r="R16" s="684">
        <f t="shared" ref="R16:R17" si="2">SUM(D16:Q16)</f>
        <v>24315</v>
      </c>
      <c r="S16" s="629"/>
      <c r="T16" s="630"/>
      <c r="U16" s="284"/>
      <c r="V16" s="284"/>
    </row>
    <row r="17" spans="1:22" s="226" customFormat="1" ht="15" customHeight="1" x14ac:dyDescent="0.2">
      <c r="A17" s="701"/>
      <c r="B17" s="763" t="s">
        <v>484</v>
      </c>
      <c r="C17" s="696" t="s">
        <v>1103</v>
      </c>
      <c r="D17" s="1107"/>
      <c r="E17" s="1101"/>
      <c r="F17" s="1076"/>
      <c r="G17" s="1101"/>
      <c r="H17" s="678">
        <v>7670</v>
      </c>
      <c r="I17" s="679"/>
      <c r="J17" s="678"/>
      <c r="K17" s="1101"/>
      <c r="L17" s="1108"/>
      <c r="M17" s="1101"/>
      <c r="N17" s="1076"/>
      <c r="O17" s="1101"/>
      <c r="P17" s="678"/>
      <c r="Q17" s="679"/>
      <c r="R17" s="904">
        <f t="shared" si="2"/>
        <v>7670</v>
      </c>
      <c r="S17" s="629"/>
      <c r="T17" s="630"/>
      <c r="U17" s="284"/>
      <c r="V17" s="284"/>
    </row>
    <row r="18" spans="1:22" s="226" customFormat="1" ht="20.25" customHeight="1" x14ac:dyDescent="0.2">
      <c r="A18" s="701"/>
      <c r="B18" s="763" t="s">
        <v>485</v>
      </c>
      <c r="C18" s="683" t="s">
        <v>1225</v>
      </c>
      <c r="D18" s="1401"/>
      <c r="E18" s="1086"/>
      <c r="F18" s="1089"/>
      <c r="G18" s="1087"/>
      <c r="H18" s="688">
        <v>0</v>
      </c>
      <c r="I18" s="685"/>
      <c r="J18" s="686"/>
      <c r="K18" s="1133"/>
      <c r="L18" s="686"/>
      <c r="M18" s="1134"/>
      <c r="N18" s="685"/>
      <c r="O18" s="685"/>
      <c r="P18" s="686"/>
      <c r="Q18" s="685"/>
      <c r="R18" s="684">
        <f>SUM(D18:Q18)</f>
        <v>0</v>
      </c>
      <c r="S18" s="629"/>
      <c r="T18" s="630"/>
      <c r="U18" s="284"/>
      <c r="V18" s="284"/>
    </row>
    <row r="19" spans="1:22" s="226" customFormat="1" ht="20.25" customHeight="1" x14ac:dyDescent="0.2">
      <c r="A19" s="701"/>
      <c r="B19" s="763" t="s">
        <v>519</v>
      </c>
      <c r="C19" s="696" t="s">
        <v>1114</v>
      </c>
      <c r="D19" s="1140">
        <v>5145</v>
      </c>
      <c r="E19" s="679"/>
      <c r="F19" s="678">
        <v>1389</v>
      </c>
      <c r="G19" s="679"/>
      <c r="H19" s="678">
        <v>6553</v>
      </c>
      <c r="I19" s="679"/>
      <c r="J19" s="678"/>
      <c r="K19" s="679"/>
      <c r="L19" s="1141"/>
      <c r="M19" s="679"/>
      <c r="N19" s="678"/>
      <c r="O19" s="679"/>
      <c r="P19" s="678"/>
      <c r="Q19" s="679"/>
      <c r="R19" s="904">
        <f t="shared" ref="R19:R21" si="3">SUM(D19:Q19)</f>
        <v>13087</v>
      </c>
      <c r="S19" s="629"/>
      <c r="T19" s="630"/>
      <c r="U19" s="284"/>
      <c r="V19" s="284"/>
    </row>
    <row r="20" spans="1:22" s="226" customFormat="1" ht="20.25" customHeight="1" x14ac:dyDescent="0.2">
      <c r="A20" s="701"/>
      <c r="B20" s="763" t="s">
        <v>520</v>
      </c>
      <c r="C20" s="696" t="s">
        <v>1133</v>
      </c>
      <c r="D20" s="1107"/>
      <c r="E20" s="1101"/>
      <c r="F20" s="1076"/>
      <c r="G20" s="1101"/>
      <c r="H20" s="678">
        <v>9875</v>
      </c>
      <c r="I20" s="1101"/>
      <c r="J20" s="1076"/>
      <c r="K20" s="1101"/>
      <c r="L20" s="1108"/>
      <c r="M20" s="1101"/>
      <c r="N20" s="1076"/>
      <c r="O20" s="1101"/>
      <c r="P20" s="678"/>
      <c r="Q20" s="679"/>
      <c r="R20" s="904">
        <f t="shared" si="3"/>
        <v>9875</v>
      </c>
      <c r="S20" s="629"/>
      <c r="T20" s="630"/>
      <c r="U20" s="284"/>
      <c r="V20" s="284"/>
    </row>
    <row r="21" spans="1:22" s="226" customFormat="1" ht="20.25" customHeight="1" x14ac:dyDescent="0.2">
      <c r="A21" s="701"/>
      <c r="B21" s="763" t="s">
        <v>521</v>
      </c>
      <c r="C21" s="696" t="s">
        <v>1134</v>
      </c>
      <c r="D21" s="1107"/>
      <c r="E21" s="1101"/>
      <c r="F21" s="1076"/>
      <c r="G21" s="1101"/>
      <c r="H21" s="678">
        <v>9750</v>
      </c>
      <c r="I21" s="1101"/>
      <c r="J21" s="1076"/>
      <c r="K21" s="1101"/>
      <c r="L21" s="1108"/>
      <c r="M21" s="1101"/>
      <c r="N21" s="1076"/>
      <c r="O21" s="1101"/>
      <c r="P21" s="678"/>
      <c r="Q21" s="679"/>
      <c r="R21" s="904">
        <f t="shared" si="3"/>
        <v>9750</v>
      </c>
      <c r="S21" s="629"/>
      <c r="T21" s="630"/>
      <c r="U21" s="284"/>
      <c r="V21" s="284"/>
    </row>
    <row r="22" spans="1:22" s="278" customFormat="1" ht="13.5" customHeight="1" x14ac:dyDescent="0.2">
      <c r="A22" s="702"/>
      <c r="B22" s="763" t="s">
        <v>522</v>
      </c>
      <c r="C22" s="46" t="s">
        <v>1126</v>
      </c>
      <c r="D22" s="1092"/>
      <c r="E22" s="1087"/>
      <c r="F22" s="1088"/>
      <c r="G22" s="1087"/>
      <c r="H22" s="1093"/>
      <c r="I22" s="678"/>
      <c r="J22" s="1135">
        <f>mc.pe.átad!E21</f>
        <v>5850</v>
      </c>
      <c r="K22" s="1142">
        <f>mc.pe.átad!F21</f>
        <v>114841</v>
      </c>
      <c r="L22" s="688">
        <f>mc.pe.átad!E53</f>
        <v>150640</v>
      </c>
      <c r="M22" s="1143">
        <f>mc.pe.átad!F53</f>
        <v>158790</v>
      </c>
      <c r="N22" s="1087"/>
      <c r="O22" s="1087"/>
      <c r="P22" s="686"/>
      <c r="Q22" s="685"/>
      <c r="R22" s="684">
        <f t="shared" ref="R22:R59" si="4">SUM(D22:Q22)</f>
        <v>430121</v>
      </c>
      <c r="S22" s="80"/>
      <c r="T22" s="279"/>
      <c r="U22" s="279"/>
      <c r="V22" s="279"/>
    </row>
    <row r="23" spans="1:22" s="278" customFormat="1" ht="13.5" customHeight="1" x14ac:dyDescent="0.2">
      <c r="A23" s="702"/>
      <c r="B23" s="763" t="s">
        <v>523</v>
      </c>
      <c r="C23" s="683" t="s">
        <v>1019</v>
      </c>
      <c r="D23" s="1092"/>
      <c r="E23" s="1087"/>
      <c r="F23" s="1088"/>
      <c r="G23" s="1087"/>
      <c r="H23" s="1093"/>
      <c r="I23" s="1076"/>
      <c r="J23" s="1093"/>
      <c r="K23" s="1090"/>
      <c r="L23" s="1088"/>
      <c r="M23" s="1091"/>
      <c r="N23" s="1087"/>
      <c r="O23" s="1087"/>
      <c r="P23" s="688">
        <f>'ellátottak önk.'!E19</f>
        <v>2300</v>
      </c>
      <c r="Q23" s="1086"/>
      <c r="R23" s="684">
        <f t="shared" si="4"/>
        <v>2300</v>
      </c>
      <c r="S23" s="80"/>
      <c r="T23" s="279"/>
      <c r="U23" s="279"/>
      <c r="V23" s="279"/>
    </row>
    <row r="24" spans="1:22" s="278" customFormat="1" ht="13.5" customHeight="1" x14ac:dyDescent="0.2">
      <c r="A24" s="702"/>
      <c r="B24" s="763" t="s">
        <v>524</v>
      </c>
      <c r="C24" s="683" t="s">
        <v>1117</v>
      </c>
      <c r="D24" s="1092"/>
      <c r="E24" s="1087"/>
      <c r="F24" s="1088"/>
      <c r="G24" s="1087"/>
      <c r="H24" s="1093"/>
      <c r="I24" s="678">
        <v>1500</v>
      </c>
      <c r="J24" s="1093"/>
      <c r="K24" s="1090"/>
      <c r="L24" s="1088"/>
      <c r="M24" s="1091"/>
      <c r="N24" s="1087"/>
      <c r="O24" s="1087"/>
      <c r="P24" s="688"/>
      <c r="Q24" s="687"/>
      <c r="R24" s="684">
        <f t="shared" si="4"/>
        <v>1500</v>
      </c>
      <c r="S24" s="80"/>
      <c r="T24" s="279"/>
      <c r="U24" s="279"/>
      <c r="V24" s="279"/>
    </row>
    <row r="25" spans="1:22" s="278" customFormat="1" ht="13.5" customHeight="1" x14ac:dyDescent="0.2">
      <c r="A25" s="702"/>
      <c r="B25" s="763" t="s">
        <v>525</v>
      </c>
      <c r="C25" s="683" t="s">
        <v>940</v>
      </c>
      <c r="D25" s="1092"/>
      <c r="E25" s="1087"/>
      <c r="F25" s="1088"/>
      <c r="G25" s="1087"/>
      <c r="H25" s="1093"/>
      <c r="I25" s="1076"/>
      <c r="J25" s="1093"/>
      <c r="K25" s="1090"/>
      <c r="L25" s="1088"/>
      <c r="M25" s="1091"/>
      <c r="N25" s="1087"/>
      <c r="O25" s="1087"/>
      <c r="P25" s="686"/>
      <c r="Q25" s="687">
        <f>'ellátottak önk.'!F27</f>
        <v>4200</v>
      </c>
      <c r="R25" s="684">
        <f t="shared" si="4"/>
        <v>4200</v>
      </c>
      <c r="S25" s="80"/>
      <c r="T25" s="279"/>
      <c r="U25" s="279"/>
      <c r="V25" s="279"/>
    </row>
    <row r="26" spans="1:22" s="278" customFormat="1" ht="13.5" customHeight="1" x14ac:dyDescent="0.2">
      <c r="A26" s="702"/>
      <c r="B26" s="763" t="s">
        <v>526</v>
      </c>
      <c r="C26" s="683" t="s">
        <v>1018</v>
      </c>
      <c r="D26" s="1092"/>
      <c r="E26" s="1087"/>
      <c r="F26" s="1088"/>
      <c r="G26" s="1087"/>
      <c r="H26" s="1093"/>
      <c r="I26" s="1076"/>
      <c r="J26" s="1093"/>
      <c r="K26" s="1090"/>
      <c r="L26" s="1088"/>
      <c r="M26" s="1091"/>
      <c r="N26" s="1087"/>
      <c r="O26" s="1087"/>
      <c r="P26" s="686"/>
      <c r="Q26" s="687">
        <f>'ellátottak önk.'!F18</f>
        <v>3800</v>
      </c>
      <c r="R26" s="684">
        <f t="shared" si="4"/>
        <v>3800</v>
      </c>
      <c r="S26" s="80"/>
      <c r="T26" s="279"/>
      <c r="U26" s="279"/>
      <c r="V26" s="279"/>
    </row>
    <row r="27" spans="1:22" s="278" customFormat="1" ht="13.5" customHeight="1" x14ac:dyDescent="0.2">
      <c r="A27" s="702"/>
      <c r="B27" s="763" t="s">
        <v>528</v>
      </c>
      <c r="C27" s="683" t="s">
        <v>1118</v>
      </c>
      <c r="D27" s="1092"/>
      <c r="E27" s="1087"/>
      <c r="F27" s="1088"/>
      <c r="G27" s="1087"/>
      <c r="H27" s="1093"/>
      <c r="I27" s="1076"/>
      <c r="J27" s="1093"/>
      <c r="K27" s="1090"/>
      <c r="L27" s="1088"/>
      <c r="M27" s="1091"/>
      <c r="N27" s="1087"/>
      <c r="O27" s="1087"/>
      <c r="P27" s="686"/>
      <c r="Q27" s="687">
        <f>'ellátottak önk.'!F22</f>
        <v>1100</v>
      </c>
      <c r="R27" s="684">
        <f t="shared" si="4"/>
        <v>1100</v>
      </c>
      <c r="S27" s="80"/>
      <c r="T27" s="279"/>
      <c r="U27" s="279"/>
      <c r="V27" s="279"/>
    </row>
    <row r="28" spans="1:22" s="278" customFormat="1" ht="13.5" customHeight="1" x14ac:dyDescent="0.2">
      <c r="A28" s="702"/>
      <c r="B28" s="763" t="s">
        <v>529</v>
      </c>
      <c r="C28" s="683" t="s">
        <v>1014</v>
      </c>
      <c r="D28" s="1092"/>
      <c r="E28" s="1087"/>
      <c r="F28" s="1088"/>
      <c r="G28" s="1087"/>
      <c r="H28" s="1093"/>
      <c r="I28" s="1076"/>
      <c r="J28" s="1093"/>
      <c r="K28" s="1090"/>
      <c r="L28" s="1088"/>
      <c r="M28" s="1091"/>
      <c r="N28" s="1087"/>
      <c r="O28" s="1087"/>
      <c r="P28" s="686"/>
      <c r="Q28" s="687">
        <f>'ellátottak önk.'!F15</f>
        <v>600</v>
      </c>
      <c r="R28" s="684">
        <f t="shared" si="4"/>
        <v>600</v>
      </c>
      <c r="S28" s="80"/>
      <c r="T28" s="279"/>
      <c r="U28" s="279"/>
      <c r="V28" s="279"/>
    </row>
    <row r="29" spans="1:22" s="278" customFormat="1" ht="13.5" customHeight="1" x14ac:dyDescent="0.2">
      <c r="A29" s="702"/>
      <c r="B29" s="763" t="s">
        <v>530</v>
      </c>
      <c r="C29" s="683" t="s">
        <v>1119</v>
      </c>
      <c r="D29" s="1092"/>
      <c r="E29" s="1087"/>
      <c r="F29" s="1088"/>
      <c r="G29" s="1087"/>
      <c r="H29" s="1093"/>
      <c r="I29" s="1076"/>
      <c r="J29" s="1093"/>
      <c r="K29" s="1090"/>
      <c r="L29" s="1088"/>
      <c r="M29" s="1091"/>
      <c r="N29" s="1087"/>
      <c r="O29" s="1087"/>
      <c r="P29" s="686"/>
      <c r="Q29" s="687">
        <f>'ellátottak önk.'!F21</f>
        <v>1800</v>
      </c>
      <c r="R29" s="684">
        <f t="shared" si="4"/>
        <v>1800</v>
      </c>
      <c r="S29" s="80"/>
      <c r="T29" s="279"/>
      <c r="U29" s="279"/>
      <c r="V29" s="279"/>
    </row>
    <row r="30" spans="1:22" s="278" customFormat="1" ht="16.5" customHeight="1" x14ac:dyDescent="0.2">
      <c r="A30" s="702"/>
      <c r="B30" s="763" t="s">
        <v>531</v>
      </c>
      <c r="C30" s="683" t="s">
        <v>1016</v>
      </c>
      <c r="D30" s="1092"/>
      <c r="E30" s="1087"/>
      <c r="F30" s="1088"/>
      <c r="G30" s="1087"/>
      <c r="H30" s="1093"/>
      <c r="I30" s="1076"/>
      <c r="J30" s="1093"/>
      <c r="K30" s="1090"/>
      <c r="L30" s="1088"/>
      <c r="M30" s="1091"/>
      <c r="N30" s="1087"/>
      <c r="O30" s="1087"/>
      <c r="P30" s="686"/>
      <c r="Q30" s="687">
        <f>'ellátottak önk.'!F16</f>
        <v>800</v>
      </c>
      <c r="R30" s="684">
        <f t="shared" ref="R30:R34" si="5">SUM(D30:Q30)</f>
        <v>800</v>
      </c>
      <c r="S30" s="279"/>
      <c r="T30" s="279"/>
      <c r="U30" s="279"/>
      <c r="V30" s="279"/>
    </row>
    <row r="31" spans="1:22" s="278" customFormat="1" ht="15.75" customHeight="1" x14ac:dyDescent="0.2">
      <c r="A31" s="702"/>
      <c r="B31" s="763" t="s">
        <v>532</v>
      </c>
      <c r="C31" s="683" t="s">
        <v>1017</v>
      </c>
      <c r="D31" s="1092"/>
      <c r="E31" s="1087"/>
      <c r="F31" s="1088"/>
      <c r="G31" s="1087"/>
      <c r="H31" s="1093"/>
      <c r="I31" s="1076"/>
      <c r="J31" s="1093"/>
      <c r="K31" s="1090"/>
      <c r="L31" s="1088"/>
      <c r="M31" s="1091"/>
      <c r="N31" s="1087"/>
      <c r="O31" s="1087"/>
      <c r="P31" s="686"/>
      <c r="Q31" s="687">
        <v>800</v>
      </c>
      <c r="R31" s="684">
        <f t="shared" si="5"/>
        <v>800</v>
      </c>
      <c r="S31" s="279"/>
      <c r="T31" s="279"/>
      <c r="U31" s="279"/>
      <c r="V31" s="279"/>
    </row>
    <row r="32" spans="1:22" s="278" customFormat="1" ht="13.5" customHeight="1" x14ac:dyDescent="0.2">
      <c r="A32" s="702"/>
      <c r="B32" s="763" t="s">
        <v>533</v>
      </c>
      <c r="C32" s="683" t="s">
        <v>1020</v>
      </c>
      <c r="D32" s="1092"/>
      <c r="E32" s="1087"/>
      <c r="F32" s="1088"/>
      <c r="G32" s="1087"/>
      <c r="H32" s="1135">
        <v>111</v>
      </c>
      <c r="I32" s="1076"/>
      <c r="J32" s="1093"/>
      <c r="K32" s="1090"/>
      <c r="L32" s="1088"/>
      <c r="M32" s="1091"/>
      <c r="N32" s="1087"/>
      <c r="O32" s="1087"/>
      <c r="P32" s="688">
        <f>'ellátottak önk.'!E20</f>
        <v>390</v>
      </c>
      <c r="Q32" s="687">
        <f>'ellátottak önk.'!F20</f>
        <v>0</v>
      </c>
      <c r="R32" s="684">
        <f t="shared" si="5"/>
        <v>501</v>
      </c>
      <c r="S32" s="279"/>
      <c r="T32" s="279"/>
      <c r="U32" s="279"/>
      <c r="V32" s="279"/>
    </row>
    <row r="33" spans="1:22" s="278" customFormat="1" ht="13.5" customHeight="1" x14ac:dyDescent="0.2">
      <c r="A33" s="702"/>
      <c r="B33" s="763" t="s">
        <v>534</v>
      </c>
      <c r="C33" s="683" t="s">
        <v>1015</v>
      </c>
      <c r="D33" s="1092"/>
      <c r="E33" s="1087"/>
      <c r="F33" s="1088"/>
      <c r="G33" s="1087"/>
      <c r="H33" s="1093"/>
      <c r="I33" s="1076"/>
      <c r="J33" s="1093"/>
      <c r="K33" s="1090"/>
      <c r="L33" s="1088"/>
      <c r="M33" s="1091"/>
      <c r="N33" s="1087"/>
      <c r="O33" s="1087"/>
      <c r="P33" s="686"/>
      <c r="Q33" s="687">
        <f>'ellátottak önk.'!F13</f>
        <v>500</v>
      </c>
      <c r="R33" s="684">
        <f t="shared" si="5"/>
        <v>500</v>
      </c>
      <c r="S33" s="279"/>
      <c r="T33" s="279"/>
      <c r="U33" s="279"/>
      <c r="V33" s="279"/>
    </row>
    <row r="34" spans="1:22" s="278" customFormat="1" ht="13.5" customHeight="1" x14ac:dyDescent="0.2">
      <c r="A34" s="702"/>
      <c r="B34" s="763" t="s">
        <v>535</v>
      </c>
      <c r="C34" s="683" t="s">
        <v>1112</v>
      </c>
      <c r="D34" s="1092"/>
      <c r="E34" s="1087"/>
      <c r="F34" s="1088"/>
      <c r="G34" s="1087"/>
      <c r="H34" s="1093"/>
      <c r="I34" s="1076"/>
      <c r="J34" s="1093"/>
      <c r="K34" s="1090"/>
      <c r="L34" s="1088"/>
      <c r="M34" s="1091"/>
      <c r="N34" s="1087"/>
      <c r="O34" s="1087"/>
      <c r="P34" s="688"/>
      <c r="Q34" s="687">
        <f>'ellátottak önk.'!F23</f>
        <v>350</v>
      </c>
      <c r="R34" s="684">
        <f t="shared" si="5"/>
        <v>350</v>
      </c>
      <c r="S34" s="279"/>
      <c r="T34" s="279"/>
      <c r="U34" s="279"/>
      <c r="V34" s="279"/>
    </row>
    <row r="35" spans="1:22" s="278" customFormat="1" ht="15" customHeight="1" x14ac:dyDescent="0.2">
      <c r="A35" s="702"/>
      <c r="B35" s="763" t="s">
        <v>552</v>
      </c>
      <c r="C35" s="46" t="s">
        <v>941</v>
      </c>
      <c r="D35" s="1094"/>
      <c r="E35" s="1081"/>
      <c r="F35" s="1095"/>
      <c r="G35" s="1081"/>
      <c r="H35" s="420">
        <v>6431</v>
      </c>
      <c r="I35" s="227">
        <v>7330</v>
      </c>
      <c r="J35" s="1095"/>
      <c r="K35" s="1096"/>
      <c r="L35" s="1095"/>
      <c r="M35" s="1097"/>
      <c r="N35" s="1081"/>
      <c r="O35" s="1081"/>
      <c r="P35" s="420"/>
      <c r="Q35" s="227"/>
      <c r="R35" s="689">
        <f>SUM(D35:Q35)</f>
        <v>13761</v>
      </c>
      <c r="S35" s="279"/>
      <c r="T35" s="279"/>
      <c r="U35" s="279"/>
      <c r="V35" s="279"/>
    </row>
    <row r="36" spans="1:22" s="278" customFormat="1" ht="15" customHeight="1" x14ac:dyDescent="0.2">
      <c r="A36" s="702"/>
      <c r="B36" s="763" t="s">
        <v>553</v>
      </c>
      <c r="C36" s="46" t="s">
        <v>1120</v>
      </c>
      <c r="D36" s="1094"/>
      <c r="E36" s="1081"/>
      <c r="F36" s="1095"/>
      <c r="G36" s="1081"/>
      <c r="H36" s="420">
        <v>288</v>
      </c>
      <c r="I36" s="227">
        <v>13763</v>
      </c>
      <c r="J36" s="1095"/>
      <c r="K36" s="1096"/>
      <c r="L36" s="1095"/>
      <c r="M36" s="1097"/>
      <c r="N36" s="1081"/>
      <c r="O36" s="1081"/>
      <c r="P36" s="420"/>
      <c r="Q36" s="227"/>
      <c r="R36" s="689">
        <f t="shared" si="4"/>
        <v>14051</v>
      </c>
      <c r="S36" s="279"/>
      <c r="T36" s="279"/>
      <c r="U36" s="279"/>
      <c r="V36" s="279"/>
    </row>
    <row r="37" spans="1:22" s="278" customFormat="1" ht="15" customHeight="1" x14ac:dyDescent="0.2">
      <c r="A37" s="702"/>
      <c r="B37" s="763" t="s">
        <v>554</v>
      </c>
      <c r="C37" s="46" t="s">
        <v>1121</v>
      </c>
      <c r="D37" s="422">
        <v>34233</v>
      </c>
      <c r="E37" s="227"/>
      <c r="F37" s="420">
        <v>10704</v>
      </c>
      <c r="G37" s="227"/>
      <c r="H37" s="420">
        <v>1220</v>
      </c>
      <c r="I37" s="227"/>
      <c r="J37" s="1095"/>
      <c r="K37" s="1096"/>
      <c r="L37" s="1095"/>
      <c r="M37" s="1097"/>
      <c r="N37" s="1081"/>
      <c r="O37" s="1081"/>
      <c r="P37" s="420"/>
      <c r="Q37" s="227"/>
      <c r="R37" s="689">
        <f>SUM(D37:Q37)</f>
        <v>46157</v>
      </c>
      <c r="S37" s="80"/>
      <c r="T37" s="279"/>
      <c r="U37" s="279"/>
      <c r="V37" s="279"/>
    </row>
    <row r="38" spans="1:22" s="278" customFormat="1" ht="15" customHeight="1" x14ac:dyDescent="0.2">
      <c r="A38" s="702"/>
      <c r="B38" s="763" t="s">
        <v>555</v>
      </c>
      <c r="C38" s="46" t="s">
        <v>935</v>
      </c>
      <c r="D38" s="1094"/>
      <c r="E38" s="227">
        <v>900</v>
      </c>
      <c r="F38" s="420"/>
      <c r="G38" s="227">
        <v>540</v>
      </c>
      <c r="H38" s="420"/>
      <c r="I38" s="227">
        <v>3616</v>
      </c>
      <c r="J38" s="420"/>
      <c r="K38" s="1096"/>
      <c r="L38" s="1095"/>
      <c r="M38" s="1097"/>
      <c r="N38" s="1081"/>
      <c r="O38" s="1081"/>
      <c r="P38" s="420"/>
      <c r="Q38" s="227"/>
      <c r="R38" s="689">
        <f t="shared" ref="R38:R42" si="6">SUM(D38:Q38)</f>
        <v>5056</v>
      </c>
      <c r="S38" s="80"/>
      <c r="T38" s="279"/>
      <c r="U38" s="279"/>
      <c r="V38" s="279"/>
    </row>
    <row r="39" spans="1:22" s="278" customFormat="1" ht="15" customHeight="1" x14ac:dyDescent="0.2">
      <c r="A39" s="702"/>
      <c r="B39" s="763" t="s">
        <v>556</v>
      </c>
      <c r="C39" s="46" t="s">
        <v>1125</v>
      </c>
      <c r="D39" s="1094"/>
      <c r="E39" s="227">
        <v>4949</v>
      </c>
      <c r="F39" s="420"/>
      <c r="G39" s="227">
        <v>5304</v>
      </c>
      <c r="H39" s="420"/>
      <c r="I39" s="227">
        <v>4785</v>
      </c>
      <c r="J39" s="420"/>
      <c r="K39" s="1096"/>
      <c r="L39" s="1095"/>
      <c r="M39" s="1097"/>
      <c r="N39" s="1081"/>
      <c r="O39" s="1081"/>
      <c r="P39" s="420"/>
      <c r="Q39" s="227"/>
      <c r="R39" s="689">
        <f t="shared" si="6"/>
        <v>15038</v>
      </c>
      <c r="S39" s="80"/>
      <c r="T39" s="279"/>
      <c r="U39" s="279"/>
      <c r="V39" s="279"/>
    </row>
    <row r="40" spans="1:22" s="278" customFormat="1" ht="15" customHeight="1" x14ac:dyDescent="0.2">
      <c r="A40" s="702"/>
      <c r="B40" s="763" t="s">
        <v>557</v>
      </c>
      <c r="C40" s="690" t="s">
        <v>1123</v>
      </c>
      <c r="D40" s="1098"/>
      <c r="E40" s="423">
        <v>2880</v>
      </c>
      <c r="F40" s="421"/>
      <c r="G40" s="423">
        <v>720</v>
      </c>
      <c r="H40" s="421"/>
      <c r="I40" s="423">
        <v>8272</v>
      </c>
      <c r="J40" s="421"/>
      <c r="K40" s="1136"/>
      <c r="L40" s="421"/>
      <c r="M40" s="1137"/>
      <c r="N40" s="423"/>
      <c r="O40" s="423"/>
      <c r="P40" s="421"/>
      <c r="Q40" s="423"/>
      <c r="R40" s="691">
        <f t="shared" si="6"/>
        <v>11872</v>
      </c>
      <c r="S40" s="80"/>
      <c r="T40" s="279"/>
      <c r="U40" s="279"/>
      <c r="V40" s="279"/>
    </row>
    <row r="41" spans="1:22" s="278" customFormat="1" ht="15" customHeight="1" x14ac:dyDescent="0.2">
      <c r="A41" s="702"/>
      <c r="B41" s="763" t="s">
        <v>558</v>
      </c>
      <c r="C41" s="46" t="s">
        <v>936</v>
      </c>
      <c r="D41" s="1094"/>
      <c r="E41" s="1081"/>
      <c r="F41" s="1095"/>
      <c r="G41" s="1081"/>
      <c r="H41" s="1095"/>
      <c r="I41" s="227">
        <v>15928</v>
      </c>
      <c r="J41" s="1095"/>
      <c r="K41" s="1096"/>
      <c r="L41" s="1095"/>
      <c r="M41" s="1097"/>
      <c r="N41" s="1081"/>
      <c r="O41" s="1081"/>
      <c r="P41" s="420"/>
      <c r="Q41" s="227"/>
      <c r="R41" s="689">
        <f t="shared" si="6"/>
        <v>15928</v>
      </c>
      <c r="S41" s="80"/>
      <c r="T41" s="279"/>
      <c r="U41" s="279"/>
      <c r="V41" s="279"/>
    </row>
    <row r="42" spans="1:22" s="278" customFormat="1" ht="15" customHeight="1" x14ac:dyDescent="0.2">
      <c r="A42" s="702"/>
      <c r="B42" s="763" t="s">
        <v>559</v>
      </c>
      <c r="C42" s="46" t="s">
        <v>1115</v>
      </c>
      <c r="D42" s="1094"/>
      <c r="E42" s="1081"/>
      <c r="F42" s="1095"/>
      <c r="G42" s="1081"/>
      <c r="H42" s="420">
        <v>6833</v>
      </c>
      <c r="I42" s="1081"/>
      <c r="J42" s="1095"/>
      <c r="K42" s="1096"/>
      <c r="L42" s="1095"/>
      <c r="M42" s="1097"/>
      <c r="N42" s="1081"/>
      <c r="O42" s="1081"/>
      <c r="P42" s="420"/>
      <c r="Q42" s="227"/>
      <c r="R42" s="689">
        <f t="shared" si="6"/>
        <v>6833</v>
      </c>
      <c r="S42" s="80"/>
      <c r="T42" s="279"/>
      <c r="U42" s="279"/>
      <c r="V42" s="279"/>
    </row>
    <row r="43" spans="1:22" s="278" customFormat="1" ht="15" customHeight="1" x14ac:dyDescent="0.2">
      <c r="A43" s="702"/>
      <c r="B43" s="763" t="s">
        <v>560</v>
      </c>
      <c r="C43" s="46" t="s">
        <v>1122</v>
      </c>
      <c r="D43" s="422">
        <v>0</v>
      </c>
      <c r="E43" s="227"/>
      <c r="F43" s="420">
        <v>0</v>
      </c>
      <c r="G43" s="1081"/>
      <c r="H43" s="420">
        <v>3361</v>
      </c>
      <c r="I43" s="1081"/>
      <c r="J43" s="1095"/>
      <c r="K43" s="1096"/>
      <c r="L43" s="1095"/>
      <c r="M43" s="1097"/>
      <c r="N43" s="1081"/>
      <c r="O43" s="1081"/>
      <c r="P43" s="420"/>
      <c r="Q43" s="227"/>
      <c r="R43" s="689">
        <f t="shared" si="4"/>
        <v>3361</v>
      </c>
      <c r="S43" s="279"/>
      <c r="T43" s="451"/>
      <c r="U43" s="279"/>
      <c r="V43" s="279"/>
    </row>
    <row r="44" spans="1:22" s="278" customFormat="1" ht="15" customHeight="1" x14ac:dyDescent="0.2">
      <c r="A44" s="702"/>
      <c r="B44" s="763" t="s">
        <v>612</v>
      </c>
      <c r="C44" s="683" t="s">
        <v>937</v>
      </c>
      <c r="D44" s="1138">
        <v>11372</v>
      </c>
      <c r="E44" s="1139">
        <v>2755</v>
      </c>
      <c r="F44" s="1135">
        <v>2814</v>
      </c>
      <c r="G44" s="227">
        <v>546</v>
      </c>
      <c r="H44" s="1135">
        <f>15897+548</f>
        <v>16445</v>
      </c>
      <c r="I44" s="1139"/>
      <c r="J44" s="1135"/>
      <c r="K44" s="1133"/>
      <c r="L44" s="686"/>
      <c r="M44" s="1134"/>
      <c r="N44" s="685"/>
      <c r="O44" s="685"/>
      <c r="P44" s="686"/>
      <c r="Q44" s="685"/>
      <c r="R44" s="689">
        <f t="shared" si="4"/>
        <v>33932</v>
      </c>
      <c r="S44" s="279"/>
      <c r="T44" s="451"/>
      <c r="U44" s="279"/>
      <c r="V44" s="279"/>
    </row>
    <row r="45" spans="1:22" s="278" customFormat="1" ht="15" customHeight="1" x14ac:dyDescent="0.2">
      <c r="A45" s="702"/>
      <c r="B45" s="763" t="s">
        <v>613</v>
      </c>
      <c r="C45" s="762" t="s">
        <v>938</v>
      </c>
      <c r="D45" s="1092"/>
      <c r="E45" s="1087"/>
      <c r="F45" s="1088"/>
      <c r="G45" s="1087"/>
      <c r="H45" s="1093"/>
      <c r="I45" s="678">
        <v>6092</v>
      </c>
      <c r="J45" s="1093"/>
      <c r="K45" s="1090"/>
      <c r="L45" s="1088"/>
      <c r="M45" s="1091"/>
      <c r="N45" s="1087"/>
      <c r="O45" s="1087"/>
      <c r="P45" s="686"/>
      <c r="Q45" s="685"/>
      <c r="R45" s="684">
        <f t="shared" ref="R45:R46" si="7">SUM(D45:Q45)</f>
        <v>6092</v>
      </c>
      <c r="S45" s="279"/>
      <c r="T45" s="451"/>
      <c r="U45" s="279"/>
      <c r="V45" s="279"/>
    </row>
    <row r="46" spans="1:22" s="278" customFormat="1" ht="15" customHeight="1" x14ac:dyDescent="0.2">
      <c r="A46" s="702"/>
      <c r="B46" s="763" t="s">
        <v>614</v>
      </c>
      <c r="C46" s="696" t="s">
        <v>942</v>
      </c>
      <c r="D46" s="1107"/>
      <c r="E46" s="1101"/>
      <c r="F46" s="1076"/>
      <c r="G46" s="1101"/>
      <c r="H46" s="1076"/>
      <c r="I46" s="679">
        <f>2515+1134</f>
        <v>3649</v>
      </c>
      <c r="J46" s="1076"/>
      <c r="K46" s="1101"/>
      <c r="L46" s="1108"/>
      <c r="M46" s="1101"/>
      <c r="N46" s="1076"/>
      <c r="O46" s="1101"/>
      <c r="P46" s="678"/>
      <c r="Q46" s="679"/>
      <c r="R46" s="684">
        <f t="shared" si="7"/>
        <v>3649</v>
      </c>
      <c r="S46" s="279"/>
      <c r="T46" s="451"/>
      <c r="U46" s="279"/>
      <c r="V46" s="279"/>
    </row>
    <row r="47" spans="1:22" s="278" customFormat="1" ht="15" customHeight="1" x14ac:dyDescent="0.2">
      <c r="A47" s="702"/>
      <c r="B47" s="763" t="s">
        <v>615</v>
      </c>
      <c r="C47" s="46" t="s">
        <v>1124</v>
      </c>
      <c r="D47" s="1094"/>
      <c r="E47" s="1097"/>
      <c r="F47" s="1081"/>
      <c r="G47" s="1081"/>
      <c r="H47" s="420">
        <f>20530-5939</f>
        <v>14591</v>
      </c>
      <c r="I47" s="1081"/>
      <c r="J47" s="1095"/>
      <c r="K47" s="1096"/>
      <c r="L47" s="1095"/>
      <c r="M47" s="1097"/>
      <c r="N47" s="1081"/>
      <c r="O47" s="1081"/>
      <c r="P47" s="420"/>
      <c r="Q47" s="227"/>
      <c r="R47" s="689">
        <f t="shared" ref="R47:R50" si="8">SUM(D47:Q47)</f>
        <v>14591</v>
      </c>
      <c r="S47" s="474"/>
      <c r="T47" s="279"/>
      <c r="U47" s="279"/>
      <c r="V47" s="279"/>
    </row>
    <row r="48" spans="1:22" s="278" customFormat="1" ht="15" customHeight="1" x14ac:dyDescent="0.2">
      <c r="A48" s="702"/>
      <c r="B48" s="763" t="s">
        <v>112</v>
      </c>
      <c r="C48" s="46" t="s">
        <v>1116</v>
      </c>
      <c r="D48" s="1094"/>
      <c r="E48" s="1081"/>
      <c r="F48" s="1095"/>
      <c r="G48" s="1081"/>
      <c r="H48" s="420">
        <v>64008</v>
      </c>
      <c r="I48" s="227">
        <v>6648</v>
      </c>
      <c r="J48" s="1095"/>
      <c r="K48" s="1096"/>
      <c r="L48" s="1095"/>
      <c r="M48" s="1097"/>
      <c r="N48" s="1081"/>
      <c r="O48" s="1081"/>
      <c r="P48" s="420"/>
      <c r="Q48" s="227"/>
      <c r="R48" s="689">
        <f t="shared" si="8"/>
        <v>70656</v>
      </c>
      <c r="S48" s="474"/>
      <c r="T48" s="279"/>
      <c r="U48" s="279"/>
      <c r="V48" s="279"/>
    </row>
    <row r="49" spans="1:22" s="278" customFormat="1" ht="24" customHeight="1" x14ac:dyDescent="0.2">
      <c r="A49" s="702"/>
      <c r="B49" s="763" t="s">
        <v>640</v>
      </c>
      <c r="C49" s="683" t="s">
        <v>996</v>
      </c>
      <c r="D49" s="1102"/>
      <c r="E49" s="1103"/>
      <c r="F49" s="1104"/>
      <c r="G49" s="1103"/>
      <c r="H49" s="804">
        <v>5000</v>
      </c>
      <c r="I49" s="1103"/>
      <c r="J49" s="1104"/>
      <c r="K49" s="1105"/>
      <c r="L49" s="1104"/>
      <c r="M49" s="1106"/>
      <c r="N49" s="1103"/>
      <c r="O49" s="1103"/>
      <c r="P49" s="804"/>
      <c r="Q49" s="803"/>
      <c r="R49" s="846">
        <f t="shared" si="8"/>
        <v>5000</v>
      </c>
      <c r="S49" s="474"/>
      <c r="T49" s="279"/>
      <c r="U49" s="279"/>
      <c r="V49" s="279"/>
    </row>
    <row r="50" spans="1:22" s="278" customFormat="1" ht="24" customHeight="1" x14ac:dyDescent="0.2">
      <c r="A50" s="702"/>
      <c r="B50" s="763" t="s">
        <v>641</v>
      </c>
      <c r="C50" s="692" t="s">
        <v>1055</v>
      </c>
      <c r="D50" s="1107"/>
      <c r="E50" s="1076"/>
      <c r="F50" s="1099"/>
      <c r="G50" s="1076"/>
      <c r="H50" s="693">
        <v>5000</v>
      </c>
      <c r="I50" s="1076"/>
      <c r="J50" s="1099"/>
      <c r="K50" s="1100"/>
      <c r="L50" s="1099"/>
      <c r="M50" s="1101"/>
      <c r="N50" s="1076"/>
      <c r="O50" s="1076"/>
      <c r="P50" s="693"/>
      <c r="Q50" s="678"/>
      <c r="R50" s="684">
        <f t="shared" si="8"/>
        <v>5000</v>
      </c>
      <c r="S50" s="474"/>
      <c r="T50" s="279"/>
      <c r="U50" s="279"/>
      <c r="V50" s="279"/>
    </row>
    <row r="51" spans="1:22" s="278" customFormat="1" ht="17.25" customHeight="1" x14ac:dyDescent="0.2">
      <c r="A51" s="702"/>
      <c r="B51" s="763" t="s">
        <v>115</v>
      </c>
      <c r="C51" s="692" t="s">
        <v>939</v>
      </c>
      <c r="D51" s="1094"/>
      <c r="E51" s="678">
        <v>1844</v>
      </c>
      <c r="F51" s="693"/>
      <c r="G51" s="678">
        <v>389</v>
      </c>
      <c r="H51" s="693">
        <v>350</v>
      </c>
      <c r="I51" s="1076"/>
      <c r="J51" s="1099"/>
      <c r="K51" s="1100"/>
      <c r="L51" s="1099"/>
      <c r="M51" s="1101"/>
      <c r="N51" s="1076"/>
      <c r="O51" s="1076"/>
      <c r="P51" s="693"/>
      <c r="Q51" s="678"/>
      <c r="R51" s="684">
        <f t="shared" ref="R51:R53" si="9">SUM(D51:Q51)</f>
        <v>2583</v>
      </c>
      <c r="S51" s="474"/>
      <c r="T51" s="286"/>
      <c r="U51" s="279"/>
      <c r="V51" s="279"/>
    </row>
    <row r="52" spans="1:22" s="278" customFormat="1" ht="17.25" customHeight="1" x14ac:dyDescent="0.2">
      <c r="A52" s="702"/>
      <c r="B52" s="763" t="s">
        <v>116</v>
      </c>
      <c r="C52" s="683" t="s">
        <v>1113</v>
      </c>
      <c r="D52" s="1092"/>
      <c r="E52" s="1087"/>
      <c r="F52" s="1088"/>
      <c r="G52" s="1087"/>
      <c r="H52" s="1093"/>
      <c r="I52" s="678">
        <v>400</v>
      </c>
      <c r="J52" s="1093"/>
      <c r="K52" s="1090"/>
      <c r="L52" s="1088"/>
      <c r="M52" s="1091"/>
      <c r="N52" s="1087"/>
      <c r="O52" s="1087"/>
      <c r="P52" s="688"/>
      <c r="Q52" s="1086"/>
      <c r="R52" s="684">
        <f t="shared" si="9"/>
        <v>400</v>
      </c>
      <c r="S52" s="474"/>
      <c r="T52" s="286"/>
      <c r="U52" s="279"/>
      <c r="V52" s="279"/>
    </row>
    <row r="53" spans="1:22" s="278" customFormat="1" ht="15" customHeight="1" x14ac:dyDescent="0.2">
      <c r="A53" s="702"/>
      <c r="B53" s="763" t="s">
        <v>117</v>
      </c>
      <c r="C53" s="46" t="s">
        <v>995</v>
      </c>
      <c r="D53" s="1094"/>
      <c r="E53" s="1081"/>
      <c r="F53" s="1095"/>
      <c r="G53" s="1081"/>
      <c r="H53" s="420">
        <v>634</v>
      </c>
      <c r="I53" s="227">
        <v>34561</v>
      </c>
      <c r="J53" s="1095"/>
      <c r="K53" s="1096"/>
      <c r="L53" s="1095"/>
      <c r="M53" s="1097"/>
      <c r="N53" s="1081"/>
      <c r="O53" s="1081"/>
      <c r="P53" s="420"/>
      <c r="Q53" s="227"/>
      <c r="R53" s="689">
        <f t="shared" si="9"/>
        <v>35195</v>
      </c>
      <c r="S53" s="474"/>
      <c r="T53" s="286"/>
      <c r="U53" s="279"/>
      <c r="V53" s="279"/>
    </row>
    <row r="54" spans="1:22" s="278" customFormat="1" ht="84.75" customHeight="1" x14ac:dyDescent="0.2">
      <c r="A54" s="702"/>
      <c r="B54" s="1695" t="s">
        <v>120</v>
      </c>
      <c r="C54" s="696" t="s">
        <v>1333</v>
      </c>
      <c r="D54" s="1107"/>
      <c r="E54" s="679">
        <v>9762</v>
      </c>
      <c r="F54" s="678"/>
      <c r="G54" s="679">
        <v>1991</v>
      </c>
      <c r="H54" s="678">
        <v>40543</v>
      </c>
      <c r="I54" s="679">
        <v>146523</v>
      </c>
      <c r="J54" s="678"/>
      <c r="K54" s="1101"/>
      <c r="L54" s="1108"/>
      <c r="M54" s="1101"/>
      <c r="N54" s="678">
        <v>0</v>
      </c>
      <c r="O54" s="1101"/>
      <c r="P54" s="678"/>
      <c r="Q54" s="679"/>
      <c r="R54" s="684">
        <f t="shared" si="4"/>
        <v>198819</v>
      </c>
      <c r="S54" s="80"/>
      <c r="T54" s="279"/>
      <c r="U54" s="279"/>
      <c r="V54" s="279"/>
    </row>
    <row r="55" spans="1:22" s="278" customFormat="1" ht="12.75" customHeight="1" x14ac:dyDescent="0.2">
      <c r="A55" s="702"/>
      <c r="B55" s="1695" t="s">
        <v>123</v>
      </c>
      <c r="C55" s="696" t="s">
        <v>1397</v>
      </c>
      <c r="D55" s="1107"/>
      <c r="E55" s="679"/>
      <c r="F55" s="678"/>
      <c r="G55" s="679"/>
      <c r="H55" s="678">
        <v>193</v>
      </c>
      <c r="I55" s="679"/>
      <c r="J55" s="678"/>
      <c r="K55" s="1101"/>
      <c r="L55" s="1108"/>
      <c r="M55" s="1101"/>
      <c r="N55" s="678"/>
      <c r="O55" s="1101"/>
      <c r="P55" s="678"/>
      <c r="Q55" s="679"/>
      <c r="R55" s="684">
        <f t="shared" si="4"/>
        <v>193</v>
      </c>
      <c r="S55" s="80"/>
      <c r="T55" s="279"/>
      <c r="U55" s="279"/>
      <c r="V55" s="279"/>
    </row>
    <row r="56" spans="1:22" s="278" customFormat="1" ht="12.75" customHeight="1" x14ac:dyDescent="0.2">
      <c r="A56" s="702"/>
      <c r="B56" s="1695" t="s">
        <v>124</v>
      </c>
      <c r="C56" s="696" t="s">
        <v>1390</v>
      </c>
      <c r="D56" s="1107"/>
      <c r="E56" s="679"/>
      <c r="F56" s="678"/>
      <c r="G56" s="679"/>
      <c r="H56" s="678">
        <v>60</v>
      </c>
      <c r="I56" s="679"/>
      <c r="J56" s="678"/>
      <c r="K56" s="1101"/>
      <c r="L56" s="1108"/>
      <c r="M56" s="1101"/>
      <c r="N56" s="678"/>
      <c r="O56" s="1101"/>
      <c r="P56" s="678"/>
      <c r="Q56" s="679"/>
      <c r="R56" s="904">
        <f t="shared" si="4"/>
        <v>60</v>
      </c>
      <c r="S56" s="80"/>
      <c r="T56" s="279"/>
      <c r="U56" s="279"/>
      <c r="V56" s="279"/>
    </row>
    <row r="57" spans="1:22" s="278" customFormat="1" ht="12" customHeight="1" x14ac:dyDescent="0.2">
      <c r="A57" s="702"/>
      <c r="B57" s="1695" t="s">
        <v>125</v>
      </c>
      <c r="C57" s="696" t="s">
        <v>1398</v>
      </c>
      <c r="D57" s="1107"/>
      <c r="E57" s="679"/>
      <c r="F57" s="678"/>
      <c r="G57" s="679"/>
      <c r="H57" s="678">
        <v>805</v>
      </c>
      <c r="I57" s="679"/>
      <c r="J57" s="678"/>
      <c r="K57" s="1101"/>
      <c r="L57" s="1108"/>
      <c r="M57" s="1101"/>
      <c r="N57" s="678"/>
      <c r="O57" s="1101"/>
      <c r="P57" s="678"/>
      <c r="Q57" s="679"/>
      <c r="R57" s="904">
        <f t="shared" si="4"/>
        <v>805</v>
      </c>
      <c r="S57" s="80"/>
      <c r="T57" s="279"/>
      <c r="U57" s="279"/>
      <c r="V57" s="279"/>
    </row>
    <row r="58" spans="1:22" s="278" customFormat="1" ht="12" customHeight="1" x14ac:dyDescent="0.2">
      <c r="A58" s="702"/>
      <c r="B58" s="1695" t="s">
        <v>126</v>
      </c>
      <c r="C58" s="696" t="s">
        <v>1396</v>
      </c>
      <c r="D58" s="1107"/>
      <c r="E58" s="679"/>
      <c r="F58" s="678"/>
      <c r="G58" s="679"/>
      <c r="H58" s="678"/>
      <c r="I58" s="679">
        <v>6</v>
      </c>
      <c r="J58" s="678"/>
      <c r="K58" s="1101"/>
      <c r="L58" s="1108"/>
      <c r="M58" s="1101"/>
      <c r="N58" s="678"/>
      <c r="O58" s="1101"/>
      <c r="P58" s="678"/>
      <c r="Q58" s="679"/>
      <c r="R58" s="904">
        <f t="shared" si="4"/>
        <v>6</v>
      </c>
      <c r="S58" s="80"/>
      <c r="T58" s="279"/>
      <c r="U58" s="279"/>
      <c r="V58" s="279"/>
    </row>
    <row r="59" spans="1:22" s="278" customFormat="1" ht="24" customHeight="1" thickBot="1" x14ac:dyDescent="0.25">
      <c r="A59" s="702"/>
      <c r="B59" s="1695" t="s">
        <v>129</v>
      </c>
      <c r="C59" s="1696" t="s">
        <v>1395</v>
      </c>
      <c r="D59" s="1107"/>
      <c r="E59" s="679"/>
      <c r="F59" s="678"/>
      <c r="G59" s="679"/>
      <c r="H59" s="678"/>
      <c r="I59" s="679">
        <v>37346</v>
      </c>
      <c r="J59" s="678"/>
      <c r="K59" s="1101"/>
      <c r="L59" s="1108"/>
      <c r="M59" s="1101"/>
      <c r="N59" s="678"/>
      <c r="O59" s="1101"/>
      <c r="P59" s="678"/>
      <c r="Q59" s="679"/>
      <c r="R59" s="904">
        <f t="shared" si="4"/>
        <v>37346</v>
      </c>
      <c r="S59" s="80"/>
      <c r="T59" s="279"/>
      <c r="U59" s="279"/>
      <c r="V59" s="279"/>
    </row>
    <row r="60" spans="1:22" ht="15.6" customHeight="1" thickBot="1" x14ac:dyDescent="0.25">
      <c r="B60" s="1598" t="s">
        <v>582</v>
      </c>
      <c r="C60" s="1599"/>
      <c r="D60" s="252">
        <f>SUM(D10:D59)</f>
        <v>68798</v>
      </c>
      <c r="E60" s="252">
        <f t="shared" ref="E60:R60" si="10">SUM(E10:E59)</f>
        <v>23090</v>
      </c>
      <c r="F60" s="252">
        <f t="shared" si="10"/>
        <v>18878</v>
      </c>
      <c r="G60" s="252">
        <f t="shared" si="10"/>
        <v>9490</v>
      </c>
      <c r="H60" s="252">
        <f t="shared" si="10"/>
        <v>328942</v>
      </c>
      <c r="I60" s="252">
        <f t="shared" si="10"/>
        <v>318542</v>
      </c>
      <c r="J60" s="252">
        <f t="shared" si="10"/>
        <v>5850</v>
      </c>
      <c r="K60" s="252">
        <f t="shared" si="10"/>
        <v>114841</v>
      </c>
      <c r="L60" s="252">
        <f t="shared" si="10"/>
        <v>150640</v>
      </c>
      <c r="M60" s="252">
        <f t="shared" si="10"/>
        <v>158790</v>
      </c>
      <c r="N60" s="252">
        <f t="shared" si="10"/>
        <v>0</v>
      </c>
      <c r="O60" s="252">
        <f t="shared" si="10"/>
        <v>0</v>
      </c>
      <c r="P60" s="252">
        <f t="shared" si="10"/>
        <v>2690</v>
      </c>
      <c r="Q60" s="252">
        <f t="shared" si="10"/>
        <v>13950</v>
      </c>
      <c r="R60" s="252">
        <f t="shared" si="10"/>
        <v>1214501</v>
      </c>
      <c r="S60" s="82"/>
    </row>
    <row r="61" spans="1:22" x14ac:dyDescent="0.2">
      <c r="S61" s="289"/>
    </row>
    <row r="65" spans="12:19" x14ac:dyDescent="0.2">
      <c r="S65" s="286"/>
    </row>
    <row r="66" spans="12:19" x14ac:dyDescent="0.2">
      <c r="S66" s="286"/>
    </row>
    <row r="70" spans="12:19" x14ac:dyDescent="0.2">
      <c r="L70" s="285"/>
    </row>
  </sheetData>
  <sheetProtection selectLockedCells="1" selectUnlockedCells="1"/>
  <mergeCells count="23">
    <mergeCell ref="C7:C9"/>
    <mergeCell ref="B60:C60"/>
    <mergeCell ref="N5:O5"/>
    <mergeCell ref="J5:K5"/>
    <mergeCell ref="F7:G8"/>
    <mergeCell ref="L7:M8"/>
    <mergeCell ref="F5:G5"/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N40"/>
  <sheetViews>
    <sheetView workbookViewId="0">
      <selection activeCell="N10" sqref="N10"/>
    </sheetView>
  </sheetViews>
  <sheetFormatPr defaultColWidth="9.140625" defaultRowHeight="18" customHeight="1" x14ac:dyDescent="0.25"/>
  <cols>
    <col min="1" max="1" width="6.140625" style="31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243" hidden="1" customWidth="1"/>
    <col min="10" max="10" width="9.42578125" style="31" hidden="1" customWidth="1"/>
    <col min="11" max="16384" width="9.140625" style="31"/>
  </cols>
  <sheetData>
    <row r="1" spans="2:14" ht="30.75" customHeight="1" x14ac:dyDescent="0.25">
      <c r="B1" s="1697" t="s">
        <v>1394</v>
      </c>
      <c r="C1" s="1698"/>
      <c r="D1" s="1698"/>
      <c r="E1" s="1698"/>
      <c r="F1" s="1698"/>
      <c r="G1" s="1698"/>
      <c r="H1" s="1699"/>
      <c r="I1" s="1699"/>
      <c r="J1" s="1699"/>
    </row>
    <row r="2" spans="2:14" ht="18" customHeight="1" x14ac:dyDescent="0.25">
      <c r="N2" s="957"/>
    </row>
    <row r="3" spans="2:14" ht="15.75" customHeight="1" x14ac:dyDescent="0.25">
      <c r="B3" s="1523" t="s">
        <v>77</v>
      </c>
      <c r="C3" s="1523"/>
      <c r="D3" s="1523"/>
      <c r="E3" s="1523"/>
      <c r="F3" s="1523"/>
      <c r="G3" s="1523"/>
      <c r="H3" s="1468"/>
      <c r="I3" s="1468"/>
      <c r="J3" s="1468"/>
    </row>
    <row r="4" spans="2:14" ht="15.75" customHeight="1" x14ac:dyDescent="0.25">
      <c r="B4" s="1608" t="s">
        <v>1195</v>
      </c>
      <c r="C4" s="1609"/>
      <c r="D4" s="1609"/>
      <c r="E4" s="1609"/>
      <c r="F4" s="1609"/>
      <c r="G4" s="1609"/>
    </row>
    <row r="5" spans="2:14" ht="15.75" customHeight="1" x14ac:dyDescent="0.25">
      <c r="B5" s="1523" t="s">
        <v>888</v>
      </c>
      <c r="C5" s="1523"/>
      <c r="D5" s="1523"/>
      <c r="E5" s="1523"/>
      <c r="F5" s="1523"/>
      <c r="G5" s="1523"/>
      <c r="H5" s="1468"/>
      <c r="I5" s="1468"/>
      <c r="J5" s="1468"/>
    </row>
    <row r="6" spans="2:14" s="33" customFormat="1" ht="14.25" customHeight="1" x14ac:dyDescent="0.25">
      <c r="B6" s="1601" t="s">
        <v>307</v>
      </c>
      <c r="C6" s="1601"/>
      <c r="D6" s="1601"/>
      <c r="E6" s="1601"/>
      <c r="F6" s="1601"/>
      <c r="G6" s="1601"/>
      <c r="H6" s="1468"/>
      <c r="I6" s="1468"/>
      <c r="J6" s="1468"/>
    </row>
    <row r="7" spans="2:14" s="33" customFormat="1" ht="14.25" customHeight="1" x14ac:dyDescent="0.25">
      <c r="B7" s="28"/>
      <c r="C7" s="204"/>
      <c r="D7" s="205"/>
      <c r="E7" s="28"/>
      <c r="F7" s="28"/>
      <c r="G7" s="28"/>
    </row>
    <row r="8" spans="2:14" ht="30.6" customHeight="1" x14ac:dyDescent="0.25">
      <c r="B8" s="1602" t="s">
        <v>460</v>
      </c>
      <c r="C8" s="1604" t="s">
        <v>57</v>
      </c>
      <c r="D8" s="1604"/>
      <c r="E8" s="20" t="s">
        <v>58</v>
      </c>
      <c r="F8" s="20" t="s">
        <v>59</v>
      </c>
      <c r="G8" s="20" t="s">
        <v>60</v>
      </c>
      <c r="H8" s="31"/>
      <c r="I8" s="31"/>
    </row>
    <row r="9" spans="2:14" ht="30" customHeight="1" x14ac:dyDescent="0.25">
      <c r="B9" s="1603"/>
      <c r="C9" s="1605" t="s">
        <v>517</v>
      </c>
      <c r="D9" s="1605"/>
      <c r="E9" s="1607" t="s">
        <v>1329</v>
      </c>
      <c r="F9" s="1607"/>
      <c r="G9" s="1607"/>
      <c r="H9" s="31"/>
      <c r="I9" s="31"/>
    </row>
    <row r="10" spans="2:14" ht="52.9" customHeight="1" x14ac:dyDescent="0.25">
      <c r="B10" s="1603"/>
      <c r="C10" s="1605"/>
      <c r="D10" s="1606"/>
      <c r="E10" s="206" t="s">
        <v>62</v>
      </c>
      <c r="F10" s="206" t="s">
        <v>63</v>
      </c>
      <c r="G10" s="206" t="s">
        <v>64</v>
      </c>
      <c r="H10" s="31"/>
      <c r="I10" s="31"/>
    </row>
    <row r="11" spans="2:14" ht="23.25" customHeight="1" x14ac:dyDescent="0.25">
      <c r="B11" s="809" t="s">
        <v>470</v>
      </c>
      <c r="C11" s="1600" t="s">
        <v>583</v>
      </c>
      <c r="D11" s="1600"/>
      <c r="E11" s="207"/>
      <c r="F11" s="207"/>
      <c r="G11" s="207"/>
      <c r="H11" s="31"/>
      <c r="I11" s="31"/>
      <c r="K11" s="524"/>
    </row>
    <row r="12" spans="2:14" ht="18" customHeight="1" x14ac:dyDescent="0.25">
      <c r="B12" s="810" t="s">
        <v>478</v>
      </c>
      <c r="C12" s="208" t="s">
        <v>548</v>
      </c>
      <c r="D12" s="205"/>
      <c r="E12" s="207"/>
      <c r="F12" s="207"/>
      <c r="G12" s="207"/>
      <c r="H12" s="31"/>
      <c r="I12" s="31"/>
      <c r="K12" s="524"/>
    </row>
    <row r="13" spans="2:14" ht="18" customHeight="1" x14ac:dyDescent="0.25">
      <c r="B13" s="810" t="s">
        <v>480</v>
      </c>
      <c r="C13" s="209"/>
      <c r="D13" s="210" t="s">
        <v>885</v>
      </c>
      <c r="E13" s="207">
        <v>0</v>
      </c>
      <c r="F13" s="207">
        <v>500</v>
      </c>
      <c r="G13" s="207">
        <f>SUM(E13:F13)</f>
        <v>500</v>
      </c>
      <c r="H13" s="31"/>
      <c r="I13" s="31"/>
      <c r="K13" s="524"/>
    </row>
    <row r="14" spans="2:14" ht="18" customHeight="1" x14ac:dyDescent="0.25">
      <c r="B14" s="810" t="s">
        <v>481</v>
      </c>
      <c r="C14" s="209"/>
      <c r="D14" s="24" t="s">
        <v>548</v>
      </c>
      <c r="E14" s="207"/>
      <c r="F14" s="211">
        <v>0</v>
      </c>
      <c r="G14" s="207">
        <f>SUM(E14:F14)</f>
        <v>0</v>
      </c>
      <c r="H14" s="31"/>
      <c r="I14" s="31"/>
      <c r="K14" s="524"/>
    </row>
    <row r="15" spans="2:14" ht="18" customHeight="1" x14ac:dyDescent="0.25">
      <c r="B15" s="810" t="s">
        <v>482</v>
      </c>
      <c r="C15" s="209"/>
      <c r="D15" s="24" t="s">
        <v>928</v>
      </c>
      <c r="E15" s="207"/>
      <c r="F15" s="211">
        <v>600</v>
      </c>
      <c r="G15" s="207">
        <f>SUM(E15:F15)</f>
        <v>600</v>
      </c>
      <c r="H15" s="31"/>
      <c r="I15" s="31"/>
      <c r="K15" s="524"/>
    </row>
    <row r="16" spans="2:14" ht="18" customHeight="1" x14ac:dyDescent="0.25">
      <c r="B16" s="810" t="s">
        <v>483</v>
      </c>
      <c r="C16" s="209"/>
      <c r="D16" s="24" t="s">
        <v>929</v>
      </c>
      <c r="E16" s="207"/>
      <c r="F16" s="211">
        <v>800</v>
      </c>
      <c r="G16" s="207">
        <f t="shared" ref="G16:G20" si="0">SUM(E16:F16)</f>
        <v>800</v>
      </c>
      <c r="H16" s="31"/>
      <c r="I16" s="31"/>
      <c r="K16" s="524"/>
    </row>
    <row r="17" spans="2:13" ht="18" customHeight="1" x14ac:dyDescent="0.25">
      <c r="B17" s="810" t="s">
        <v>484</v>
      </c>
      <c r="C17" s="209"/>
      <c r="D17" s="24" t="s">
        <v>930</v>
      </c>
      <c r="E17" s="207"/>
      <c r="F17" s="211">
        <v>800</v>
      </c>
      <c r="G17" s="207">
        <f t="shared" si="0"/>
        <v>800</v>
      </c>
      <c r="H17" s="31"/>
      <c r="I17" s="31"/>
      <c r="K17" s="524"/>
    </row>
    <row r="18" spans="2:13" ht="18" customHeight="1" x14ac:dyDescent="0.25">
      <c r="B18" s="810" t="s">
        <v>485</v>
      </c>
      <c r="C18" s="209"/>
      <c r="D18" s="24" t="s">
        <v>931</v>
      </c>
      <c r="E18" s="207"/>
      <c r="F18" s="211">
        <v>3800</v>
      </c>
      <c r="G18" s="207">
        <f t="shared" si="0"/>
        <v>3800</v>
      </c>
      <c r="H18" s="31"/>
      <c r="I18" s="31"/>
      <c r="K18" s="524"/>
    </row>
    <row r="19" spans="2:13" ht="18" customHeight="1" x14ac:dyDescent="0.25">
      <c r="B19" s="810" t="s">
        <v>519</v>
      </c>
      <c r="C19" s="209"/>
      <c r="D19" s="24" t="s">
        <v>932</v>
      </c>
      <c r="E19" s="207">
        <v>2300</v>
      </c>
      <c r="F19" s="211">
        <v>0</v>
      </c>
      <c r="G19" s="207">
        <f t="shared" si="0"/>
        <v>2300</v>
      </c>
      <c r="H19" s="31"/>
      <c r="I19" s="31"/>
      <c r="K19" s="524"/>
    </row>
    <row r="20" spans="2:13" ht="18" customHeight="1" x14ac:dyDescent="0.25">
      <c r="B20" s="810" t="s">
        <v>520</v>
      </c>
      <c r="C20" s="209"/>
      <c r="D20" s="498" t="s">
        <v>581</v>
      </c>
      <c r="E20" s="207">
        <v>390</v>
      </c>
      <c r="F20" s="211">
        <v>0</v>
      </c>
      <c r="G20" s="207">
        <f t="shared" si="0"/>
        <v>390</v>
      </c>
      <c r="H20" s="31"/>
      <c r="I20" s="31"/>
      <c r="K20" s="524"/>
    </row>
    <row r="21" spans="2:13" ht="18" customHeight="1" x14ac:dyDescent="0.25">
      <c r="B21" s="810" t="s">
        <v>521</v>
      </c>
      <c r="C21" s="659"/>
      <c r="D21" s="498" t="s">
        <v>546</v>
      </c>
      <c r="E21" s="207"/>
      <c r="F21" s="211">
        <v>1800</v>
      </c>
      <c r="G21" s="207">
        <f>SUM(E21:F21)</f>
        <v>1800</v>
      </c>
      <c r="H21" s="31"/>
      <c r="I21" s="31"/>
      <c r="K21" s="524"/>
    </row>
    <row r="22" spans="2:13" ht="18" customHeight="1" x14ac:dyDescent="0.25">
      <c r="B22" s="810" t="s">
        <v>522</v>
      </c>
      <c r="C22" s="659"/>
      <c r="D22" s="661" t="s">
        <v>545</v>
      </c>
      <c r="E22" s="660"/>
      <c r="F22" s="211">
        <v>1100</v>
      </c>
      <c r="G22" s="499">
        <f>SUM(E22:F22)</f>
        <v>1100</v>
      </c>
      <c r="H22" s="32"/>
      <c r="I22" s="32"/>
      <c r="J22" s="32"/>
      <c r="K22" s="524"/>
      <c r="M22" s="32"/>
    </row>
    <row r="23" spans="2:13" ht="18" customHeight="1" x14ac:dyDescent="0.25">
      <c r="B23" s="810" t="s">
        <v>523</v>
      </c>
      <c r="C23" s="659"/>
      <c r="D23" s="661" t="s">
        <v>1111</v>
      </c>
      <c r="E23" s="660"/>
      <c r="F23" s="211">
        <v>350</v>
      </c>
      <c r="G23" s="499">
        <f>SUM(E23:F23)</f>
        <v>350</v>
      </c>
      <c r="H23" s="32"/>
      <c r="I23" s="32"/>
      <c r="J23" s="32"/>
      <c r="K23" s="524"/>
      <c r="M23" s="32"/>
    </row>
    <row r="24" spans="2:13" ht="18" customHeight="1" x14ac:dyDescent="0.25">
      <c r="B24" s="810" t="s">
        <v>524</v>
      </c>
      <c r="C24" s="208" t="s">
        <v>886</v>
      </c>
      <c r="D24" s="205"/>
      <c r="E24" s="212">
        <f>SUM(E13:E22)</f>
        <v>2690</v>
      </c>
      <c r="F24" s="212">
        <f>SUM(F13:F23)</f>
        <v>9750</v>
      </c>
      <c r="G24" s="212">
        <f>SUM(G13:G23)</f>
        <v>12440</v>
      </c>
      <c r="H24" s="212">
        <f t="shared" ref="H24:J24" si="1">SUM(H13:H22)</f>
        <v>0</v>
      </c>
      <c r="I24" s="212">
        <f t="shared" si="1"/>
        <v>0</v>
      </c>
      <c r="J24" s="212">
        <f t="shared" si="1"/>
        <v>0</v>
      </c>
      <c r="K24" s="524"/>
    </row>
    <row r="25" spans="2:13" ht="18" customHeight="1" x14ac:dyDescent="0.25">
      <c r="B25" s="810"/>
      <c r="E25" s="211"/>
      <c r="F25" s="207"/>
      <c r="G25" s="207"/>
      <c r="H25" s="31"/>
      <c r="I25" s="31"/>
      <c r="K25" s="524"/>
    </row>
    <row r="26" spans="2:13" ht="18" customHeight="1" x14ac:dyDescent="0.25">
      <c r="B26" s="810"/>
      <c r="C26" s="28"/>
      <c r="E26" s="662"/>
      <c r="F26" s="662"/>
      <c r="G26" s="662"/>
      <c r="H26" s="31"/>
      <c r="I26" s="31"/>
      <c r="K26" s="524"/>
    </row>
    <row r="27" spans="2:13" ht="37.9" customHeight="1" x14ac:dyDescent="0.25">
      <c r="B27" s="811" t="s">
        <v>525</v>
      </c>
      <c r="D27" s="24" t="s">
        <v>586</v>
      </c>
      <c r="E27" s="207"/>
      <c r="F27" s="207">
        <v>4200</v>
      </c>
      <c r="G27" s="207">
        <f>SUM(E27:F27)</f>
        <v>4200</v>
      </c>
      <c r="H27" s="31"/>
      <c r="I27" s="31"/>
      <c r="K27" s="524"/>
    </row>
    <row r="28" spans="2:13" ht="23.25" customHeight="1" thickBot="1" x14ac:dyDescent="0.3">
      <c r="B28" s="811" t="s">
        <v>526</v>
      </c>
      <c r="C28" s="798"/>
      <c r="D28" s="796" t="s">
        <v>584</v>
      </c>
      <c r="E28" s="663">
        <f>E27</f>
        <v>0</v>
      </c>
      <c r="F28" s="663">
        <f t="shared" ref="F28:G28" si="2">F27</f>
        <v>4200</v>
      </c>
      <c r="G28" s="663">
        <f t="shared" si="2"/>
        <v>4200</v>
      </c>
      <c r="H28" s="31"/>
      <c r="I28" s="31"/>
      <c r="K28" s="524"/>
    </row>
    <row r="29" spans="2:13" s="33" customFormat="1" ht="18" customHeight="1" thickBot="1" x14ac:dyDescent="0.3">
      <c r="B29" s="811" t="s">
        <v>528</v>
      </c>
      <c r="C29" s="797" t="s">
        <v>887</v>
      </c>
      <c r="D29" s="244"/>
      <c r="E29" s="664">
        <f>E24+E26+E27</f>
        <v>2690</v>
      </c>
      <c r="F29" s="664">
        <f>F24+F26+F27</f>
        <v>13950</v>
      </c>
      <c r="G29" s="664">
        <f>G24+G26+G27</f>
        <v>16640</v>
      </c>
      <c r="K29" s="525"/>
      <c r="M29" s="37"/>
    </row>
    <row r="30" spans="2:13" ht="18" customHeight="1" x14ac:dyDescent="0.25">
      <c r="B30" s="499"/>
      <c r="H30" s="31"/>
      <c r="I30" s="31"/>
    </row>
    <row r="31" spans="2:13" ht="18" customHeight="1" x14ac:dyDescent="0.25">
      <c r="H31" s="31"/>
      <c r="I31" s="31"/>
    </row>
    <row r="32" spans="2:13" ht="18" customHeight="1" x14ac:dyDescent="0.25">
      <c r="H32" s="31"/>
      <c r="I32" s="31"/>
    </row>
    <row r="33" spans="8:9" ht="18" customHeight="1" x14ac:dyDescent="0.25">
      <c r="H33" s="31"/>
      <c r="I33" s="31"/>
    </row>
    <row r="34" spans="8:9" ht="18" customHeight="1" x14ac:dyDescent="0.25">
      <c r="H34" s="31"/>
      <c r="I34" s="31"/>
    </row>
    <row r="35" spans="8:9" ht="18" customHeight="1" x14ac:dyDescent="0.25">
      <c r="H35" s="31"/>
      <c r="I35" s="31"/>
    </row>
    <row r="36" spans="8:9" ht="18" customHeight="1" x14ac:dyDescent="0.25">
      <c r="H36" s="31"/>
      <c r="I36" s="31"/>
    </row>
    <row r="37" spans="8:9" ht="18" customHeight="1" x14ac:dyDescent="0.25">
      <c r="H37" s="31"/>
      <c r="I37" s="31"/>
    </row>
    <row r="38" spans="8:9" ht="18" customHeight="1" x14ac:dyDescent="0.25">
      <c r="H38" s="31"/>
      <c r="I38" s="31"/>
    </row>
    <row r="39" spans="8:9" ht="18" customHeight="1" x14ac:dyDescent="0.25">
      <c r="H39" s="31"/>
      <c r="I39" s="31"/>
    </row>
    <row r="40" spans="8:9" ht="18" customHeight="1" x14ac:dyDescent="0.25">
      <c r="H40" s="31"/>
      <c r="I40" s="31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3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197" customWidth="1"/>
    <col min="5" max="6" width="9.42578125" style="3" customWidth="1"/>
    <col min="7" max="7" width="9.7109375" style="3" customWidth="1"/>
    <col min="8" max="9" width="0" style="202" hidden="1" customWidth="1"/>
    <col min="10" max="10" width="9.85546875" style="221" hidden="1" customWidth="1"/>
    <col min="11" max="11" width="0" style="221" hidden="1" customWidth="1"/>
    <col min="12" max="16384" width="9.140625" style="4"/>
  </cols>
  <sheetData>
    <row r="1" spans="1:12" ht="31.5" customHeight="1" x14ac:dyDescent="0.2">
      <c r="B1" s="1618" t="s">
        <v>1220</v>
      </c>
      <c r="C1" s="1618"/>
      <c r="D1" s="1618"/>
      <c r="E1" s="1618"/>
      <c r="F1" s="1618"/>
      <c r="G1" s="1618"/>
      <c r="H1" s="1619"/>
      <c r="I1" s="1619"/>
      <c r="J1" s="1619"/>
      <c r="K1" s="1468"/>
    </row>
    <row r="3" spans="1:12" ht="12.75" customHeight="1" x14ac:dyDescent="0.2">
      <c r="B3" s="1467" t="s">
        <v>498</v>
      </c>
      <c r="C3" s="1467"/>
      <c r="D3" s="1467"/>
      <c r="E3" s="1467"/>
      <c r="F3" s="1467"/>
      <c r="G3" s="1467"/>
      <c r="H3" s="1468"/>
      <c r="I3" s="1468"/>
      <c r="J3" s="1468"/>
    </row>
    <row r="4" spans="1:12" ht="12.75" customHeight="1" x14ac:dyDescent="0.2">
      <c r="B4" s="1467" t="s">
        <v>1195</v>
      </c>
      <c r="C4" s="1467"/>
      <c r="D4" s="1467"/>
      <c r="E4" s="1467"/>
      <c r="F4" s="1467"/>
      <c r="G4" s="1467"/>
      <c r="H4" s="1468"/>
      <c r="I4" s="1468"/>
      <c r="J4" s="1468"/>
    </row>
    <row r="5" spans="1:12" ht="12.75" customHeight="1" x14ac:dyDescent="0.2">
      <c r="B5" s="1467" t="s">
        <v>888</v>
      </c>
      <c r="C5" s="1467"/>
      <c r="D5" s="1467"/>
      <c r="E5" s="1467"/>
      <c r="F5" s="1467"/>
      <c r="G5" s="1467"/>
      <c r="H5" s="1468"/>
      <c r="I5" s="1468"/>
      <c r="J5" s="1468"/>
    </row>
    <row r="6" spans="1:12" s="102" customFormat="1" ht="14.25" customHeight="1" x14ac:dyDescent="0.2">
      <c r="B6" s="190"/>
      <c r="C6" s="1617" t="s">
        <v>295</v>
      </c>
      <c r="D6" s="1617"/>
      <c r="E6" s="1539"/>
      <c r="F6" s="1539"/>
      <c r="G6" s="1539"/>
      <c r="H6" s="1468"/>
      <c r="I6" s="1468"/>
      <c r="J6" s="1468"/>
      <c r="K6" s="223"/>
    </row>
    <row r="7" spans="1:12" s="102" customFormat="1" ht="6" customHeight="1" x14ac:dyDescent="0.2">
      <c r="B7" s="190"/>
      <c r="C7" s="185"/>
      <c r="D7" s="213"/>
      <c r="E7" s="190"/>
      <c r="F7" s="190"/>
      <c r="G7" s="190"/>
      <c r="H7" s="242"/>
      <c r="I7" s="242"/>
      <c r="J7" s="223"/>
      <c r="K7" s="223"/>
    </row>
    <row r="8" spans="1:12" ht="27" customHeight="1" x14ac:dyDescent="0.25">
      <c r="B8" s="1610" t="s">
        <v>460</v>
      </c>
      <c r="C8" s="1613" t="s">
        <v>57</v>
      </c>
      <c r="D8" s="1613"/>
      <c r="E8" s="20" t="s">
        <v>58</v>
      </c>
      <c r="F8" s="20" t="s">
        <v>59</v>
      </c>
      <c r="G8" s="20" t="s">
        <v>60</v>
      </c>
      <c r="H8" s="221"/>
      <c r="I8" s="4"/>
      <c r="J8" s="4"/>
      <c r="K8" s="4"/>
    </row>
    <row r="9" spans="1:12" ht="30" customHeight="1" x14ac:dyDescent="0.2">
      <c r="B9" s="1611"/>
      <c r="C9" s="1605" t="s">
        <v>85</v>
      </c>
      <c r="D9" s="1605"/>
      <c r="E9" s="1615" t="s">
        <v>974</v>
      </c>
      <c r="F9" s="1615"/>
      <c r="G9" s="1615"/>
      <c r="H9" s="221"/>
      <c r="I9" s="4"/>
      <c r="J9" s="4"/>
      <c r="K9" s="4"/>
    </row>
    <row r="10" spans="1:12" ht="41.25" customHeight="1" x14ac:dyDescent="0.2">
      <c r="B10" s="1612"/>
      <c r="C10" s="1605"/>
      <c r="D10" s="1605"/>
      <c r="E10" s="206" t="s">
        <v>62</v>
      </c>
      <c r="F10" s="206" t="s">
        <v>63</v>
      </c>
      <c r="G10" s="206" t="s">
        <v>64</v>
      </c>
      <c r="H10" s="221"/>
      <c r="I10" s="4"/>
      <c r="J10" s="4"/>
      <c r="K10" s="4"/>
    </row>
    <row r="11" spans="1:12" ht="18" customHeight="1" x14ac:dyDescent="0.2">
      <c r="A11" s="805"/>
      <c r="B11" s="806" t="s">
        <v>470</v>
      </c>
      <c r="C11" s="1616" t="s">
        <v>587</v>
      </c>
      <c r="D11" s="1616"/>
      <c r="E11" s="214"/>
      <c r="F11" s="193"/>
      <c r="G11" s="494"/>
      <c r="H11" s="221"/>
      <c r="I11" s="4"/>
      <c r="J11" s="4"/>
      <c r="K11" s="4"/>
      <c r="L11" s="522"/>
    </row>
    <row r="12" spans="1:12" ht="26.45" customHeight="1" x14ac:dyDescent="0.2">
      <c r="A12" s="805"/>
      <c r="B12" s="807" t="s">
        <v>478</v>
      </c>
      <c r="C12" s="193"/>
      <c r="D12" s="268" t="s">
        <v>889</v>
      </c>
      <c r="E12" s="216">
        <f>'tám, végl. pe.átv  '!C31</f>
        <v>0</v>
      </c>
      <c r="F12" s="215"/>
      <c r="G12" s="494">
        <f>SUM(E12:F12)</f>
        <v>0</v>
      </c>
      <c r="H12" s="221"/>
      <c r="I12" s="4"/>
      <c r="J12" s="4"/>
      <c r="K12" s="4"/>
      <c r="L12" s="522"/>
    </row>
    <row r="13" spans="1:12" ht="20.25" customHeight="1" x14ac:dyDescent="0.2">
      <c r="A13" s="805"/>
      <c r="B13" s="807" t="s">
        <v>479</v>
      </c>
      <c r="C13" s="193"/>
      <c r="D13" s="268" t="s">
        <v>101</v>
      </c>
      <c r="E13" s="214">
        <v>0</v>
      </c>
      <c r="F13" s="193">
        <f>SUM(F12)</f>
        <v>0</v>
      </c>
      <c r="G13" s="494">
        <f>SUM(E13:F13)</f>
        <v>0</v>
      </c>
      <c r="H13" s="221"/>
      <c r="I13" s="4"/>
      <c r="J13" s="4"/>
      <c r="K13" s="4"/>
      <c r="L13" s="522"/>
    </row>
    <row r="14" spans="1:12" ht="18" customHeight="1" x14ac:dyDescent="0.2">
      <c r="A14" s="805"/>
      <c r="B14" s="807" t="s">
        <v>480</v>
      </c>
      <c r="D14" s="217" t="s">
        <v>584</v>
      </c>
      <c r="E14" s="218">
        <f>SUM(E12:E13)</f>
        <v>0</v>
      </c>
      <c r="F14" s="195"/>
      <c r="G14" s="495">
        <f>SUM(G12:G13)</f>
        <v>0</v>
      </c>
      <c r="H14" s="221"/>
      <c r="I14" s="4"/>
      <c r="J14" s="4"/>
      <c r="K14" s="4"/>
      <c r="L14" s="522"/>
    </row>
    <row r="15" spans="1:12" ht="18" customHeight="1" x14ac:dyDescent="0.2">
      <c r="A15" s="805"/>
      <c r="B15" s="807" t="s">
        <v>481</v>
      </c>
      <c r="D15" s="217"/>
      <c r="E15" s="214"/>
      <c r="F15" s="193"/>
      <c r="G15" s="494"/>
      <c r="H15" s="221"/>
      <c r="I15" s="4"/>
      <c r="J15" s="4"/>
      <c r="K15" s="4"/>
      <c r="L15" s="522"/>
    </row>
    <row r="16" spans="1:12" ht="18" customHeight="1" x14ac:dyDescent="0.2">
      <c r="A16" s="805"/>
      <c r="B16" s="808" t="s">
        <v>482</v>
      </c>
      <c r="E16" s="245"/>
      <c r="F16" s="193"/>
      <c r="G16" s="496"/>
      <c r="H16" s="221"/>
      <c r="I16" s="4"/>
      <c r="J16" s="4"/>
      <c r="K16" s="4"/>
      <c r="L16" s="522"/>
    </row>
    <row r="17" spans="2:12" ht="18" customHeight="1" x14ac:dyDescent="0.2">
      <c r="B17" s="219" t="s">
        <v>483</v>
      </c>
      <c r="C17" s="1614" t="s">
        <v>585</v>
      </c>
      <c r="D17" s="1614"/>
      <c r="E17" s="220">
        <f>E14</f>
        <v>0</v>
      </c>
      <c r="F17" s="220">
        <f t="shared" ref="F17:G17" si="0">F14</f>
        <v>0</v>
      </c>
      <c r="G17" s="220">
        <f t="shared" si="0"/>
        <v>0</v>
      </c>
      <c r="H17" s="221"/>
      <c r="I17" s="4"/>
      <c r="J17" s="4"/>
      <c r="K17" s="4"/>
      <c r="L17" s="522"/>
    </row>
    <row r="18" spans="2:12" ht="18" customHeight="1" x14ac:dyDescent="0.2">
      <c r="B18" s="5"/>
      <c r="H18" s="221"/>
      <c r="I18" s="4"/>
      <c r="J18" s="4"/>
      <c r="K18" s="4"/>
    </row>
  </sheetData>
  <sheetProtection selectLockedCells="1" selectUnlockedCells="1"/>
  <mergeCells count="11">
    <mergeCell ref="B3:J3"/>
    <mergeCell ref="B4:J4"/>
    <mergeCell ref="B5:J5"/>
    <mergeCell ref="C6:J6"/>
    <mergeCell ref="B1:K1"/>
    <mergeCell ref="B8:B10"/>
    <mergeCell ref="C8:D8"/>
    <mergeCell ref="C17:D17"/>
    <mergeCell ref="E9:G9"/>
    <mergeCell ref="C11:D11"/>
    <mergeCell ref="C9:D10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J15" sqref="J15"/>
    </sheetView>
  </sheetViews>
  <sheetFormatPr defaultColWidth="9.140625" defaultRowHeight="11.25" x14ac:dyDescent="0.2"/>
  <cols>
    <col min="1" max="1" width="4.85546875" style="114" customWidth="1"/>
    <col min="2" max="2" width="39.85546875" style="114" customWidth="1"/>
    <col min="3" max="3" width="10.28515625" style="115" customWidth="1"/>
    <col min="4" max="4" width="11" style="115" customWidth="1"/>
    <col min="5" max="5" width="10.85546875" style="115" customWidth="1"/>
    <col min="6" max="6" width="33.7109375" style="115" customWidth="1"/>
    <col min="7" max="7" width="10.5703125" style="232" customWidth="1"/>
    <col min="8" max="8" width="12.42578125" style="232" customWidth="1"/>
    <col min="9" max="9" width="13" style="232" customWidth="1"/>
    <col min="10" max="10" width="9.140625" style="114"/>
    <col min="11" max="16384" width="9.140625" style="10"/>
  </cols>
  <sheetData>
    <row r="1" spans="1:10" ht="12.75" customHeight="1" x14ac:dyDescent="0.2">
      <c r="B1" s="1403" t="s">
        <v>1400</v>
      </c>
      <c r="C1" s="1468"/>
      <c r="D1" s="1468"/>
      <c r="E1" s="1468"/>
      <c r="F1" s="1468"/>
      <c r="G1" s="1468"/>
      <c r="H1" s="1468"/>
      <c r="I1" s="1468"/>
    </row>
    <row r="2" spans="1:10" x14ac:dyDescent="0.2">
      <c r="I2" s="292"/>
    </row>
    <row r="3" spans="1:10" x14ac:dyDescent="0.2">
      <c r="I3" s="292"/>
    </row>
    <row r="4" spans="1:10" s="86" customFormat="1" x14ac:dyDescent="0.2">
      <c r="A4" s="117"/>
      <c r="B4" s="1407" t="s">
        <v>77</v>
      </c>
      <c r="C4" s="1407"/>
      <c r="D4" s="1407"/>
      <c r="E4" s="1407"/>
      <c r="F4" s="1407"/>
      <c r="G4" s="1407"/>
      <c r="H4" s="1407"/>
      <c r="I4" s="1407"/>
      <c r="J4" s="117"/>
    </row>
    <row r="5" spans="1:10" s="86" customFormat="1" x14ac:dyDescent="0.2">
      <c r="A5" s="117"/>
      <c r="B5" s="1531" t="s">
        <v>177</v>
      </c>
      <c r="C5" s="1531"/>
      <c r="D5" s="1531"/>
      <c r="E5" s="1531"/>
      <c r="F5" s="1531"/>
      <c r="G5" s="1531"/>
      <c r="H5" s="1531"/>
      <c r="I5" s="1531"/>
      <c r="J5" s="117"/>
    </row>
    <row r="6" spans="1:10" s="86" customFormat="1" x14ac:dyDescent="0.2">
      <c r="A6" s="117"/>
      <c r="B6" s="1407" t="s">
        <v>1321</v>
      </c>
      <c r="C6" s="1407"/>
      <c r="D6" s="1407"/>
      <c r="E6" s="1407"/>
      <c r="F6" s="1407"/>
      <c r="G6" s="1407"/>
      <c r="H6" s="1407"/>
      <c r="I6" s="1407"/>
      <c r="J6" s="117"/>
    </row>
    <row r="7" spans="1:10" s="86" customFormat="1" x14ac:dyDescent="0.2">
      <c r="A7" s="117"/>
      <c r="B7" s="1408" t="s">
        <v>295</v>
      </c>
      <c r="C7" s="1408"/>
      <c r="D7" s="1408"/>
      <c r="E7" s="1408"/>
      <c r="F7" s="1408"/>
      <c r="G7" s="1408"/>
      <c r="H7" s="1408"/>
      <c r="I7" s="1408"/>
      <c r="J7" s="117"/>
    </row>
    <row r="8" spans="1:10" s="86" customFormat="1" ht="12.75" customHeight="1" x14ac:dyDescent="0.2">
      <c r="A8" s="1413" t="s">
        <v>56</v>
      </c>
      <c r="B8" s="1414" t="s">
        <v>57</v>
      </c>
      <c r="C8" s="1431" t="s">
        <v>58</v>
      </c>
      <c r="D8" s="1431"/>
      <c r="E8" s="1432"/>
      <c r="F8" s="1530" t="s">
        <v>59</v>
      </c>
      <c r="G8" s="1428" t="s">
        <v>60</v>
      </c>
      <c r="H8" s="1429"/>
      <c r="I8" s="1429"/>
      <c r="J8" s="519"/>
    </row>
    <row r="9" spans="1:10" s="86" customFormat="1" ht="12.75" customHeight="1" x14ac:dyDescent="0.2">
      <c r="A9" s="1413"/>
      <c r="B9" s="1414"/>
      <c r="C9" s="1404" t="s">
        <v>1136</v>
      </c>
      <c r="D9" s="1404"/>
      <c r="E9" s="1405"/>
      <c r="F9" s="1530"/>
      <c r="G9" s="1419" t="s">
        <v>1136</v>
      </c>
      <c r="H9" s="1419"/>
      <c r="I9" s="1419"/>
      <c r="J9" s="519"/>
    </row>
    <row r="10" spans="1:10" s="250" customFormat="1" ht="36.6" customHeight="1" x14ac:dyDescent="0.2">
      <c r="A10" s="1413"/>
      <c r="B10" s="248" t="s">
        <v>61</v>
      </c>
      <c r="C10" s="94" t="s">
        <v>62</v>
      </c>
      <c r="D10" s="94" t="s">
        <v>63</v>
      </c>
      <c r="E10" s="119" t="s">
        <v>64</v>
      </c>
      <c r="F10" s="249" t="s">
        <v>65</v>
      </c>
      <c r="G10" s="293" t="s">
        <v>62</v>
      </c>
      <c r="H10" s="293" t="s">
        <v>63</v>
      </c>
      <c r="I10" s="293" t="s">
        <v>64</v>
      </c>
      <c r="J10" s="526"/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298"/>
      <c r="H11" s="298"/>
      <c r="I11" s="398"/>
      <c r="J11" s="147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>
        <f t="shared" ref="E12:E18" si="1">SUM(C12:D12)</f>
        <v>0</v>
      </c>
      <c r="F12" s="98" t="s">
        <v>208</v>
      </c>
      <c r="G12" s="227">
        <v>238611</v>
      </c>
      <c r="H12" s="227">
        <v>16663</v>
      </c>
      <c r="I12" s="399">
        <f>SUM(G12:H12)</f>
        <v>255274</v>
      </c>
      <c r="J12" s="147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>
        <f t="shared" si="1"/>
        <v>0</v>
      </c>
      <c r="F13" s="455" t="s">
        <v>209</v>
      </c>
      <c r="G13" s="227">
        <v>45520</v>
      </c>
      <c r="H13" s="227">
        <v>3059</v>
      </c>
      <c r="I13" s="399">
        <f>SUM(G13:H13)</f>
        <v>48579</v>
      </c>
      <c r="J13" s="518"/>
    </row>
    <row r="14" spans="1:10" x14ac:dyDescent="0.2">
      <c r="A14" s="121">
        <f t="shared" si="0"/>
        <v>4</v>
      </c>
      <c r="B14" s="124" t="s">
        <v>185</v>
      </c>
      <c r="C14" s="82">
        <f>'tám, végl. pe.átv  '!C56</f>
        <v>0</v>
      </c>
      <c r="D14" s="82">
        <f>'tám, végl. pe.átv  '!D56</f>
        <v>106</v>
      </c>
      <c r="E14" s="227">
        <f t="shared" si="1"/>
        <v>106</v>
      </c>
      <c r="F14" s="98" t="s">
        <v>210</v>
      </c>
      <c r="G14" s="227">
        <v>203263</v>
      </c>
      <c r="H14" s="227">
        <v>6262</v>
      </c>
      <c r="I14" s="399">
        <f>SUM(G14:H14)</f>
        <v>209525</v>
      </c>
      <c r="J14" s="147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314"/>
      <c r="H15" s="314"/>
      <c r="I15" s="400"/>
      <c r="J15" s="147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>
        <f t="shared" si="1"/>
        <v>0</v>
      </c>
      <c r="F16" s="98" t="s">
        <v>28</v>
      </c>
      <c r="G16" s="234"/>
      <c r="H16" s="234"/>
      <c r="I16" s="401"/>
      <c r="J16" s="147"/>
    </row>
    <row r="17" spans="1:10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234"/>
      <c r="H17" s="234"/>
      <c r="I17" s="401"/>
      <c r="J17" s="147"/>
    </row>
    <row r="18" spans="1:10" x14ac:dyDescent="0.2">
      <c r="A18" s="121">
        <f t="shared" si="0"/>
        <v>8</v>
      </c>
      <c r="B18" s="124" t="s">
        <v>39</v>
      </c>
      <c r="C18" s="82"/>
      <c r="D18" s="82"/>
      <c r="E18" s="83">
        <f t="shared" si="1"/>
        <v>0</v>
      </c>
      <c r="F18" s="98" t="s">
        <v>437</v>
      </c>
      <c r="G18" s="234"/>
      <c r="H18" s="234"/>
      <c r="I18" s="401"/>
      <c r="J18" s="147"/>
    </row>
    <row r="19" spans="1:10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436</v>
      </c>
      <c r="G19" s="234"/>
      <c r="H19" s="234"/>
      <c r="I19" s="401"/>
      <c r="J19" s="147"/>
    </row>
    <row r="20" spans="1:10" x14ac:dyDescent="0.2">
      <c r="A20" s="121">
        <f t="shared" si="0"/>
        <v>10</v>
      </c>
      <c r="B20" s="80" t="s">
        <v>187</v>
      </c>
      <c r="C20" s="294">
        <v>75092</v>
      </c>
      <c r="D20" s="294">
        <v>24908</v>
      </c>
      <c r="E20" s="294">
        <f>SUM(C20:D20)</f>
        <v>100000</v>
      </c>
      <c r="F20" s="98" t="s">
        <v>183</v>
      </c>
      <c r="G20" s="234"/>
      <c r="H20" s="234"/>
      <c r="I20" s="401"/>
      <c r="J20" s="147"/>
    </row>
    <row r="21" spans="1:10" x14ac:dyDescent="0.2">
      <c r="A21" s="121">
        <f t="shared" si="0"/>
        <v>11</v>
      </c>
      <c r="C21" s="125"/>
      <c r="D21" s="125"/>
      <c r="E21" s="125"/>
      <c r="F21" s="98" t="s">
        <v>893</v>
      </c>
      <c r="G21" s="234"/>
      <c r="H21" s="234"/>
      <c r="I21" s="401"/>
      <c r="J21" s="147"/>
    </row>
    <row r="22" spans="1:10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894</v>
      </c>
      <c r="G22" s="234"/>
      <c r="H22" s="234"/>
      <c r="I22" s="401"/>
      <c r="J22" s="521"/>
    </row>
    <row r="23" spans="1:10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234"/>
      <c r="H23" s="234"/>
      <c r="I23" s="401"/>
      <c r="J23" s="521"/>
    </row>
    <row r="24" spans="1:10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295">
        <f>SUM(G12:G22)</f>
        <v>487394</v>
      </c>
      <c r="H24" s="295">
        <f>SUM(H12:H22)</f>
        <v>25984</v>
      </c>
      <c r="I24" s="402">
        <f>SUM(I12:I22)</f>
        <v>513378</v>
      </c>
      <c r="J24" s="147"/>
    </row>
    <row r="25" spans="1:10" x14ac:dyDescent="0.2">
      <c r="A25" s="121">
        <f t="shared" si="0"/>
        <v>15</v>
      </c>
      <c r="B25" s="124" t="s">
        <v>45</v>
      </c>
      <c r="C25" s="294">
        <v>0</v>
      </c>
      <c r="D25" s="294">
        <v>0</v>
      </c>
      <c r="E25" s="294">
        <v>0</v>
      </c>
      <c r="F25" s="128"/>
      <c r="G25" s="234"/>
      <c r="H25" s="234"/>
      <c r="I25" s="401"/>
      <c r="J25" s="147"/>
    </row>
    <row r="26" spans="1:10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297"/>
      <c r="H26" s="297"/>
      <c r="I26" s="401"/>
      <c r="J26" s="147"/>
    </row>
    <row r="27" spans="1:10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266</v>
      </c>
      <c r="G27" s="234">
        <f>'felhalm. kiad.  '!H107</f>
        <v>4400</v>
      </c>
      <c r="H27" s="234">
        <f>'felhalm. kiad.  '!I107</f>
        <v>22000</v>
      </c>
      <c r="I27" s="401">
        <f>SUM(G27:H27)</f>
        <v>26400</v>
      </c>
      <c r="J27" s="147"/>
    </row>
    <row r="28" spans="1:10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234"/>
      <c r="H28" s="234"/>
      <c r="I28" s="401"/>
      <c r="J28" s="147"/>
    </row>
    <row r="29" spans="1:10" x14ac:dyDescent="0.2">
      <c r="A29" s="121">
        <f t="shared" si="0"/>
        <v>19</v>
      </c>
      <c r="B29" s="114" t="s">
        <v>50</v>
      </c>
      <c r="C29" s="83"/>
      <c r="D29" s="83"/>
      <c r="E29" s="83"/>
      <c r="F29" s="98" t="s">
        <v>32</v>
      </c>
      <c r="G29" s="234"/>
      <c r="H29" s="234"/>
      <c r="I29" s="401"/>
      <c r="J29" s="147"/>
    </row>
    <row r="30" spans="1:10" s="88" customFormat="1" x14ac:dyDescent="0.2">
      <c r="A30" s="121">
        <f t="shared" si="0"/>
        <v>20</v>
      </c>
      <c r="B30" s="114" t="s">
        <v>48</v>
      </c>
      <c r="C30" s="83"/>
      <c r="D30" s="83"/>
      <c r="E30" s="83"/>
      <c r="F30" s="98" t="s">
        <v>438</v>
      </c>
      <c r="G30" s="234"/>
      <c r="H30" s="234"/>
      <c r="I30" s="401"/>
      <c r="J30" s="521"/>
    </row>
    <row r="31" spans="1:10" x14ac:dyDescent="0.2">
      <c r="A31" s="121">
        <f t="shared" si="0"/>
        <v>21</v>
      </c>
      <c r="C31" s="83"/>
      <c r="D31" s="83"/>
      <c r="E31" s="83"/>
      <c r="F31" s="98" t="s">
        <v>435</v>
      </c>
      <c r="G31" s="234"/>
      <c r="H31" s="234"/>
      <c r="I31" s="401"/>
      <c r="J31" s="147"/>
    </row>
    <row r="32" spans="1:10" s="11" customFormat="1" x14ac:dyDescent="0.2">
      <c r="A32" s="121">
        <f t="shared" si="0"/>
        <v>22</v>
      </c>
      <c r="B32" s="131" t="s">
        <v>52</v>
      </c>
      <c r="C32" s="125">
        <f>C14+C20</f>
        <v>75092</v>
      </c>
      <c r="D32" s="125">
        <f>D14+D20</f>
        <v>25014</v>
      </c>
      <c r="E32" s="125">
        <f>E14+E20</f>
        <v>100106</v>
      </c>
      <c r="F32" s="98" t="s">
        <v>431</v>
      </c>
      <c r="G32" s="232"/>
      <c r="H32" s="232"/>
      <c r="I32" s="401"/>
      <c r="J32" s="431"/>
    </row>
    <row r="33" spans="1:10" x14ac:dyDescent="0.2">
      <c r="A33" s="121">
        <f t="shared" si="0"/>
        <v>23</v>
      </c>
      <c r="B33" s="132" t="s">
        <v>67</v>
      </c>
      <c r="C33" s="134">
        <f>C16+C23+C24+C25+C26+C27+C30</f>
        <v>0</v>
      </c>
      <c r="D33" s="134">
        <f t="shared" ref="D33:E33" si="2">D16+D23+D24+D25+D26+D27+D30</f>
        <v>0</v>
      </c>
      <c r="E33" s="134">
        <f t="shared" si="2"/>
        <v>0</v>
      </c>
      <c r="F33" s="133" t="s">
        <v>68</v>
      </c>
      <c r="G33" s="296">
        <f>SUM(G27:G32)</f>
        <v>4400</v>
      </c>
      <c r="H33" s="296">
        <f>SUM(H27:H32)</f>
        <v>22000</v>
      </c>
      <c r="I33" s="403">
        <f>SUM(I27:I31)</f>
        <v>26400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75092</v>
      </c>
      <c r="D34" s="130">
        <f>SUM(D32:D33)</f>
        <v>25014</v>
      </c>
      <c r="E34" s="130">
        <f>SUM(C34:D34)</f>
        <v>100106</v>
      </c>
      <c r="F34" s="136" t="s">
        <v>69</v>
      </c>
      <c r="G34" s="297">
        <f>G24+G33</f>
        <v>491794</v>
      </c>
      <c r="H34" s="297">
        <f>H24+H33</f>
        <v>47984</v>
      </c>
      <c r="I34" s="379">
        <f>I24+I33</f>
        <v>539778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234"/>
      <c r="H35" s="234"/>
      <c r="I35" s="401"/>
      <c r="J35" s="147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295"/>
      <c r="H36" s="295"/>
      <c r="I36" s="402"/>
      <c r="J36" s="147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234"/>
      <c r="H37" s="234"/>
      <c r="I37" s="401"/>
      <c r="J37" s="431"/>
    </row>
    <row r="38" spans="1:10" s="11" customFormat="1" x14ac:dyDescent="0.2">
      <c r="A38" s="665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297"/>
      <c r="H38" s="297"/>
      <c r="I38" s="379"/>
      <c r="J38" s="431"/>
    </row>
    <row r="39" spans="1:10" s="11" customFormat="1" x14ac:dyDescent="0.2">
      <c r="A39" s="121">
        <f t="shared" si="0"/>
        <v>29</v>
      </c>
      <c r="B39" s="95" t="s">
        <v>665</v>
      </c>
      <c r="C39" s="90"/>
      <c r="D39" s="90"/>
      <c r="E39" s="90"/>
      <c r="F39" s="138" t="s">
        <v>4</v>
      </c>
      <c r="G39" s="146"/>
      <c r="I39" s="404"/>
      <c r="J39" s="431"/>
    </row>
    <row r="40" spans="1:10" s="11" customFormat="1" x14ac:dyDescent="0.2">
      <c r="A40" s="121">
        <f t="shared" si="0"/>
        <v>30</v>
      </c>
      <c r="B40" s="80" t="s">
        <v>919</v>
      </c>
      <c r="C40" s="90"/>
      <c r="D40" s="90"/>
      <c r="E40" s="90"/>
      <c r="F40" s="456" t="s">
        <v>3</v>
      </c>
      <c r="G40" s="297"/>
      <c r="H40" s="297"/>
      <c r="I40" s="379"/>
      <c r="J40" s="431"/>
    </row>
    <row r="41" spans="1:10" x14ac:dyDescent="0.2">
      <c r="A41" s="121">
        <f t="shared" si="0"/>
        <v>31</v>
      </c>
      <c r="B41" s="82" t="s">
        <v>667</v>
      </c>
      <c r="C41" s="142"/>
      <c r="D41" s="142"/>
      <c r="E41" s="142"/>
      <c r="F41" s="98" t="s">
        <v>5</v>
      </c>
      <c r="G41" s="297"/>
      <c r="H41" s="297"/>
      <c r="I41" s="379"/>
      <c r="J41" s="147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46"/>
      <c r="H42" s="146"/>
      <c r="I42" s="379"/>
      <c r="J42" s="147"/>
    </row>
    <row r="43" spans="1:10" x14ac:dyDescent="0.2">
      <c r="A43" s="121">
        <f t="shared" si="0"/>
        <v>33</v>
      </c>
      <c r="B43" s="454" t="s">
        <v>265</v>
      </c>
      <c r="C43" s="83">
        <v>0</v>
      </c>
      <c r="D43" s="83">
        <v>0</v>
      </c>
      <c r="E43" s="83">
        <v>0</v>
      </c>
      <c r="F43" s="98" t="s">
        <v>7</v>
      </c>
      <c r="G43" s="146"/>
      <c r="H43" s="146"/>
      <c r="I43" s="379"/>
      <c r="J43" s="147"/>
    </row>
    <row r="44" spans="1:10" x14ac:dyDescent="0.2">
      <c r="A44" s="121">
        <f t="shared" si="0"/>
        <v>34</v>
      </c>
      <c r="B44" s="454" t="s">
        <v>917</v>
      </c>
      <c r="C44" s="83"/>
      <c r="D44" s="83"/>
      <c r="E44" s="83"/>
      <c r="F44" s="98"/>
      <c r="G44" s="146"/>
      <c r="H44" s="146"/>
      <c r="I44" s="379"/>
      <c r="J44" s="147"/>
    </row>
    <row r="45" spans="1:10" x14ac:dyDescent="0.2">
      <c r="A45" s="121">
        <f t="shared" si="0"/>
        <v>35</v>
      </c>
      <c r="B45" s="83" t="s">
        <v>668</v>
      </c>
      <c r="C45" s="83"/>
      <c r="D45" s="83"/>
      <c r="E45" s="83"/>
      <c r="F45" s="98" t="s">
        <v>8</v>
      </c>
      <c r="G45" s="297"/>
      <c r="H45" s="297"/>
      <c r="I45" s="401"/>
      <c r="J45" s="147"/>
    </row>
    <row r="46" spans="1:10" x14ac:dyDescent="0.2">
      <c r="A46" s="121">
        <f t="shared" si="0"/>
        <v>36</v>
      </c>
      <c r="B46" s="83" t="s">
        <v>669</v>
      </c>
      <c r="C46" s="90"/>
      <c r="D46" s="90"/>
      <c r="E46" s="90"/>
      <c r="F46" s="98" t="s">
        <v>9</v>
      </c>
      <c r="G46" s="297"/>
      <c r="H46" s="297"/>
      <c r="I46" s="401"/>
      <c r="J46" s="147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234"/>
      <c r="H47" s="234"/>
      <c r="I47" s="401"/>
      <c r="J47" s="147"/>
    </row>
    <row r="48" spans="1:10" x14ac:dyDescent="0.2">
      <c r="A48" s="121">
        <f t="shared" si="0"/>
        <v>38</v>
      </c>
      <c r="B48" s="454" t="s">
        <v>205</v>
      </c>
      <c r="C48" s="83">
        <f>G24-(C32+C43)</f>
        <v>412302</v>
      </c>
      <c r="D48" s="83">
        <f>H24-(D32+D43)</f>
        <v>970</v>
      </c>
      <c r="E48" s="83">
        <f>I24-(E32+E43)</f>
        <v>413272</v>
      </c>
      <c r="F48" s="98" t="s">
        <v>11</v>
      </c>
      <c r="G48" s="234"/>
      <c r="H48" s="234"/>
      <c r="I48" s="401"/>
      <c r="J48" s="147"/>
    </row>
    <row r="49" spans="1:10" x14ac:dyDescent="0.2">
      <c r="A49" s="121">
        <f t="shared" si="0"/>
        <v>39</v>
      </c>
      <c r="B49" s="454" t="s">
        <v>206</v>
      </c>
      <c r="C49" s="83">
        <f>G33-C33</f>
        <v>4400</v>
      </c>
      <c r="D49" s="83">
        <f>H33-D33</f>
        <v>22000</v>
      </c>
      <c r="E49" s="83">
        <f>I33-E33</f>
        <v>26400</v>
      </c>
      <c r="F49" s="98" t="s">
        <v>12</v>
      </c>
      <c r="G49" s="234"/>
      <c r="H49" s="234"/>
      <c r="I49" s="401"/>
      <c r="J49" s="147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234"/>
      <c r="H50" s="234"/>
      <c r="I50" s="401"/>
      <c r="J50" s="147"/>
    </row>
    <row r="51" spans="1:10" x14ac:dyDescent="0.2">
      <c r="A51" s="121">
        <f t="shared" si="0"/>
        <v>41</v>
      </c>
      <c r="B51" s="82"/>
      <c r="C51" s="83"/>
      <c r="D51" s="83"/>
      <c r="E51" s="83"/>
      <c r="F51" s="98" t="s">
        <v>14</v>
      </c>
      <c r="G51" s="234"/>
      <c r="H51" s="234"/>
      <c r="I51" s="401"/>
      <c r="J51" s="147"/>
    </row>
    <row r="52" spans="1:10" x14ac:dyDescent="0.2">
      <c r="A52" s="121">
        <f t="shared" si="0"/>
        <v>42</v>
      </c>
      <c r="B52" s="82"/>
      <c r="C52" s="83"/>
      <c r="D52" s="83"/>
      <c r="E52" s="83"/>
      <c r="F52" s="98" t="s">
        <v>15</v>
      </c>
      <c r="G52" s="234"/>
      <c r="H52" s="234"/>
      <c r="I52" s="401"/>
      <c r="J52" s="147"/>
    </row>
    <row r="53" spans="1:10" ht="12" thickBot="1" x14ac:dyDescent="0.25">
      <c r="A53" s="121">
        <f t="shared" si="0"/>
        <v>43</v>
      </c>
      <c r="B53" s="135" t="s">
        <v>439</v>
      </c>
      <c r="C53" s="90">
        <f>SUM(C39:C51)</f>
        <v>416702</v>
      </c>
      <c r="D53" s="90">
        <f>SUM(D39:D51)</f>
        <v>22970</v>
      </c>
      <c r="E53" s="90">
        <f>SUM(E39:E51)</f>
        <v>439672</v>
      </c>
      <c r="F53" s="99" t="s">
        <v>432</v>
      </c>
      <c r="G53" s="297">
        <f>SUM(G39:G52)</f>
        <v>0</v>
      </c>
      <c r="H53" s="297">
        <f>SUM(H39:H52)</f>
        <v>0</v>
      </c>
      <c r="I53" s="379">
        <f>SUM(I39:I52)</f>
        <v>0</v>
      </c>
      <c r="J53" s="147"/>
    </row>
    <row r="54" spans="1:10" ht="12" thickBot="1" x14ac:dyDescent="0.25">
      <c r="A54" s="768">
        <f t="shared" si="0"/>
        <v>44</v>
      </c>
      <c r="B54" s="895" t="s">
        <v>434</v>
      </c>
      <c r="C54" s="874">
        <f>C34+C53</f>
        <v>491794</v>
      </c>
      <c r="D54" s="246">
        <f>D34+D53</f>
        <v>47984</v>
      </c>
      <c r="E54" s="764">
        <f>E34+E53</f>
        <v>539778</v>
      </c>
      <c r="F54" s="428" t="s">
        <v>433</v>
      </c>
      <c r="G54" s="894">
        <f>G34+G53</f>
        <v>491794</v>
      </c>
      <c r="H54" s="771">
        <f>H34+H53</f>
        <v>47984</v>
      </c>
      <c r="I54" s="675">
        <f>I34+I53</f>
        <v>539778</v>
      </c>
      <c r="J54" s="233"/>
    </row>
    <row r="55" spans="1:10" x14ac:dyDescent="0.2">
      <c r="B55" s="140"/>
      <c r="C55" s="139"/>
      <c r="D55" s="139"/>
      <c r="E55" s="139"/>
      <c r="F55" s="139"/>
      <c r="G55" s="146"/>
      <c r="H55" s="146"/>
      <c r="I55" s="146"/>
    </row>
  </sheetData>
  <sheetProtection selectLockedCells="1" selectUnlockedCells="1"/>
  <mergeCells count="12">
    <mergeCell ref="A8:A10"/>
    <mergeCell ref="B8:B9"/>
    <mergeCell ref="C8:E8"/>
    <mergeCell ref="C9:E9"/>
    <mergeCell ref="G9:I9"/>
    <mergeCell ref="B1:I1"/>
    <mergeCell ref="F8:F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46"/>
  <sheetViews>
    <sheetView topLeftCell="A13" zoomScale="120" workbookViewId="0">
      <selection activeCell="D48" sqref="D48"/>
    </sheetView>
  </sheetViews>
  <sheetFormatPr defaultColWidth="9.140625" defaultRowHeight="11.25" x14ac:dyDescent="0.2"/>
  <cols>
    <col min="1" max="1" width="4.85546875" style="114" customWidth="1"/>
    <col min="2" max="2" width="41.85546875" style="114" customWidth="1"/>
    <col min="3" max="3" width="10.140625" style="115" customWidth="1"/>
    <col min="4" max="4" width="11.140625" style="115" customWidth="1"/>
    <col min="5" max="5" width="11.28515625" style="115" customWidth="1"/>
    <col min="6" max="6" width="32.42578125" style="115" customWidth="1"/>
    <col min="7" max="7" width="11.5703125" style="115" customWidth="1"/>
    <col min="8" max="8" width="14.7109375" style="115" customWidth="1"/>
    <col min="9" max="9" width="14.5703125" style="115" customWidth="1"/>
    <col min="10" max="25" width="9.140625" style="114"/>
    <col min="26" max="16384" width="9.140625" style="10"/>
  </cols>
  <sheetData>
    <row r="1" spans="1:25" ht="12.75" customHeight="1" x14ac:dyDescent="0.2">
      <c r="B1" s="1403" t="s">
        <v>1355</v>
      </c>
      <c r="C1" s="1403"/>
      <c r="D1" s="1403"/>
      <c r="E1" s="1403"/>
      <c r="F1" s="1403"/>
      <c r="G1" s="1403"/>
      <c r="H1" s="1403"/>
      <c r="I1" s="1403"/>
      <c r="J1" s="625"/>
    </row>
    <row r="2" spans="1:25" x14ac:dyDescent="0.2">
      <c r="B2" s="491"/>
      <c r="I2" s="116"/>
    </row>
    <row r="3" spans="1:25" s="86" customFormat="1" x14ac:dyDescent="0.2">
      <c r="A3" s="117"/>
      <c r="B3" s="1407" t="s">
        <v>54</v>
      </c>
      <c r="C3" s="1407"/>
      <c r="D3" s="1407"/>
      <c r="E3" s="1407"/>
      <c r="F3" s="1407"/>
      <c r="G3" s="1407"/>
      <c r="H3" s="1407"/>
      <c r="I3" s="140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s="86" customFormat="1" x14ac:dyDescent="0.2">
      <c r="A4" s="117"/>
      <c r="B4" s="1407" t="s">
        <v>1317</v>
      </c>
      <c r="C4" s="1407"/>
      <c r="D4" s="1407"/>
      <c r="E4" s="1407"/>
      <c r="F4" s="1407"/>
      <c r="G4" s="1407"/>
      <c r="H4" s="1407"/>
      <c r="I4" s="140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s="86" customFormat="1" ht="12.75" customHeight="1" x14ac:dyDescent="0.2">
      <c r="A5" s="1422" t="s">
        <v>298</v>
      </c>
      <c r="B5" s="1422"/>
      <c r="C5" s="1422"/>
      <c r="D5" s="1422"/>
      <c r="E5" s="1422"/>
      <c r="F5" s="1422"/>
      <c r="G5" s="1422"/>
      <c r="H5" s="1422"/>
      <c r="I5" s="1422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s="86" customFormat="1" ht="12.75" customHeight="1" x14ac:dyDescent="0.2">
      <c r="A6" s="1423" t="s">
        <v>56</v>
      </c>
      <c r="B6" s="1424" t="s">
        <v>57</v>
      </c>
      <c r="C6" s="1425" t="s">
        <v>58</v>
      </c>
      <c r="D6" s="1425"/>
      <c r="E6" s="1426"/>
      <c r="F6" s="1427" t="s">
        <v>59</v>
      </c>
      <c r="G6" s="1428" t="s">
        <v>60</v>
      </c>
      <c r="H6" s="1429"/>
      <c r="I6" s="1430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25" s="86" customFormat="1" ht="12.75" customHeight="1" x14ac:dyDescent="0.2">
      <c r="A7" s="1423"/>
      <c r="B7" s="1424"/>
      <c r="C7" s="1419" t="s">
        <v>1136</v>
      </c>
      <c r="D7" s="1419"/>
      <c r="E7" s="1420"/>
      <c r="F7" s="1427"/>
      <c r="G7" s="1419" t="s">
        <v>1136</v>
      </c>
      <c r="H7" s="1419"/>
      <c r="I7" s="1421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25" s="87" customFormat="1" ht="36.6" customHeight="1" x14ac:dyDescent="0.2">
      <c r="A8" s="1423"/>
      <c r="B8" s="720" t="s">
        <v>61</v>
      </c>
      <c r="C8" s="721" t="s">
        <v>62</v>
      </c>
      <c r="D8" s="721" t="s">
        <v>63</v>
      </c>
      <c r="E8" s="722" t="s">
        <v>64</v>
      </c>
      <c r="F8" s="723" t="s">
        <v>65</v>
      </c>
      <c r="G8" s="293" t="s">
        <v>62</v>
      </c>
      <c r="H8" s="293" t="s">
        <v>63</v>
      </c>
      <c r="I8" s="1400" t="s">
        <v>64</v>
      </c>
      <c r="J8" s="1399"/>
      <c r="K8" s="144"/>
      <c r="L8" s="144"/>
      <c r="M8" s="144"/>
      <c r="N8" s="144"/>
      <c r="O8" s="144"/>
      <c r="P8" s="144"/>
      <c r="Q8" s="144"/>
      <c r="R8" s="144"/>
      <c r="S8" s="144"/>
    </row>
    <row r="9" spans="1:25" ht="11.45" customHeight="1" x14ac:dyDescent="0.2">
      <c r="A9" s="724">
        <v>1</v>
      </c>
      <c r="B9" s="725" t="s">
        <v>24</v>
      </c>
      <c r="C9" s="726"/>
      <c r="D9" s="726"/>
      <c r="E9" s="726"/>
      <c r="F9" s="727" t="s">
        <v>25</v>
      </c>
      <c r="G9" s="298"/>
      <c r="H9" s="298"/>
      <c r="I9" s="398"/>
      <c r="J9" s="141"/>
      <c r="T9" s="10"/>
      <c r="U9" s="10"/>
      <c r="V9" s="10"/>
      <c r="W9" s="10"/>
      <c r="X9" s="10"/>
      <c r="Y9" s="10"/>
    </row>
    <row r="10" spans="1:25" x14ac:dyDescent="0.2">
      <c r="A10" s="724">
        <f>A9+1</f>
        <v>2</v>
      </c>
      <c r="B10" s="46" t="s">
        <v>35</v>
      </c>
      <c r="C10" s="239"/>
      <c r="D10" s="239"/>
      <c r="E10" s="227">
        <f>SUM(C10:D10)</f>
        <v>0</v>
      </c>
      <c r="F10" s="422" t="s">
        <v>26</v>
      </c>
      <c r="G10" s="227">
        <f>Össz.önkor.mérleg.!G10</f>
        <v>643557</v>
      </c>
      <c r="H10" s="227">
        <f>Össz.önkor.mérleg.!H10</f>
        <v>312324</v>
      </c>
      <c r="I10" s="400">
        <f>Össz.önkor.mérleg.!I10</f>
        <v>955881</v>
      </c>
      <c r="J10" s="141"/>
      <c r="T10" s="10"/>
      <c r="U10" s="10"/>
      <c r="V10" s="10"/>
      <c r="W10" s="10"/>
      <c r="X10" s="10"/>
      <c r="Y10" s="10"/>
    </row>
    <row r="11" spans="1:25" x14ac:dyDescent="0.2">
      <c r="A11" s="724">
        <f t="shared" ref="A11:A45" si="0">A10+1</f>
        <v>3</v>
      </c>
      <c r="B11" s="46" t="s">
        <v>36</v>
      </c>
      <c r="C11" s="239">
        <f>Össz.önkor.mérleg.!C11</f>
        <v>456362</v>
      </c>
      <c r="D11" s="239">
        <f>Össz.önkor.mérleg.!D11</f>
        <v>120326</v>
      </c>
      <c r="E11" s="239">
        <f>Össz.önkor.mérleg.!E11</f>
        <v>576688</v>
      </c>
      <c r="F11" s="422" t="s">
        <v>27</v>
      </c>
      <c r="G11" s="227">
        <f>Össz.önkor.mérleg.!G11</f>
        <v>124475</v>
      </c>
      <c r="H11" s="227">
        <f>Össz.önkor.mérleg.!H11</f>
        <v>64699</v>
      </c>
      <c r="I11" s="400">
        <f>Össz.önkor.mérleg.!I11</f>
        <v>189174</v>
      </c>
      <c r="J11" s="141"/>
      <c r="T11" s="10"/>
      <c r="U11" s="10"/>
      <c r="V11" s="10"/>
      <c r="W11" s="10"/>
      <c r="X11" s="10"/>
      <c r="Y11" s="10"/>
    </row>
    <row r="12" spans="1:25" x14ac:dyDescent="0.2">
      <c r="A12" s="724">
        <f t="shared" si="0"/>
        <v>4</v>
      </c>
      <c r="B12" s="46" t="s">
        <v>895</v>
      </c>
      <c r="C12" s="239">
        <f>Össz.önkor.mérleg.!C12</f>
        <v>0</v>
      </c>
      <c r="D12" s="239">
        <f>Össz.önkor.mérleg.!D12</f>
        <v>0</v>
      </c>
      <c r="E12" s="239">
        <f>Össz.önkor.mérleg.!E12</f>
        <v>0</v>
      </c>
      <c r="F12" s="422" t="s">
        <v>29</v>
      </c>
      <c r="G12" s="227">
        <f>Össz.önkor.mérleg.!G12</f>
        <v>671757</v>
      </c>
      <c r="H12" s="227">
        <f>Össz.önkor.mérleg.!H12</f>
        <v>524907</v>
      </c>
      <c r="I12" s="400">
        <f>Össz.önkor.mérleg.!I12</f>
        <v>1196664</v>
      </c>
      <c r="J12" s="141"/>
      <c r="T12" s="10"/>
      <c r="U12" s="10"/>
      <c r="V12" s="10"/>
      <c r="W12" s="10"/>
      <c r="X12" s="10"/>
      <c r="Y12" s="10"/>
    </row>
    <row r="13" spans="1:25" ht="12" customHeight="1" x14ac:dyDescent="0.2">
      <c r="A13" s="724">
        <f t="shared" si="0"/>
        <v>5</v>
      </c>
      <c r="B13" s="46" t="s">
        <v>37</v>
      </c>
      <c r="C13" s="239">
        <f>Össz.önkor.mérleg.!C13</f>
        <v>166118</v>
      </c>
      <c r="D13" s="239">
        <f>Össz.önkor.mérleg.!D13</f>
        <v>2992</v>
      </c>
      <c r="E13" s="239">
        <f>Össz.önkor.mérleg.!E13</f>
        <v>169110</v>
      </c>
      <c r="F13" s="422"/>
      <c r="G13" s="227"/>
      <c r="H13" s="239"/>
      <c r="I13" s="399"/>
      <c r="J13" s="141"/>
      <c r="T13" s="10"/>
      <c r="U13" s="10"/>
      <c r="V13" s="10"/>
      <c r="W13" s="10"/>
      <c r="X13" s="10"/>
      <c r="Y13" s="10"/>
    </row>
    <row r="14" spans="1:25" x14ac:dyDescent="0.2">
      <c r="A14" s="724">
        <f t="shared" si="0"/>
        <v>6</v>
      </c>
      <c r="B14" s="46" t="s">
        <v>39</v>
      </c>
      <c r="C14" s="239">
        <f>Össz.önkor.mérleg.!C17</f>
        <v>743715</v>
      </c>
      <c r="D14" s="239">
        <f>Össz.önkor.mérleg.!D17</f>
        <v>17385</v>
      </c>
      <c r="E14" s="239">
        <f>Össz.önkor.mérleg.!E17</f>
        <v>761100</v>
      </c>
      <c r="F14" s="422" t="s">
        <v>28</v>
      </c>
      <c r="G14" s="227">
        <f>Össz.önkor.mérleg.!G14</f>
        <v>2690</v>
      </c>
      <c r="H14" s="227">
        <f>Össz.önkor.mérleg.!H14</f>
        <v>13950</v>
      </c>
      <c r="I14" s="400">
        <f>Össz.önkor.mérleg.!I14</f>
        <v>16640</v>
      </c>
      <c r="J14" s="141"/>
      <c r="T14" s="10"/>
      <c r="U14" s="10"/>
      <c r="V14" s="10"/>
      <c r="W14" s="10"/>
      <c r="X14" s="10"/>
      <c r="Y14" s="10"/>
    </row>
    <row r="15" spans="1:25" x14ac:dyDescent="0.2">
      <c r="A15" s="724">
        <f t="shared" si="0"/>
        <v>7</v>
      </c>
      <c r="B15" s="46"/>
      <c r="C15" s="239"/>
      <c r="D15" s="239"/>
      <c r="E15" s="227"/>
      <c r="F15" s="422" t="s">
        <v>30</v>
      </c>
      <c r="G15" s="227"/>
      <c r="H15" s="234"/>
      <c r="I15" s="399"/>
      <c r="J15" s="141"/>
      <c r="T15" s="10"/>
      <c r="U15" s="10"/>
      <c r="V15" s="10"/>
      <c r="W15" s="10"/>
      <c r="X15" s="10"/>
      <c r="Y15" s="10"/>
    </row>
    <row r="16" spans="1:25" x14ac:dyDescent="0.2">
      <c r="A16" s="724">
        <f t="shared" si="0"/>
        <v>8</v>
      </c>
      <c r="B16" s="45" t="s">
        <v>41</v>
      </c>
      <c r="C16" s="294">
        <f>Össz.önkor.mérleg.!C20</f>
        <v>161248</v>
      </c>
      <c r="D16" s="294">
        <f>Össz.önkor.mérleg.!D20</f>
        <v>1017523</v>
      </c>
      <c r="E16" s="294">
        <f>Össz.önkor.mérleg.!E20</f>
        <v>1178771</v>
      </c>
      <c r="F16" s="422" t="s">
        <v>437</v>
      </c>
      <c r="G16" s="227">
        <f>Össz.önkor.mérleg.!G17</f>
        <v>5850</v>
      </c>
      <c r="H16" s="227">
        <f>Össz.önkor.mérleg.!H17</f>
        <v>114841</v>
      </c>
      <c r="I16" s="400">
        <f>Össz.önkor.mérleg.!I17</f>
        <v>120691</v>
      </c>
      <c r="J16" s="141"/>
      <c r="T16" s="10"/>
      <c r="U16" s="10"/>
      <c r="V16" s="10"/>
      <c r="W16" s="10"/>
      <c r="X16" s="10"/>
      <c r="Y16" s="10"/>
    </row>
    <row r="17" spans="1:25" x14ac:dyDescent="0.2">
      <c r="A17" s="724">
        <f t="shared" si="0"/>
        <v>9</v>
      </c>
      <c r="B17" s="694" t="s">
        <v>40</v>
      </c>
      <c r="C17" s="294"/>
      <c r="D17" s="294"/>
      <c r="E17" s="294"/>
      <c r="F17" s="422" t="s">
        <v>436</v>
      </c>
      <c r="G17" s="227">
        <f>Össz.önkor.mérleg.!G18</f>
        <v>150640</v>
      </c>
      <c r="H17" s="227">
        <f>Össz.önkor.mérleg.!H18</f>
        <v>158790</v>
      </c>
      <c r="I17" s="400">
        <f>Össz.önkor.mérleg.!I18</f>
        <v>309430</v>
      </c>
      <c r="J17" s="141"/>
      <c r="T17" s="10"/>
      <c r="U17" s="10"/>
      <c r="V17" s="10"/>
      <c r="W17" s="10"/>
      <c r="X17" s="10"/>
      <c r="Y17" s="10"/>
    </row>
    <row r="18" spans="1:25" x14ac:dyDescent="0.2">
      <c r="A18" s="724">
        <f t="shared" si="0"/>
        <v>10</v>
      </c>
      <c r="B18" s="694"/>
      <c r="C18" s="294"/>
      <c r="D18" s="294"/>
      <c r="E18" s="294"/>
      <c r="F18" s="422" t="s">
        <v>183</v>
      </c>
      <c r="G18" s="227">
        <f>Össz.önkor.mérleg.!G19</f>
        <v>0</v>
      </c>
      <c r="H18" s="227">
        <f>Össz.önkor.mérleg.!H19</f>
        <v>0</v>
      </c>
      <c r="I18" s="227">
        <f>Össz.önkor.mérleg.!I19</f>
        <v>0</v>
      </c>
      <c r="J18" s="141"/>
      <c r="T18" s="10"/>
      <c r="U18" s="10"/>
      <c r="V18" s="10"/>
      <c r="W18" s="10"/>
      <c r="X18" s="10"/>
      <c r="Y18" s="10"/>
    </row>
    <row r="19" spans="1:25" x14ac:dyDescent="0.2">
      <c r="A19" s="724">
        <f t="shared" si="0"/>
        <v>11</v>
      </c>
      <c r="B19" s="45" t="s">
        <v>1041</v>
      </c>
      <c r="C19" s="239">
        <f>Össz.önkor.mérleg.!C29</f>
        <v>0</v>
      </c>
      <c r="D19" s="239">
        <f>Össz.önkor.mérleg.!D29</f>
        <v>0</v>
      </c>
      <c r="E19" s="239">
        <f>Össz.önkor.mérleg.!E29</f>
        <v>0</v>
      </c>
      <c r="F19" s="422" t="s">
        <v>429</v>
      </c>
      <c r="G19" s="227">
        <f>Össz.önkor.mérleg.!G20</f>
        <v>0</v>
      </c>
      <c r="H19" s="227">
        <f>Össz.önkor.mérleg.!H20</f>
        <v>177269</v>
      </c>
      <c r="I19" s="400">
        <f>Össz.önkor.mérleg.!I20</f>
        <v>177269</v>
      </c>
      <c r="J19" s="141"/>
      <c r="T19" s="10"/>
      <c r="U19" s="10"/>
      <c r="V19" s="10"/>
      <c r="W19" s="10"/>
      <c r="X19" s="10"/>
      <c r="Y19" s="10"/>
    </row>
    <row r="20" spans="1:25" x14ac:dyDescent="0.2">
      <c r="A20" s="724">
        <f t="shared" si="0"/>
        <v>12</v>
      </c>
      <c r="B20" s="10"/>
      <c r="C20" s="294"/>
      <c r="D20" s="294"/>
      <c r="E20" s="294"/>
      <c r="F20" s="422" t="s">
        <v>430</v>
      </c>
      <c r="G20" s="227">
        <f>Össz.önkor.mérleg.!G21</f>
        <v>176</v>
      </c>
      <c r="H20" s="227">
        <f>Össz.önkor.mérleg.!H21</f>
        <v>175792</v>
      </c>
      <c r="I20" s="400">
        <f>Össz.önkor.mérleg.!I21</f>
        <v>175968</v>
      </c>
      <c r="J20" s="141"/>
      <c r="T20" s="10"/>
      <c r="U20" s="10"/>
      <c r="V20" s="10"/>
      <c r="W20" s="10"/>
      <c r="X20" s="10"/>
      <c r="Y20" s="10"/>
    </row>
    <row r="21" spans="1:25" x14ac:dyDescent="0.2">
      <c r="A21" s="724">
        <f t="shared" si="0"/>
        <v>13</v>
      </c>
      <c r="B21" s="10"/>
      <c r="C21" s="294"/>
      <c r="D21" s="294"/>
      <c r="E21" s="294"/>
      <c r="F21" s="422"/>
      <c r="G21" s="227"/>
      <c r="H21" s="234"/>
      <c r="I21" s="399"/>
      <c r="J21" s="141"/>
      <c r="T21" s="10"/>
      <c r="U21" s="10"/>
      <c r="V21" s="10"/>
      <c r="W21" s="10"/>
      <c r="X21" s="10"/>
      <c r="Y21" s="10"/>
    </row>
    <row r="22" spans="1:25" s="88" customFormat="1" x14ac:dyDescent="0.2">
      <c r="A22" s="724">
        <f t="shared" si="0"/>
        <v>14</v>
      </c>
      <c r="B22" s="12" t="s">
        <v>52</v>
      </c>
      <c r="C22" s="728">
        <f>SUM(C11:C20)</f>
        <v>1527443</v>
      </c>
      <c r="D22" s="728">
        <f>SUM(D11:D20)</f>
        <v>1158226</v>
      </c>
      <c r="E22" s="728">
        <f>SUM(E11:E20)</f>
        <v>2685669</v>
      </c>
      <c r="F22" s="714" t="s">
        <v>66</v>
      </c>
      <c r="G22" s="295">
        <f>SUM(G10:G21)</f>
        <v>1599145</v>
      </c>
      <c r="H22" s="295">
        <f>SUM(H10:H21)</f>
        <v>1542572</v>
      </c>
      <c r="I22" s="402">
        <f>SUM(I10:I21)</f>
        <v>3141717</v>
      </c>
      <c r="J22" s="453"/>
      <c r="K22" s="145"/>
      <c r="L22" s="145"/>
      <c r="M22" s="145"/>
      <c r="N22" s="145"/>
      <c r="O22" s="145"/>
      <c r="P22" s="145"/>
      <c r="Q22" s="145"/>
      <c r="R22" s="145"/>
      <c r="S22" s="145"/>
    </row>
    <row r="23" spans="1:25" s="88" customFormat="1" x14ac:dyDescent="0.2">
      <c r="A23" s="724">
        <f t="shared" si="0"/>
        <v>15</v>
      </c>
      <c r="B23" s="10"/>
      <c r="C23" s="294"/>
      <c r="D23" s="294"/>
      <c r="E23" s="294"/>
      <c r="F23" s="518"/>
      <c r="G23" s="234"/>
      <c r="H23" s="234"/>
      <c r="I23" s="401"/>
      <c r="J23" s="453"/>
      <c r="K23" s="145"/>
      <c r="L23" s="145"/>
      <c r="M23" s="145"/>
      <c r="N23" s="145"/>
      <c r="O23" s="145"/>
      <c r="P23" s="145"/>
      <c r="Q23" s="145"/>
      <c r="R23" s="145"/>
      <c r="S23" s="145"/>
    </row>
    <row r="24" spans="1:25" x14ac:dyDescent="0.2">
      <c r="A24" s="724">
        <f t="shared" si="0"/>
        <v>16</v>
      </c>
      <c r="B24" s="729" t="s">
        <v>51</v>
      </c>
      <c r="C24" s="713">
        <f>SUM(C22:C23)</f>
        <v>1527443</v>
      </c>
      <c r="D24" s="713">
        <f>SUM(D22:D23)</f>
        <v>1158226</v>
      </c>
      <c r="E24" s="713">
        <f>SUM(E22:E23)</f>
        <v>2685669</v>
      </c>
      <c r="F24" s="716" t="s">
        <v>69</v>
      </c>
      <c r="G24" s="146">
        <f>SUM(G22:G23)</f>
        <v>1599145</v>
      </c>
      <c r="H24" s="146">
        <f>SUM(H22:H23)</f>
        <v>1542572</v>
      </c>
      <c r="I24" s="379">
        <f>SUM(I22:I23)</f>
        <v>3141717</v>
      </c>
      <c r="J24" s="141"/>
      <c r="T24" s="10"/>
      <c r="U24" s="10"/>
      <c r="V24" s="10"/>
      <c r="W24" s="10"/>
      <c r="X24" s="10"/>
      <c r="Y24" s="10"/>
    </row>
    <row r="25" spans="1:25" ht="12" thickBot="1" x14ac:dyDescent="0.25">
      <c r="A25" s="730">
        <f t="shared" si="0"/>
        <v>17</v>
      </c>
      <c r="B25" s="696"/>
      <c r="C25" s="905"/>
      <c r="D25" s="905"/>
      <c r="E25" s="905"/>
      <c r="F25" s="518"/>
      <c r="G25" s="234"/>
      <c r="H25" s="234"/>
      <c r="I25" s="401"/>
      <c r="J25" s="141"/>
      <c r="T25" s="10"/>
      <c r="U25" s="10"/>
      <c r="V25" s="10"/>
      <c r="W25" s="10"/>
      <c r="X25" s="10"/>
      <c r="Y25" s="10"/>
    </row>
    <row r="26" spans="1:25" ht="12" thickBot="1" x14ac:dyDescent="0.25">
      <c r="A26" s="730">
        <f t="shared" si="0"/>
        <v>18</v>
      </c>
      <c r="B26" s="933" t="s">
        <v>617</v>
      </c>
      <c r="C26" s="931">
        <f>C24-G24</f>
        <v>-71702</v>
      </c>
      <c r="D26" s="931">
        <f t="shared" ref="D26:E26" si="1">D24-H24</f>
        <v>-384346</v>
      </c>
      <c r="E26" s="932">
        <f t="shared" si="1"/>
        <v>-456048</v>
      </c>
      <c r="F26" s="540"/>
      <c r="G26" s="297"/>
      <c r="H26" s="297"/>
      <c r="I26" s="401"/>
      <c r="J26" s="141"/>
      <c r="T26" s="10"/>
      <c r="U26" s="10"/>
      <c r="V26" s="10"/>
      <c r="W26" s="10"/>
      <c r="X26" s="10"/>
      <c r="Y26" s="10"/>
    </row>
    <row r="27" spans="1:25" x14ac:dyDescent="0.2">
      <c r="A27" s="730">
        <f t="shared" si="0"/>
        <v>19</v>
      </c>
      <c r="B27" s="1328" t="s">
        <v>1353</v>
      </c>
      <c r="C27" s="540"/>
      <c r="D27" s="540">
        <f>-'felhalm. mérleg'!D29</f>
        <v>379076</v>
      </c>
      <c r="E27" s="540">
        <f>C27+D27</f>
        <v>379076</v>
      </c>
      <c r="F27" s="422"/>
      <c r="G27" s="234"/>
      <c r="H27" s="234"/>
      <c r="I27" s="401"/>
      <c r="J27" s="141"/>
      <c r="T27" s="10"/>
      <c r="U27" s="10"/>
      <c r="V27" s="10"/>
      <c r="W27" s="10"/>
      <c r="X27" s="10"/>
      <c r="Y27" s="10"/>
    </row>
    <row r="28" spans="1:25" x14ac:dyDescent="0.2">
      <c r="A28" s="730">
        <f t="shared" si="0"/>
        <v>20</v>
      </c>
      <c r="B28" s="540" t="s">
        <v>53</v>
      </c>
      <c r="C28" s="540"/>
      <c r="D28" s="540"/>
      <c r="E28" s="540"/>
      <c r="F28" s="715" t="s">
        <v>33</v>
      </c>
      <c r="G28" s="234"/>
      <c r="H28" s="234"/>
      <c r="I28" s="401"/>
      <c r="J28" s="141"/>
      <c r="T28" s="10"/>
      <c r="U28" s="10"/>
      <c r="V28" s="10"/>
      <c r="W28" s="10"/>
      <c r="X28" s="10"/>
      <c r="Y28" s="10"/>
    </row>
    <row r="29" spans="1:25" s="88" customFormat="1" x14ac:dyDescent="0.2">
      <c r="A29" s="730">
        <f t="shared" si="0"/>
        <v>21</v>
      </c>
      <c r="B29" s="731" t="s">
        <v>665</v>
      </c>
      <c r="C29" s="540"/>
      <c r="D29" s="540"/>
      <c r="E29" s="540"/>
      <c r="F29" s="717" t="s">
        <v>4</v>
      </c>
      <c r="G29" s="234"/>
      <c r="H29" s="234"/>
      <c r="I29" s="401"/>
      <c r="J29" s="453"/>
      <c r="K29" s="145"/>
      <c r="L29" s="145"/>
      <c r="M29" s="145"/>
      <c r="N29" s="145"/>
      <c r="O29" s="145"/>
      <c r="P29" s="145"/>
      <c r="Q29" s="145"/>
      <c r="R29" s="145"/>
      <c r="S29" s="145"/>
    </row>
    <row r="30" spans="1:25" ht="21" x14ac:dyDescent="0.2">
      <c r="A30" s="730">
        <f t="shared" si="0"/>
        <v>22</v>
      </c>
      <c r="B30" s="767" t="s">
        <v>1295</v>
      </c>
      <c r="C30" s="423">
        <f>Össz.önkor.mérleg.!C41</f>
        <v>0</v>
      </c>
      <c r="D30" s="423">
        <f>Össz.önkor.mérleg.!D41</f>
        <v>0</v>
      </c>
      <c r="E30" s="423">
        <f>Össz.önkor.mérleg.!E41</f>
        <v>0</v>
      </c>
      <c r="F30" s="1269" t="s">
        <v>3</v>
      </c>
      <c r="G30" s="234">
        <f>Össz.önkor.mérleg.!G41</f>
        <v>155395</v>
      </c>
      <c r="H30" s="234">
        <f>Össz.önkor.mérleg.!H41</f>
        <v>0</v>
      </c>
      <c r="I30" s="234">
        <f>Össz.önkor.mérleg.!I41</f>
        <v>155395</v>
      </c>
      <c r="J30" s="141"/>
      <c r="T30" s="10"/>
      <c r="U30" s="10"/>
      <c r="V30" s="10"/>
      <c r="W30" s="10"/>
      <c r="X30" s="10"/>
      <c r="Y30" s="10"/>
    </row>
    <row r="31" spans="1:25" x14ac:dyDescent="0.2">
      <c r="A31" s="730">
        <f t="shared" si="0"/>
        <v>23</v>
      </c>
      <c r="B31" s="10" t="s">
        <v>943</v>
      </c>
      <c r="C31" s="907">
        <f>-'felhalm. mérleg'!C33</f>
        <v>0</v>
      </c>
      <c r="D31" s="907">
        <v>0</v>
      </c>
      <c r="E31" s="423">
        <f>C31+D31</f>
        <v>0</v>
      </c>
      <c r="F31" s="147"/>
      <c r="G31" s="234"/>
      <c r="H31" s="234"/>
      <c r="I31" s="401"/>
      <c r="J31" s="141"/>
      <c r="T31" s="10"/>
      <c r="U31" s="10"/>
      <c r="V31" s="10"/>
      <c r="W31" s="10"/>
      <c r="X31" s="10"/>
      <c r="Y31" s="10"/>
    </row>
    <row r="32" spans="1:25" s="11" customFormat="1" x14ac:dyDescent="0.2">
      <c r="A32" s="730">
        <f t="shared" si="0"/>
        <v>24</v>
      </c>
      <c r="B32" s="239" t="s">
        <v>624</v>
      </c>
      <c r="C32" s="718"/>
      <c r="D32" s="719"/>
      <c r="E32" s="719">
        <f>SUM(C32:D32)</f>
        <v>0</v>
      </c>
      <c r="F32" s="422" t="s">
        <v>5</v>
      </c>
      <c r="G32" s="232"/>
      <c r="H32" s="232"/>
      <c r="I32" s="401"/>
      <c r="J32" s="432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1:25" x14ac:dyDescent="0.2">
      <c r="A33" s="730">
        <f t="shared" si="0"/>
        <v>25</v>
      </c>
      <c r="B33" s="239" t="s">
        <v>666</v>
      </c>
      <c r="C33" s="227"/>
      <c r="D33" s="227"/>
      <c r="E33" s="227"/>
      <c r="F33" s="422" t="s">
        <v>6</v>
      </c>
      <c r="G33" s="296"/>
      <c r="H33" s="296"/>
      <c r="I33" s="403"/>
      <c r="J33" s="141"/>
      <c r="T33" s="10"/>
      <c r="U33" s="10"/>
      <c r="V33" s="10"/>
      <c r="W33" s="10"/>
      <c r="X33" s="10"/>
      <c r="Y33" s="10"/>
    </row>
    <row r="34" spans="1:25" x14ac:dyDescent="0.2">
      <c r="A34" s="730">
        <f t="shared" si="0"/>
        <v>26</v>
      </c>
      <c r="B34" s="239" t="s">
        <v>626</v>
      </c>
      <c r="C34" s="227">
        <f>Össz.önkor.mérleg.!C44</f>
        <v>1282257</v>
      </c>
      <c r="D34" s="227">
        <f>Össz.önkor.mérleg.!D44</f>
        <v>10000</v>
      </c>
      <c r="E34" s="227">
        <f>SUM(C34:D34)</f>
        <v>1292257</v>
      </c>
      <c r="F34" s="422" t="s">
        <v>7</v>
      </c>
      <c r="G34" s="297"/>
      <c r="H34" s="297"/>
      <c r="I34" s="379"/>
      <c r="J34" s="141"/>
      <c r="T34" s="10"/>
      <c r="U34" s="10"/>
      <c r="V34" s="10"/>
      <c r="W34" s="10"/>
      <c r="X34" s="10"/>
      <c r="Y34" s="10"/>
    </row>
    <row r="35" spans="1:25" x14ac:dyDescent="0.2">
      <c r="A35" s="730">
        <f t="shared" si="0"/>
        <v>27</v>
      </c>
      <c r="B35" s="239" t="s">
        <v>917</v>
      </c>
      <c r="C35" s="227">
        <f>Össz.önkor.mérleg.!C45</f>
        <v>0</v>
      </c>
      <c r="D35" s="227">
        <f>Össz.önkor.mérleg.!D45</f>
        <v>0</v>
      </c>
      <c r="E35" s="227">
        <f>Össz.önkor.mérleg.!E45</f>
        <v>0</v>
      </c>
      <c r="F35" s="422"/>
      <c r="G35" s="297"/>
      <c r="H35" s="297"/>
      <c r="I35" s="379"/>
      <c r="J35" s="141"/>
      <c r="T35" s="10"/>
      <c r="U35" s="10"/>
      <c r="V35" s="10"/>
      <c r="W35" s="10"/>
      <c r="X35" s="10"/>
      <c r="Y35" s="10"/>
    </row>
    <row r="36" spans="1:25" x14ac:dyDescent="0.2">
      <c r="A36" s="730">
        <f t="shared" si="0"/>
        <v>28</v>
      </c>
      <c r="B36" s="45" t="s">
        <v>625</v>
      </c>
      <c r="C36" s="227">
        <f t="shared" ref="C36:D36" si="2">-(C26+C34-G44)-C27-C37</f>
        <v>-1024517</v>
      </c>
      <c r="D36" s="227">
        <f t="shared" si="2"/>
        <v>0</v>
      </c>
      <c r="E36" s="227">
        <f>-(E26+E34-I44)-E27-E37</f>
        <v>-1024517</v>
      </c>
      <c r="F36" s="422" t="s">
        <v>8</v>
      </c>
      <c r="G36" s="234"/>
      <c r="H36" s="234"/>
      <c r="I36" s="401"/>
      <c r="J36" s="141"/>
      <c r="T36" s="10"/>
      <c r="U36" s="10"/>
      <c r="V36" s="10"/>
      <c r="W36" s="10"/>
      <c r="X36" s="10"/>
      <c r="Y36" s="10"/>
    </row>
    <row r="37" spans="1:25" x14ac:dyDescent="0.2">
      <c r="A37" s="730">
        <f t="shared" si="0"/>
        <v>29</v>
      </c>
      <c r="B37" s="227" t="s">
        <v>668</v>
      </c>
      <c r="C37" s="227">
        <f>Össz.önkor.mérleg.!C46</f>
        <v>698</v>
      </c>
      <c r="D37" s="227">
        <f>Össz.önkor.mérleg.!D46</f>
        <v>0</v>
      </c>
      <c r="E37" s="227">
        <f>Össz.önkor.mérleg.!E46</f>
        <v>698</v>
      </c>
      <c r="F37" s="422" t="s">
        <v>9</v>
      </c>
      <c r="G37" s="295">
        <f>Össz.önkor.mérleg.!G47</f>
        <v>31341</v>
      </c>
      <c r="H37" s="295">
        <f>Össz.önkor.mérleg.!H47</f>
        <v>4730</v>
      </c>
      <c r="I37" s="402">
        <f>Össz.önkor.mérleg.!I47</f>
        <v>36071</v>
      </c>
      <c r="J37" s="141"/>
      <c r="T37" s="10"/>
      <c r="U37" s="10"/>
      <c r="V37" s="10"/>
      <c r="W37" s="10"/>
      <c r="X37" s="10"/>
      <c r="Y37" s="10"/>
    </row>
    <row r="38" spans="1:25" s="11" customFormat="1" x14ac:dyDescent="0.2">
      <c r="A38" s="730">
        <f t="shared" si="0"/>
        <v>30</v>
      </c>
      <c r="B38" s="227" t="s">
        <v>669</v>
      </c>
      <c r="C38" s="227"/>
      <c r="D38" s="227"/>
      <c r="E38" s="227"/>
      <c r="F38" s="422" t="s">
        <v>10</v>
      </c>
      <c r="G38" s="234"/>
      <c r="H38" s="234"/>
      <c r="I38" s="401"/>
      <c r="J38" s="432"/>
      <c r="K38" s="140"/>
      <c r="L38" s="140"/>
      <c r="M38" s="140"/>
      <c r="N38" s="140"/>
      <c r="O38" s="140"/>
      <c r="P38" s="140"/>
      <c r="Q38" s="140"/>
      <c r="R38" s="140"/>
      <c r="S38" s="140"/>
    </row>
    <row r="39" spans="1:25" s="11" customFormat="1" x14ac:dyDescent="0.2">
      <c r="A39" s="730">
        <f t="shared" si="0"/>
        <v>31</v>
      </c>
      <c r="B39" s="239" t="s">
        <v>670</v>
      </c>
      <c r="C39" s="227"/>
      <c r="D39" s="227"/>
      <c r="E39" s="227"/>
      <c r="F39" s="422" t="s">
        <v>11</v>
      </c>
      <c r="G39" s="297"/>
      <c r="H39" s="297"/>
      <c r="I39" s="379"/>
      <c r="J39" s="432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25" s="11" customFormat="1" x14ac:dyDescent="0.2">
      <c r="A40" s="730">
        <f t="shared" si="0"/>
        <v>32</v>
      </c>
      <c r="B40" s="239" t="s">
        <v>671</v>
      </c>
      <c r="C40" s="227"/>
      <c r="D40" s="227"/>
      <c r="E40" s="227"/>
      <c r="F40" s="422" t="s">
        <v>12</v>
      </c>
      <c r="G40" s="146"/>
      <c r="I40" s="404"/>
      <c r="J40" s="432"/>
      <c r="K40" s="140"/>
      <c r="L40" s="140"/>
      <c r="M40" s="140"/>
      <c r="N40" s="140"/>
      <c r="O40" s="140"/>
      <c r="P40" s="140"/>
      <c r="Q40" s="140"/>
      <c r="R40" s="140"/>
      <c r="S40" s="140"/>
    </row>
    <row r="41" spans="1:25" s="11" customFormat="1" x14ac:dyDescent="0.2">
      <c r="A41" s="730">
        <f t="shared" si="0"/>
        <v>33</v>
      </c>
      <c r="B41" s="239" t="s">
        <v>0</v>
      </c>
      <c r="C41" s="227"/>
      <c r="D41" s="227"/>
      <c r="E41" s="227"/>
      <c r="F41" s="422" t="s">
        <v>13</v>
      </c>
      <c r="G41" s="297"/>
      <c r="H41" s="297"/>
      <c r="I41" s="379"/>
      <c r="J41" s="432"/>
      <c r="K41" s="140"/>
      <c r="L41" s="140"/>
      <c r="M41" s="140"/>
      <c r="N41" s="140"/>
      <c r="O41" s="140"/>
      <c r="P41" s="140"/>
      <c r="Q41" s="140"/>
      <c r="R41" s="140"/>
      <c r="S41" s="140"/>
    </row>
    <row r="42" spans="1:25" x14ac:dyDescent="0.2">
      <c r="A42" s="730">
        <f t="shared" si="0"/>
        <v>34</v>
      </c>
      <c r="B42" s="239" t="s">
        <v>1</v>
      </c>
      <c r="C42" s="227">
        <f>Össz.önkor.mérleg.!C51</f>
        <v>0</v>
      </c>
      <c r="D42" s="227">
        <f>Össz.önkor.mérleg.!D51</f>
        <v>0</v>
      </c>
      <c r="E42" s="227">
        <f>Össz.önkor.mérleg.!E51</f>
        <v>0</v>
      </c>
      <c r="F42" s="422" t="s">
        <v>14</v>
      </c>
      <c r="G42" s="297"/>
      <c r="H42" s="297"/>
      <c r="I42" s="379"/>
      <c r="J42" s="141"/>
      <c r="T42" s="10"/>
      <c r="U42" s="10"/>
      <c r="V42" s="10"/>
      <c r="W42" s="10"/>
      <c r="X42" s="10"/>
      <c r="Y42" s="10"/>
    </row>
    <row r="43" spans="1:25" x14ac:dyDescent="0.2">
      <c r="A43" s="730">
        <f t="shared" si="0"/>
        <v>35</v>
      </c>
      <c r="B43" s="239" t="s">
        <v>2</v>
      </c>
      <c r="C43" s="227"/>
      <c r="D43" s="227"/>
      <c r="E43" s="227"/>
      <c r="F43" s="422" t="s">
        <v>15</v>
      </c>
      <c r="G43" s="146"/>
      <c r="H43" s="146"/>
      <c r="I43" s="379"/>
      <c r="J43" s="141"/>
      <c r="T43" s="10"/>
      <c r="U43" s="10"/>
      <c r="V43" s="10"/>
      <c r="W43" s="10"/>
      <c r="X43" s="10"/>
      <c r="Y43" s="10"/>
    </row>
    <row r="44" spans="1:25" ht="12" thickBot="1" x14ac:dyDescent="0.25">
      <c r="A44" s="730">
        <f t="shared" si="0"/>
        <v>36</v>
      </c>
      <c r="B44" s="729" t="s">
        <v>439</v>
      </c>
      <c r="C44" s="540">
        <f>SUM(C29:C42)</f>
        <v>258438</v>
      </c>
      <c r="D44" s="540">
        <f t="shared" ref="D44:E44" si="3">SUM(D29:D42)</f>
        <v>10000</v>
      </c>
      <c r="E44" s="540">
        <f t="shared" si="3"/>
        <v>268438</v>
      </c>
      <c r="F44" s="715" t="s">
        <v>432</v>
      </c>
      <c r="G44" s="146">
        <f>SUM(G29:G43)</f>
        <v>186736</v>
      </c>
      <c r="H44" s="146">
        <f>SUM(H29:H43)</f>
        <v>4730</v>
      </c>
      <c r="I44" s="379">
        <f>SUM(I29:I43)</f>
        <v>191466</v>
      </c>
      <c r="J44" s="141"/>
      <c r="T44" s="10"/>
      <c r="U44" s="10"/>
      <c r="V44" s="10"/>
      <c r="W44" s="10"/>
      <c r="X44" s="10"/>
      <c r="Y44" s="10"/>
    </row>
    <row r="45" spans="1:25" ht="12" thickBot="1" x14ac:dyDescent="0.25">
      <c r="A45" s="899">
        <f t="shared" si="0"/>
        <v>37</v>
      </c>
      <c r="B45" s="900" t="s">
        <v>434</v>
      </c>
      <c r="C45" s="751">
        <f>C24+C44+C27</f>
        <v>1785881</v>
      </c>
      <c r="D45" s="751">
        <f t="shared" ref="D45:E45" si="4">D24+D44+D27</f>
        <v>1547302</v>
      </c>
      <c r="E45" s="751">
        <f t="shared" si="4"/>
        <v>3333183</v>
      </c>
      <c r="F45" s="870" t="s">
        <v>433</v>
      </c>
      <c r="G45" s="894">
        <f>G24+G44</f>
        <v>1785881</v>
      </c>
      <c r="H45" s="771">
        <f>H24+H44</f>
        <v>1547302</v>
      </c>
      <c r="I45" s="869">
        <f>I24+I44</f>
        <v>3333183</v>
      </c>
      <c r="J45" s="137"/>
      <c r="T45" s="10"/>
      <c r="U45" s="10"/>
      <c r="V45" s="10"/>
      <c r="W45" s="10"/>
      <c r="X45" s="10"/>
      <c r="Y45" s="10"/>
    </row>
    <row r="46" spans="1:25" x14ac:dyDescent="0.2">
      <c r="B46" s="140"/>
      <c r="C46" s="139"/>
      <c r="D46" s="139"/>
      <c r="E46" s="139"/>
      <c r="F46" s="139"/>
      <c r="G46" s="139"/>
      <c r="H46" s="139"/>
      <c r="I46" s="139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5"/>
  <sheetViews>
    <sheetView zoomScale="120" workbookViewId="0">
      <selection activeCell="K17" sqref="K17"/>
    </sheetView>
  </sheetViews>
  <sheetFormatPr defaultColWidth="9.140625" defaultRowHeight="11.25" x14ac:dyDescent="0.2"/>
  <cols>
    <col min="1" max="1" width="4.85546875" style="114" customWidth="1"/>
    <col min="2" max="2" width="36.85546875" style="114" customWidth="1"/>
    <col min="3" max="3" width="11.28515625" style="115" customWidth="1"/>
    <col min="4" max="4" width="13.85546875" style="115" customWidth="1"/>
    <col min="5" max="5" width="13" style="115" customWidth="1"/>
    <col min="6" max="6" width="35.42578125" style="115" customWidth="1"/>
    <col min="7" max="7" width="12.140625" style="232" customWidth="1"/>
    <col min="8" max="8" width="11.42578125" style="232" customWidth="1"/>
    <col min="9" max="9" width="12.85546875" style="232" customWidth="1"/>
    <col min="10" max="10" width="9.140625" style="114"/>
    <col min="11" max="16384" width="9.140625" style="10"/>
  </cols>
  <sheetData>
    <row r="1" spans="1:10" ht="12.75" x14ac:dyDescent="0.2">
      <c r="B1" s="1403" t="s">
        <v>1401</v>
      </c>
      <c r="C1" s="1468"/>
      <c r="D1" s="1468"/>
      <c r="E1" s="1468"/>
      <c r="F1" s="1468"/>
      <c r="G1" s="1468"/>
      <c r="H1" s="1468"/>
      <c r="I1" s="1468"/>
    </row>
    <row r="2" spans="1:10" x14ac:dyDescent="0.2">
      <c r="I2" s="292"/>
    </row>
    <row r="3" spans="1:10" x14ac:dyDescent="0.2">
      <c r="I3" s="292"/>
    </row>
    <row r="4" spans="1:10" s="86" customFormat="1" x14ac:dyDescent="0.2">
      <c r="A4" s="117"/>
      <c r="B4" s="1407" t="s">
        <v>77</v>
      </c>
      <c r="C4" s="1407"/>
      <c r="D4" s="1407"/>
      <c r="E4" s="1407"/>
      <c r="F4" s="1407"/>
      <c r="G4" s="1407"/>
      <c r="H4" s="1407"/>
      <c r="I4" s="1407"/>
      <c r="J4" s="117"/>
    </row>
    <row r="5" spans="1:10" s="86" customFormat="1" x14ac:dyDescent="0.2">
      <c r="A5" s="117"/>
      <c r="B5" s="1531" t="s">
        <v>178</v>
      </c>
      <c r="C5" s="1531"/>
      <c r="D5" s="1531"/>
      <c r="E5" s="1531"/>
      <c r="F5" s="1531"/>
      <c r="G5" s="1531"/>
      <c r="H5" s="1531"/>
      <c r="I5" s="1531"/>
      <c r="J5" s="117"/>
    </row>
    <row r="6" spans="1:10" s="86" customFormat="1" x14ac:dyDescent="0.2">
      <c r="A6" s="117"/>
      <c r="B6" s="1407" t="s">
        <v>1321</v>
      </c>
      <c r="C6" s="1407"/>
      <c r="D6" s="1407"/>
      <c r="E6" s="1407"/>
      <c r="F6" s="1407"/>
      <c r="G6" s="1407"/>
      <c r="H6" s="1407"/>
      <c r="I6" s="1407"/>
      <c r="J6" s="117"/>
    </row>
    <row r="7" spans="1:10" s="86" customFormat="1" x14ac:dyDescent="0.2">
      <c r="A7" s="117"/>
      <c r="B7" s="1408" t="s">
        <v>295</v>
      </c>
      <c r="C7" s="1408"/>
      <c r="D7" s="1408"/>
      <c r="E7" s="1408"/>
      <c r="F7" s="1408"/>
      <c r="G7" s="1408"/>
      <c r="H7" s="1408"/>
      <c r="I7" s="1408"/>
      <c r="J7" s="117"/>
    </row>
    <row r="8" spans="1:10" s="86" customFormat="1" ht="12.75" customHeight="1" x14ac:dyDescent="0.2">
      <c r="A8" s="1435" t="s">
        <v>56</v>
      </c>
      <c r="B8" s="1620" t="s">
        <v>57</v>
      </c>
      <c r="C8" s="1432" t="s">
        <v>58</v>
      </c>
      <c r="D8" s="1414"/>
      <c r="E8" s="1473"/>
      <c r="F8" s="1622" t="s">
        <v>59</v>
      </c>
      <c r="G8" s="1428" t="s">
        <v>60</v>
      </c>
      <c r="H8" s="1429"/>
      <c r="I8" s="1429"/>
      <c r="J8" s="519"/>
    </row>
    <row r="9" spans="1:10" s="86" customFormat="1" ht="12.75" customHeight="1" x14ac:dyDescent="0.2">
      <c r="A9" s="1436"/>
      <c r="B9" s="1621"/>
      <c r="C9" s="1405" t="s">
        <v>1136</v>
      </c>
      <c r="D9" s="1553"/>
      <c r="E9" s="1624"/>
      <c r="F9" s="1623"/>
      <c r="G9" s="1420" t="s">
        <v>1136</v>
      </c>
      <c r="H9" s="1625"/>
      <c r="I9" s="1626"/>
      <c r="J9" s="519"/>
    </row>
    <row r="10" spans="1:10" s="250" customFormat="1" ht="36.6" customHeight="1" x14ac:dyDescent="0.2">
      <c r="A10" s="1437"/>
      <c r="B10" s="248" t="s">
        <v>61</v>
      </c>
      <c r="C10" s="94" t="s">
        <v>62</v>
      </c>
      <c r="D10" s="94" t="s">
        <v>63</v>
      </c>
      <c r="E10" s="94" t="s">
        <v>64</v>
      </c>
      <c r="F10" s="235" t="s">
        <v>65</v>
      </c>
      <c r="G10" s="293" t="s">
        <v>62</v>
      </c>
      <c r="H10" s="293" t="s">
        <v>63</v>
      </c>
      <c r="I10" s="293" t="s">
        <v>64</v>
      </c>
      <c r="J10" s="526"/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298"/>
      <c r="H11" s="298"/>
      <c r="I11" s="398"/>
      <c r="J11" s="147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>
        <f>SUM(C12:D12)</f>
        <v>0</v>
      </c>
      <c r="F12" s="98" t="s">
        <v>208</v>
      </c>
      <c r="G12" s="227">
        <v>82565</v>
      </c>
      <c r="H12" s="227">
        <v>7179</v>
      </c>
      <c r="I12" s="399">
        <f>SUM(G12:H12)</f>
        <v>89744</v>
      </c>
      <c r="J12" s="147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>
        <f>SUM(C13:D13)</f>
        <v>0</v>
      </c>
      <c r="F13" s="455" t="s">
        <v>209</v>
      </c>
      <c r="G13" s="227">
        <v>14246</v>
      </c>
      <c r="H13" s="227">
        <v>1238</v>
      </c>
      <c r="I13" s="399">
        <f>SUM(G13:H13)</f>
        <v>15484</v>
      </c>
      <c r="J13" s="147"/>
    </row>
    <row r="14" spans="1:10" x14ac:dyDescent="0.2">
      <c r="A14" s="121">
        <f t="shared" si="0"/>
        <v>4</v>
      </c>
      <c r="B14" s="124" t="s">
        <v>37</v>
      </c>
      <c r="C14" s="82"/>
      <c r="D14" s="82"/>
      <c r="E14" s="83">
        <f>SUM(C14:D14)</f>
        <v>0</v>
      </c>
      <c r="F14" s="98" t="s">
        <v>210</v>
      </c>
      <c r="G14" s="227">
        <v>14015</v>
      </c>
      <c r="H14" s="227"/>
      <c r="I14" s="399">
        <f>SUM(G14:H14)</f>
        <v>14015</v>
      </c>
      <c r="J14" s="147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239"/>
      <c r="H15" s="239"/>
      <c r="I15" s="400"/>
      <c r="J15" s="147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>
        <f>SUM(C16:D16)</f>
        <v>0</v>
      </c>
      <c r="F16" s="98" t="s">
        <v>28</v>
      </c>
      <c r="G16" s="234"/>
      <c r="H16" s="234"/>
      <c r="I16" s="401"/>
      <c r="J16" s="147"/>
    </row>
    <row r="17" spans="1:10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234"/>
      <c r="H17" s="234"/>
      <c r="I17" s="401"/>
      <c r="J17" s="147"/>
    </row>
    <row r="18" spans="1:10" x14ac:dyDescent="0.2">
      <c r="A18" s="121">
        <f t="shared" si="0"/>
        <v>8</v>
      </c>
      <c r="B18" s="124" t="s">
        <v>39</v>
      </c>
      <c r="C18" s="82"/>
      <c r="D18" s="82"/>
      <c r="E18" s="83">
        <f>SUM(C18:D18)</f>
        <v>0</v>
      </c>
      <c r="F18" s="98" t="s">
        <v>437</v>
      </c>
      <c r="G18" s="234"/>
      <c r="H18" s="234"/>
      <c r="I18" s="401"/>
      <c r="J18" s="147"/>
    </row>
    <row r="19" spans="1:10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436</v>
      </c>
      <c r="G19" s="234"/>
      <c r="H19" s="234"/>
      <c r="I19" s="401"/>
      <c r="J19" s="147"/>
    </row>
    <row r="20" spans="1:10" x14ac:dyDescent="0.2">
      <c r="A20" s="121">
        <f t="shared" si="0"/>
        <v>10</v>
      </c>
      <c r="B20" s="80" t="s">
        <v>41</v>
      </c>
      <c r="C20" s="125">
        <v>0</v>
      </c>
      <c r="D20" s="125"/>
      <c r="E20" s="376">
        <f>SUM(C20:D20)</f>
        <v>0</v>
      </c>
      <c r="F20" s="115" t="s">
        <v>892</v>
      </c>
      <c r="G20" s="234"/>
      <c r="H20" s="234"/>
      <c r="I20" s="401"/>
      <c r="J20" s="147"/>
    </row>
    <row r="21" spans="1:10" x14ac:dyDescent="0.2">
      <c r="A21" s="121">
        <f t="shared" si="0"/>
        <v>11</v>
      </c>
      <c r="C21" s="125"/>
      <c r="D21" s="125"/>
      <c r="E21" s="376"/>
      <c r="F21" s="83" t="s">
        <v>893</v>
      </c>
      <c r="G21" s="234"/>
      <c r="H21" s="234"/>
      <c r="I21" s="401"/>
      <c r="J21" s="147"/>
    </row>
    <row r="22" spans="1:10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894</v>
      </c>
      <c r="G22" s="234"/>
      <c r="H22" s="234"/>
      <c r="I22" s="401"/>
      <c r="J22" s="521"/>
    </row>
    <row r="23" spans="1:10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234"/>
      <c r="H23" s="234"/>
      <c r="I23" s="401"/>
      <c r="J23" s="521"/>
    </row>
    <row r="24" spans="1:10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295">
        <f>SUM(G12:G22)</f>
        <v>110826</v>
      </c>
      <c r="H24" s="295">
        <f>SUM(H12:H22)</f>
        <v>8417</v>
      </c>
      <c r="I24" s="402">
        <f>SUM(I12:I22)</f>
        <v>119243</v>
      </c>
      <c r="J24" s="147"/>
    </row>
    <row r="25" spans="1:10" x14ac:dyDescent="0.2">
      <c r="A25" s="121">
        <f t="shared" si="0"/>
        <v>15</v>
      </c>
      <c r="B25" s="124" t="s">
        <v>45</v>
      </c>
      <c r="C25" s="125"/>
      <c r="D25" s="125"/>
      <c r="E25" s="125"/>
      <c r="F25" s="128"/>
      <c r="G25" s="234"/>
      <c r="H25" s="234"/>
      <c r="I25" s="401"/>
      <c r="J25" s="147"/>
    </row>
    <row r="26" spans="1:10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297"/>
      <c r="H26" s="297"/>
      <c r="I26" s="401"/>
      <c r="J26" s="147"/>
    </row>
    <row r="27" spans="1:10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219</v>
      </c>
      <c r="G27" s="234">
        <f>'felhalm. kiad.  '!H122</f>
        <v>2000</v>
      </c>
      <c r="H27" s="234">
        <f>'felhalm. kiad.  '!I122</f>
        <v>0</v>
      </c>
      <c r="I27" s="401">
        <f>SUM(G27:H27)</f>
        <v>2000</v>
      </c>
      <c r="J27" s="147"/>
    </row>
    <row r="28" spans="1:10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234"/>
      <c r="H28" s="234"/>
      <c r="I28" s="401"/>
      <c r="J28" s="147"/>
    </row>
    <row r="29" spans="1:10" x14ac:dyDescent="0.2">
      <c r="A29" s="121">
        <f t="shared" si="0"/>
        <v>19</v>
      </c>
      <c r="B29" s="114" t="s">
        <v>50</v>
      </c>
      <c r="C29" s="83"/>
      <c r="D29" s="83"/>
      <c r="E29" s="83"/>
      <c r="F29" s="98" t="s">
        <v>32</v>
      </c>
      <c r="G29" s="234"/>
      <c r="H29" s="234"/>
      <c r="I29" s="401"/>
      <c r="J29" s="147"/>
    </row>
    <row r="30" spans="1:10" s="88" customFormat="1" x14ac:dyDescent="0.2">
      <c r="A30" s="121">
        <f t="shared" si="0"/>
        <v>20</v>
      </c>
      <c r="B30" s="114" t="s">
        <v>48</v>
      </c>
      <c r="C30" s="83"/>
      <c r="D30" s="83"/>
      <c r="E30" s="83"/>
      <c r="F30" s="98" t="s">
        <v>438</v>
      </c>
      <c r="G30" s="234"/>
      <c r="H30" s="234"/>
      <c r="I30" s="401"/>
      <c r="J30" s="521"/>
    </row>
    <row r="31" spans="1:10" x14ac:dyDescent="0.2">
      <c r="A31" s="121">
        <f t="shared" si="0"/>
        <v>21</v>
      </c>
      <c r="C31" s="83"/>
      <c r="D31" s="83"/>
      <c r="E31" s="83"/>
      <c r="F31" s="98" t="s">
        <v>435</v>
      </c>
      <c r="G31" s="234"/>
      <c r="H31" s="234"/>
      <c r="I31" s="401"/>
      <c r="J31" s="147"/>
    </row>
    <row r="32" spans="1:10" s="11" customFormat="1" x14ac:dyDescent="0.2">
      <c r="A32" s="121">
        <f t="shared" si="0"/>
        <v>22</v>
      </c>
      <c r="B32" s="131" t="s">
        <v>52</v>
      </c>
      <c r="C32" s="125">
        <f>C14+C20</f>
        <v>0</v>
      </c>
      <c r="D32" s="125">
        <f>D14+D20</f>
        <v>0</v>
      </c>
      <c r="E32" s="125">
        <f>E14+E20</f>
        <v>0</v>
      </c>
      <c r="F32" s="98" t="s">
        <v>431</v>
      </c>
      <c r="G32" s="232"/>
      <c r="H32" s="232"/>
      <c r="I32" s="401"/>
      <c r="J32" s="431"/>
    </row>
    <row r="33" spans="1:10" x14ac:dyDescent="0.2">
      <c r="A33" s="121">
        <f t="shared" si="0"/>
        <v>23</v>
      </c>
      <c r="B33" s="132" t="s">
        <v>67</v>
      </c>
      <c r="C33" s="134"/>
      <c r="D33" s="134"/>
      <c r="E33" s="134"/>
      <c r="F33" s="133" t="s">
        <v>68</v>
      </c>
      <c r="G33" s="296">
        <f>SUM(G27:G32)</f>
        <v>2000</v>
      </c>
      <c r="H33" s="296">
        <f>SUM(H27:H32)</f>
        <v>0</v>
      </c>
      <c r="I33" s="403">
        <f>SUM(I27:I31)</f>
        <v>2000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0</v>
      </c>
      <c r="D34" s="130">
        <f>SUM(D32:D33)</f>
        <v>0</v>
      </c>
      <c r="E34" s="130">
        <f>SUM(C34:D34)</f>
        <v>0</v>
      </c>
      <c r="F34" s="136" t="s">
        <v>69</v>
      </c>
      <c r="G34" s="297">
        <f>G24+G33</f>
        <v>112826</v>
      </c>
      <c r="H34" s="297">
        <f>H24+H33</f>
        <v>8417</v>
      </c>
      <c r="I34" s="379">
        <f>I24+I33</f>
        <v>121243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234"/>
      <c r="H35" s="234"/>
      <c r="I35" s="401"/>
      <c r="J35" s="147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295"/>
      <c r="H36" s="295"/>
      <c r="I36" s="402"/>
      <c r="J36" s="147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234"/>
      <c r="H37" s="234"/>
      <c r="I37" s="401"/>
      <c r="J37" s="431"/>
    </row>
    <row r="38" spans="1:10" s="11" customFormat="1" x14ac:dyDescent="0.2">
      <c r="A38" s="665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297"/>
      <c r="H38" s="297"/>
      <c r="I38" s="379"/>
      <c r="J38" s="431"/>
    </row>
    <row r="39" spans="1:10" s="11" customFormat="1" x14ac:dyDescent="0.2">
      <c r="A39" s="121">
        <f t="shared" si="0"/>
        <v>29</v>
      </c>
      <c r="B39" s="95" t="s">
        <v>665</v>
      </c>
      <c r="C39" s="90"/>
      <c r="D39" s="90"/>
      <c r="E39" s="90"/>
      <c r="F39" s="138" t="s">
        <v>4</v>
      </c>
      <c r="G39" s="146"/>
      <c r="I39" s="404"/>
      <c r="J39" s="431"/>
    </row>
    <row r="40" spans="1:10" s="11" customFormat="1" x14ac:dyDescent="0.2">
      <c r="A40" s="121">
        <f t="shared" si="0"/>
        <v>30</v>
      </c>
      <c r="B40" s="80" t="s">
        <v>920</v>
      </c>
      <c r="C40" s="90"/>
      <c r="D40" s="90"/>
      <c r="E40" s="90"/>
      <c r="F40" s="456" t="s">
        <v>3</v>
      </c>
      <c r="G40" s="297"/>
      <c r="H40" s="297"/>
      <c r="I40" s="379"/>
      <c r="J40" s="431"/>
    </row>
    <row r="41" spans="1:10" x14ac:dyDescent="0.2">
      <c r="A41" s="121">
        <f t="shared" si="0"/>
        <v>31</v>
      </c>
      <c r="B41" s="82" t="s">
        <v>667</v>
      </c>
      <c r="C41" s="142"/>
      <c r="D41" s="142"/>
      <c r="E41" s="142"/>
      <c r="F41" s="98" t="s">
        <v>5</v>
      </c>
      <c r="G41" s="297"/>
      <c r="H41" s="297"/>
      <c r="I41" s="379"/>
      <c r="J41" s="147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46"/>
      <c r="H42" s="146"/>
      <c r="I42" s="379"/>
      <c r="J42" s="147"/>
    </row>
    <row r="43" spans="1:10" x14ac:dyDescent="0.2">
      <c r="A43" s="121">
        <f t="shared" si="0"/>
        <v>33</v>
      </c>
      <c r="B43" s="454" t="s">
        <v>201</v>
      </c>
      <c r="C43" s="83">
        <v>0</v>
      </c>
      <c r="D43" s="83"/>
      <c r="E43" s="83">
        <f>C43+D43</f>
        <v>0</v>
      </c>
      <c r="F43" s="98" t="s">
        <v>7</v>
      </c>
      <c r="G43" s="146"/>
      <c r="H43" s="146"/>
      <c r="I43" s="379"/>
      <c r="J43" s="147"/>
    </row>
    <row r="44" spans="1:10" x14ac:dyDescent="0.2">
      <c r="A44" s="121">
        <f t="shared" si="0"/>
        <v>34</v>
      </c>
      <c r="B44" s="454" t="s">
        <v>917</v>
      </c>
      <c r="C44" s="83"/>
      <c r="D44" s="83"/>
      <c r="E44" s="83"/>
      <c r="F44" s="98"/>
      <c r="G44" s="146"/>
      <c r="H44" s="146"/>
      <c r="I44" s="379"/>
      <c r="J44" s="147"/>
    </row>
    <row r="45" spans="1:10" x14ac:dyDescent="0.2">
      <c r="A45" s="121">
        <f t="shared" si="0"/>
        <v>35</v>
      </c>
      <c r="B45" s="83" t="s">
        <v>668</v>
      </c>
      <c r="C45" s="83"/>
      <c r="D45" s="83"/>
      <c r="E45" s="83"/>
      <c r="F45" s="98" t="s">
        <v>8</v>
      </c>
      <c r="G45" s="297"/>
      <c r="H45" s="297"/>
      <c r="I45" s="401"/>
      <c r="J45" s="147"/>
    </row>
    <row r="46" spans="1:10" x14ac:dyDescent="0.2">
      <c r="A46" s="121">
        <f t="shared" si="0"/>
        <v>36</v>
      </c>
      <c r="B46" s="83" t="s">
        <v>669</v>
      </c>
      <c r="C46" s="90"/>
      <c r="D46" s="90"/>
      <c r="E46" s="90"/>
      <c r="F46" s="98" t="s">
        <v>9</v>
      </c>
      <c r="G46" s="297"/>
      <c r="H46" s="297"/>
      <c r="I46" s="401"/>
      <c r="J46" s="147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234"/>
      <c r="H47" s="234"/>
      <c r="I47" s="401"/>
      <c r="J47" s="147"/>
    </row>
    <row r="48" spans="1:10" x14ac:dyDescent="0.2">
      <c r="A48" s="121">
        <f t="shared" si="0"/>
        <v>38</v>
      </c>
      <c r="B48" s="454" t="s">
        <v>205</v>
      </c>
      <c r="C48" s="83">
        <f>G24-(C34+C43)</f>
        <v>110826</v>
      </c>
      <c r="D48" s="83">
        <f>H24-(D34+D43)</f>
        <v>8417</v>
      </c>
      <c r="E48" s="83">
        <f>I24-(E34+E43)</f>
        <v>119243</v>
      </c>
      <c r="F48" s="98" t="s">
        <v>11</v>
      </c>
      <c r="G48" s="234"/>
      <c r="H48" s="234"/>
      <c r="I48" s="401"/>
      <c r="J48" s="147"/>
    </row>
    <row r="49" spans="1:10" x14ac:dyDescent="0.2">
      <c r="A49" s="121">
        <f t="shared" si="0"/>
        <v>39</v>
      </c>
      <c r="B49" s="454" t="s">
        <v>206</v>
      </c>
      <c r="C49" s="83">
        <f>G33-C33</f>
        <v>2000</v>
      </c>
      <c r="D49" s="83"/>
      <c r="E49" s="83">
        <f>I33-E33</f>
        <v>2000</v>
      </c>
      <c r="F49" s="98" t="s">
        <v>12</v>
      </c>
      <c r="G49" s="234"/>
      <c r="H49" s="234"/>
      <c r="I49" s="401"/>
      <c r="J49" s="147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234"/>
      <c r="H50" s="234"/>
      <c r="I50" s="401"/>
      <c r="J50" s="147"/>
    </row>
    <row r="51" spans="1:10" x14ac:dyDescent="0.2">
      <c r="A51" s="121">
        <f t="shared" si="0"/>
        <v>41</v>
      </c>
      <c r="B51" s="82"/>
      <c r="C51" s="83"/>
      <c r="D51" s="83"/>
      <c r="E51" s="83"/>
      <c r="F51" s="98" t="s">
        <v>14</v>
      </c>
      <c r="G51" s="234"/>
      <c r="H51" s="234"/>
      <c r="I51" s="401"/>
      <c r="J51" s="147"/>
    </row>
    <row r="52" spans="1:10" x14ac:dyDescent="0.2">
      <c r="A52" s="121">
        <f t="shared" si="0"/>
        <v>42</v>
      </c>
      <c r="B52" s="82"/>
      <c r="C52" s="83"/>
      <c r="D52" s="83"/>
      <c r="E52" s="83"/>
      <c r="F52" s="98" t="s">
        <v>15</v>
      </c>
      <c r="G52" s="234"/>
      <c r="H52" s="234"/>
      <c r="I52" s="401"/>
      <c r="J52" s="147"/>
    </row>
    <row r="53" spans="1:10" ht="12" thickBot="1" x14ac:dyDescent="0.25">
      <c r="A53" s="121">
        <f t="shared" si="0"/>
        <v>43</v>
      </c>
      <c r="B53" s="135" t="s">
        <v>439</v>
      </c>
      <c r="C53" s="90">
        <f>SUM(C39:C51)</f>
        <v>112826</v>
      </c>
      <c r="D53" s="90">
        <f>SUM(D39:D51)</f>
        <v>8417</v>
      </c>
      <c r="E53" s="90">
        <f>SUM(E39:E51)</f>
        <v>121243</v>
      </c>
      <c r="F53" s="99" t="s">
        <v>432</v>
      </c>
      <c r="G53" s="297">
        <f>SUM(G39:G52)</f>
        <v>0</v>
      </c>
      <c r="H53" s="297">
        <f>SUM(H39:H52)</f>
        <v>0</v>
      </c>
      <c r="I53" s="379">
        <f>SUM(I39:I52)</f>
        <v>0</v>
      </c>
      <c r="J53" s="147"/>
    </row>
    <row r="54" spans="1:10" ht="12" thickBot="1" x14ac:dyDescent="0.25">
      <c r="A54" s="768">
        <f t="shared" si="0"/>
        <v>44</v>
      </c>
      <c r="B54" s="896" t="s">
        <v>434</v>
      </c>
      <c r="C54" s="246">
        <f>C34+C53</f>
        <v>112826</v>
      </c>
      <c r="D54" s="246">
        <f>D34+D53</f>
        <v>8417</v>
      </c>
      <c r="E54" s="764">
        <f>E34+E53</f>
        <v>121243</v>
      </c>
      <c r="F54" s="428" t="s">
        <v>433</v>
      </c>
      <c r="G54" s="894">
        <f>G34+G53</f>
        <v>112826</v>
      </c>
      <c r="H54" s="674">
        <f>H34+H53</f>
        <v>8417</v>
      </c>
      <c r="I54" s="675">
        <f>I34+I53</f>
        <v>121243</v>
      </c>
      <c r="J54" s="10"/>
    </row>
    <row r="55" spans="1:10" x14ac:dyDescent="0.2">
      <c r="B55" s="140"/>
      <c r="C55" s="139"/>
      <c r="D55" s="139"/>
      <c r="E55" s="139"/>
      <c r="F55" s="139"/>
      <c r="G55" s="146"/>
      <c r="H55" s="146"/>
      <c r="I55" s="146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5"/>
  <sheetViews>
    <sheetView workbookViewId="0">
      <selection activeCell="J15" sqref="J15"/>
    </sheetView>
  </sheetViews>
  <sheetFormatPr defaultColWidth="9.140625" defaultRowHeight="11.25" x14ac:dyDescent="0.2"/>
  <cols>
    <col min="1" max="1" width="4.85546875" style="114" customWidth="1"/>
    <col min="2" max="2" width="38.28515625" style="114" customWidth="1"/>
    <col min="3" max="3" width="10.140625" style="115" customWidth="1"/>
    <col min="4" max="4" width="11.140625" style="115" customWidth="1"/>
    <col min="5" max="5" width="11.5703125" style="115" customWidth="1"/>
    <col min="6" max="6" width="38" style="115" customWidth="1"/>
    <col min="7" max="7" width="10.42578125" style="115" customWidth="1"/>
    <col min="8" max="8" width="12" style="232" customWidth="1"/>
    <col min="9" max="9" width="13.28515625" style="232" customWidth="1"/>
    <col min="10" max="10" width="9.140625" style="114"/>
    <col min="11" max="16384" width="9.140625" style="10"/>
  </cols>
  <sheetData>
    <row r="1" spans="1:10" ht="12.75" customHeight="1" x14ac:dyDescent="0.2">
      <c r="C1" s="1403" t="s">
        <v>1402</v>
      </c>
      <c r="D1" s="1403"/>
      <c r="E1" s="1403"/>
      <c r="F1" s="1403"/>
      <c r="G1" s="1403"/>
      <c r="H1" s="1403"/>
      <c r="I1" s="1403"/>
    </row>
    <row r="2" spans="1:10" x14ac:dyDescent="0.2">
      <c r="I2" s="292"/>
    </row>
    <row r="3" spans="1:10" x14ac:dyDescent="0.2">
      <c r="I3" s="292"/>
    </row>
    <row r="4" spans="1:10" s="86" customFormat="1" x14ac:dyDescent="0.2">
      <c r="A4" s="117"/>
      <c r="B4" s="1407" t="s">
        <v>77</v>
      </c>
      <c r="C4" s="1407"/>
      <c r="D4" s="1407"/>
      <c r="E4" s="1407"/>
      <c r="F4" s="1407"/>
      <c r="G4" s="1407"/>
      <c r="H4" s="1407"/>
      <c r="I4" s="1407"/>
      <c r="J4" s="117"/>
    </row>
    <row r="5" spans="1:10" s="86" customFormat="1" x14ac:dyDescent="0.2">
      <c r="A5" s="117"/>
      <c r="B5" s="1531" t="s">
        <v>673</v>
      </c>
      <c r="C5" s="1531"/>
      <c r="D5" s="1531"/>
      <c r="E5" s="1531"/>
      <c r="F5" s="1531"/>
      <c r="G5" s="1531"/>
      <c r="H5" s="1531"/>
      <c r="I5" s="1531"/>
      <c r="J5" s="117"/>
    </row>
    <row r="6" spans="1:10" s="86" customFormat="1" ht="12.75" customHeight="1" x14ac:dyDescent="0.2">
      <c r="A6" s="117"/>
      <c r="B6" s="1628" t="s">
        <v>1323</v>
      </c>
      <c r="C6" s="1628"/>
      <c r="D6" s="1628"/>
      <c r="E6" s="1628"/>
      <c r="F6" s="1628"/>
      <c r="G6" s="1628"/>
      <c r="H6" s="1628"/>
      <c r="I6" s="1628"/>
    </row>
    <row r="7" spans="1:10" s="86" customFormat="1" x14ac:dyDescent="0.2">
      <c r="A7" s="117"/>
      <c r="B7" s="1408" t="s">
        <v>295</v>
      </c>
      <c r="C7" s="1408"/>
      <c r="D7" s="1408"/>
      <c r="E7" s="1408"/>
      <c r="F7" s="1408"/>
      <c r="G7" s="1408"/>
      <c r="H7" s="1408"/>
      <c r="I7" s="1408"/>
      <c r="J7" s="117"/>
    </row>
    <row r="8" spans="1:10" s="86" customFormat="1" ht="12.75" customHeight="1" x14ac:dyDescent="0.2">
      <c r="A8" s="1413" t="s">
        <v>56</v>
      </c>
      <c r="B8" s="1414" t="s">
        <v>57</v>
      </c>
      <c r="C8" s="1432" t="s">
        <v>58</v>
      </c>
      <c r="D8" s="1414"/>
      <c r="E8" s="1473"/>
      <c r="F8" s="1627" t="s">
        <v>59</v>
      </c>
      <c r="G8" s="1428" t="s">
        <v>60</v>
      </c>
      <c r="H8" s="1429"/>
      <c r="I8" s="1429"/>
    </row>
    <row r="9" spans="1:10" s="86" customFormat="1" ht="12.75" customHeight="1" x14ac:dyDescent="0.2">
      <c r="A9" s="1413"/>
      <c r="B9" s="1414"/>
      <c r="C9" s="1405" t="s">
        <v>1136</v>
      </c>
      <c r="D9" s="1553"/>
      <c r="E9" s="1624"/>
      <c r="F9" s="1627"/>
      <c r="G9" s="1420" t="s">
        <v>1136</v>
      </c>
      <c r="H9" s="1625"/>
      <c r="I9" s="1626"/>
    </row>
    <row r="10" spans="1:10" s="87" customFormat="1" ht="36.6" customHeight="1" x14ac:dyDescent="0.2">
      <c r="A10" s="1413"/>
      <c r="B10" s="118" t="s">
        <v>61</v>
      </c>
      <c r="C10" s="94" t="s">
        <v>62</v>
      </c>
      <c r="D10" s="94" t="s">
        <v>63</v>
      </c>
      <c r="E10" s="94" t="s">
        <v>64</v>
      </c>
      <c r="F10" s="541" t="s">
        <v>65</v>
      </c>
      <c r="G10" s="94" t="s">
        <v>62</v>
      </c>
      <c r="H10" s="293" t="s">
        <v>63</v>
      </c>
      <c r="I10" s="293" t="s">
        <v>64</v>
      </c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123"/>
      <c r="H11" s="298"/>
      <c r="I11" s="398"/>
      <c r="J11" s="10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>
        <f t="shared" ref="E12:E18" si="1">SUM(C12:D12)</f>
        <v>0</v>
      </c>
      <c r="F12" s="98" t="s">
        <v>208</v>
      </c>
      <c r="G12" s="227">
        <v>67374</v>
      </c>
      <c r="H12" s="227">
        <v>20126</v>
      </c>
      <c r="I12" s="399">
        <f>SUM(G12:H12)</f>
        <v>87500</v>
      </c>
      <c r="J12" s="10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>
        <f t="shared" si="1"/>
        <v>0</v>
      </c>
      <c r="F13" s="98" t="s">
        <v>209</v>
      </c>
      <c r="G13" s="227">
        <v>11566</v>
      </c>
      <c r="H13" s="227">
        <v>3455</v>
      </c>
      <c r="I13" s="399">
        <f>SUM(G13:H13)</f>
        <v>15021</v>
      </c>
      <c r="J13" s="10"/>
    </row>
    <row r="14" spans="1:10" x14ac:dyDescent="0.2">
      <c r="A14" s="121">
        <f t="shared" si="0"/>
        <v>4</v>
      </c>
      <c r="B14" s="124" t="s">
        <v>37</v>
      </c>
      <c r="C14" s="82">
        <v>0</v>
      </c>
      <c r="D14" s="82">
        <f>'tám, végl. pe.átv  '!D60</f>
        <v>0</v>
      </c>
      <c r="E14" s="83">
        <f t="shared" si="1"/>
        <v>0</v>
      </c>
      <c r="F14" s="98" t="s">
        <v>210</v>
      </c>
      <c r="G14" s="227">
        <v>62087</v>
      </c>
      <c r="H14" s="227">
        <v>48670</v>
      </c>
      <c r="I14" s="399">
        <f>SUM(G14:H14)</f>
        <v>110757</v>
      </c>
      <c r="J14" s="10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239"/>
      <c r="H15" s="239"/>
      <c r="I15" s="400"/>
      <c r="J15" s="10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>
        <f t="shared" si="1"/>
        <v>0</v>
      </c>
      <c r="F16" s="98" t="s">
        <v>28</v>
      </c>
      <c r="G16" s="126"/>
      <c r="H16" s="234"/>
      <c r="I16" s="401"/>
      <c r="J16" s="10"/>
    </row>
    <row r="17" spans="1:12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126"/>
      <c r="H17" s="234"/>
      <c r="I17" s="401"/>
      <c r="J17" s="10"/>
    </row>
    <row r="18" spans="1:12" x14ac:dyDescent="0.2">
      <c r="A18" s="121">
        <f t="shared" si="0"/>
        <v>8</v>
      </c>
      <c r="B18" s="124" t="s">
        <v>39</v>
      </c>
      <c r="C18" s="82"/>
      <c r="D18" s="82"/>
      <c r="E18" s="83">
        <f t="shared" si="1"/>
        <v>0</v>
      </c>
      <c r="F18" s="98" t="s">
        <v>437</v>
      </c>
      <c r="G18" s="126"/>
      <c r="H18" s="234"/>
      <c r="I18" s="401"/>
      <c r="J18" s="10"/>
    </row>
    <row r="19" spans="1:12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436</v>
      </c>
      <c r="G19" s="126"/>
      <c r="H19" s="234"/>
      <c r="I19" s="401"/>
      <c r="J19" s="10"/>
    </row>
    <row r="20" spans="1:12" x14ac:dyDescent="0.2">
      <c r="A20" s="121">
        <f t="shared" si="0"/>
        <v>10</v>
      </c>
      <c r="B20" s="80" t="s">
        <v>187</v>
      </c>
      <c r="C20" s="294">
        <v>37768</v>
      </c>
      <c r="D20" s="294">
        <v>20000</v>
      </c>
      <c r="E20" s="125">
        <f>SUM(C20:D20)</f>
        <v>57768</v>
      </c>
      <c r="F20" s="98" t="s">
        <v>891</v>
      </c>
      <c r="G20" s="126"/>
      <c r="H20" s="234"/>
      <c r="I20" s="401">
        <f>G20+H20</f>
        <v>0</v>
      </c>
      <c r="J20" s="10"/>
    </row>
    <row r="21" spans="1:12" x14ac:dyDescent="0.2">
      <c r="A21" s="121">
        <f t="shared" si="0"/>
        <v>11</v>
      </c>
      <c r="C21" s="125"/>
      <c r="D21" s="125"/>
      <c r="E21" s="125"/>
      <c r="F21" s="98" t="s">
        <v>429</v>
      </c>
      <c r="G21" s="126"/>
      <c r="H21" s="234"/>
      <c r="I21" s="401"/>
      <c r="J21" s="10"/>
    </row>
    <row r="22" spans="1:12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430</v>
      </c>
      <c r="G22" s="126"/>
      <c r="H22" s="234"/>
      <c r="I22" s="401"/>
    </row>
    <row r="23" spans="1:12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126"/>
      <c r="H23" s="234"/>
      <c r="I23" s="401"/>
    </row>
    <row r="24" spans="1:12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89">
        <f>SUM(G12:G22)</f>
        <v>141027</v>
      </c>
      <c r="H24" s="295">
        <f>SUM(H12:H22)</f>
        <v>72251</v>
      </c>
      <c r="I24" s="402">
        <f>SUM(I12:I22)</f>
        <v>213278</v>
      </c>
      <c r="J24" s="10"/>
    </row>
    <row r="25" spans="1:12" x14ac:dyDescent="0.2">
      <c r="A25" s="121">
        <f t="shared" si="0"/>
        <v>15</v>
      </c>
      <c r="B25" s="124" t="s">
        <v>45</v>
      </c>
      <c r="C25" s="125"/>
      <c r="D25" s="125"/>
      <c r="E25" s="125"/>
      <c r="F25" s="128"/>
      <c r="G25" s="126"/>
      <c r="H25" s="234"/>
      <c r="I25" s="401"/>
      <c r="J25" s="10"/>
      <c r="L25" s="233"/>
    </row>
    <row r="26" spans="1:12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130"/>
      <c r="H26" s="297"/>
      <c r="I26" s="401"/>
      <c r="J26" s="10"/>
    </row>
    <row r="27" spans="1:12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266</v>
      </c>
      <c r="G27" s="126">
        <f>'felhalm. kiad.  '!H112</f>
        <v>0</v>
      </c>
      <c r="H27" s="126">
        <f>'felhalm. kiad.  '!I112</f>
        <v>5000</v>
      </c>
      <c r="I27" s="378">
        <f>'felhalm. kiad.  '!G112</f>
        <v>5000</v>
      </c>
      <c r="J27" s="10"/>
    </row>
    <row r="28" spans="1:12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126"/>
      <c r="H28" s="234"/>
      <c r="I28" s="401"/>
      <c r="J28" s="10"/>
    </row>
    <row r="29" spans="1:12" x14ac:dyDescent="0.2">
      <c r="A29" s="121">
        <f t="shared" si="0"/>
        <v>19</v>
      </c>
      <c r="B29" s="114" t="s">
        <v>50</v>
      </c>
      <c r="C29" s="83">
        <f>'tám, végl. pe.átv  '!C63</f>
        <v>0</v>
      </c>
      <c r="D29" s="227">
        <f>'tám, végl. pe.átv  '!D63</f>
        <v>0</v>
      </c>
      <c r="E29" s="227">
        <f>'tám, végl. pe.átv  '!E63</f>
        <v>0</v>
      </c>
      <c r="F29" s="98" t="s">
        <v>32</v>
      </c>
      <c r="G29" s="126"/>
      <c r="H29" s="234"/>
      <c r="I29" s="401"/>
      <c r="J29" s="10"/>
    </row>
    <row r="30" spans="1:12" s="88" customFormat="1" x14ac:dyDescent="0.2">
      <c r="A30" s="121">
        <f t="shared" si="0"/>
        <v>20</v>
      </c>
      <c r="B30" s="114" t="s">
        <v>48</v>
      </c>
      <c r="C30" s="83"/>
      <c r="D30" s="1081"/>
      <c r="E30" s="1081"/>
      <c r="F30" s="98" t="s">
        <v>438</v>
      </c>
      <c r="G30" s="126"/>
      <c r="H30" s="234"/>
      <c r="I30" s="401"/>
      <c r="K30" s="672"/>
    </row>
    <row r="31" spans="1:12" x14ac:dyDescent="0.2">
      <c r="A31" s="121">
        <f t="shared" si="0"/>
        <v>21</v>
      </c>
      <c r="C31" s="83"/>
      <c r="D31" s="83"/>
      <c r="E31" s="83"/>
      <c r="F31" s="98" t="s">
        <v>435</v>
      </c>
      <c r="G31" s="126"/>
      <c r="H31" s="234"/>
      <c r="I31" s="401"/>
      <c r="J31" s="10"/>
    </row>
    <row r="32" spans="1:12" s="11" customFormat="1" x14ac:dyDescent="0.2">
      <c r="A32" s="121">
        <f t="shared" si="0"/>
        <v>22</v>
      </c>
      <c r="B32" s="131" t="s">
        <v>52</v>
      </c>
      <c r="C32" s="766">
        <f>C14+C20</f>
        <v>37768</v>
      </c>
      <c r="D32" s="766">
        <f>D14+D20+D29</f>
        <v>20000</v>
      </c>
      <c r="E32" s="766">
        <f>E14+E20+E29</f>
        <v>57768</v>
      </c>
      <c r="F32" s="98" t="s">
        <v>431</v>
      </c>
      <c r="G32" s="115"/>
      <c r="H32" s="232"/>
      <c r="I32" s="401"/>
    </row>
    <row r="33" spans="1:10" x14ac:dyDescent="0.2">
      <c r="A33" s="121">
        <f t="shared" si="0"/>
        <v>23</v>
      </c>
      <c r="B33" s="132" t="s">
        <v>67</v>
      </c>
      <c r="C33" s="134"/>
      <c r="D33" s="134"/>
      <c r="E33" s="134"/>
      <c r="F33" s="133" t="s">
        <v>68</v>
      </c>
      <c r="G33" s="134">
        <f>SUM(G27:G32)</f>
        <v>0</v>
      </c>
      <c r="H33" s="296">
        <f>SUM(H27:H32)</f>
        <v>5000</v>
      </c>
      <c r="I33" s="403">
        <f>SUM(I27:I31)</f>
        <v>5000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37768</v>
      </c>
      <c r="D34" s="130">
        <f>SUM(D32:D33)</f>
        <v>20000</v>
      </c>
      <c r="E34" s="130">
        <f>SUM(C34:D34)</f>
        <v>57768</v>
      </c>
      <c r="F34" s="136" t="s">
        <v>69</v>
      </c>
      <c r="G34" s="130">
        <f>G24+G33</f>
        <v>141027</v>
      </c>
      <c r="H34" s="297">
        <f>H24+H33</f>
        <v>77251</v>
      </c>
      <c r="I34" s="379">
        <f>I24+I33</f>
        <v>218278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126"/>
      <c r="H35" s="234"/>
      <c r="I35" s="401"/>
      <c r="J35" s="10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89"/>
      <c r="H36" s="295"/>
      <c r="I36" s="402"/>
      <c r="J36" s="10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126"/>
      <c r="H37" s="234"/>
      <c r="I37" s="401"/>
    </row>
    <row r="38" spans="1:10" s="11" customFormat="1" x14ac:dyDescent="0.2">
      <c r="A38" s="665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130"/>
      <c r="H38" s="297"/>
      <c r="I38" s="379"/>
    </row>
    <row r="39" spans="1:10" s="11" customFormat="1" ht="12" customHeight="1" x14ac:dyDescent="0.2">
      <c r="A39" s="121">
        <f t="shared" si="0"/>
        <v>29</v>
      </c>
      <c r="B39" s="95" t="s">
        <v>665</v>
      </c>
      <c r="C39" s="90"/>
      <c r="D39" s="90"/>
      <c r="E39" s="90"/>
      <c r="F39" s="138" t="s">
        <v>4</v>
      </c>
      <c r="G39" s="139"/>
      <c r="I39" s="404"/>
    </row>
    <row r="40" spans="1:10" s="11" customFormat="1" x14ac:dyDescent="0.2">
      <c r="A40" s="121">
        <f t="shared" si="0"/>
        <v>30</v>
      </c>
      <c r="B40" s="114" t="s">
        <v>921</v>
      </c>
      <c r="C40" s="90"/>
      <c r="D40" s="90"/>
      <c r="E40" s="90"/>
      <c r="F40" s="456" t="s">
        <v>3</v>
      </c>
      <c r="G40" s="130"/>
      <c r="H40" s="297"/>
      <c r="I40" s="379"/>
    </row>
    <row r="41" spans="1:10" x14ac:dyDescent="0.2">
      <c r="A41" s="121">
        <f t="shared" si="0"/>
        <v>31</v>
      </c>
      <c r="B41" s="82" t="s">
        <v>667</v>
      </c>
      <c r="C41" s="142"/>
      <c r="D41" s="142"/>
      <c r="E41" s="142"/>
      <c r="F41" s="98" t="s">
        <v>5</v>
      </c>
      <c r="G41" s="130"/>
      <c r="H41" s="297"/>
      <c r="I41" s="379"/>
      <c r="J41" s="10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39"/>
      <c r="H42" s="146"/>
      <c r="I42" s="379"/>
      <c r="J42" s="10"/>
    </row>
    <row r="43" spans="1:10" x14ac:dyDescent="0.2">
      <c r="A43" s="121">
        <f t="shared" si="0"/>
        <v>33</v>
      </c>
      <c r="B43" s="454" t="s">
        <v>201</v>
      </c>
      <c r="C43" s="83">
        <v>0</v>
      </c>
      <c r="D43" s="83"/>
      <c r="E43" s="83">
        <f>C43+D43</f>
        <v>0</v>
      </c>
      <c r="F43" s="98" t="s">
        <v>7</v>
      </c>
      <c r="G43" s="139"/>
      <c r="H43" s="146"/>
      <c r="I43" s="379"/>
      <c r="J43" s="10"/>
    </row>
    <row r="44" spans="1:10" x14ac:dyDescent="0.2">
      <c r="A44" s="121">
        <f t="shared" si="0"/>
        <v>34</v>
      </c>
      <c r="B44" s="454" t="s">
        <v>917</v>
      </c>
      <c r="C44" s="83"/>
      <c r="D44" s="83"/>
      <c r="E44" s="83">
        <f>C44+D44</f>
        <v>0</v>
      </c>
      <c r="F44" s="98"/>
      <c r="G44" s="139"/>
      <c r="H44" s="146"/>
      <c r="I44" s="379"/>
      <c r="J44" s="10"/>
    </row>
    <row r="45" spans="1:10" x14ac:dyDescent="0.2">
      <c r="A45" s="121">
        <f t="shared" si="0"/>
        <v>35</v>
      </c>
      <c r="B45" s="83" t="s">
        <v>668</v>
      </c>
      <c r="C45" s="83"/>
      <c r="D45" s="83"/>
      <c r="E45" s="83"/>
      <c r="F45" s="98" t="s">
        <v>8</v>
      </c>
      <c r="G45" s="130"/>
      <c r="H45" s="297"/>
      <c r="I45" s="401"/>
      <c r="J45" s="10"/>
    </row>
    <row r="46" spans="1:10" x14ac:dyDescent="0.2">
      <c r="A46" s="121">
        <f t="shared" si="0"/>
        <v>36</v>
      </c>
      <c r="B46" s="83" t="s">
        <v>669</v>
      </c>
      <c r="C46" s="90"/>
      <c r="D46" s="90"/>
      <c r="E46" s="90"/>
      <c r="F46" s="98" t="s">
        <v>9</v>
      </c>
      <c r="G46" s="130"/>
      <c r="H46" s="297"/>
      <c r="I46" s="401"/>
      <c r="J46" s="10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126"/>
      <c r="H47" s="234"/>
      <c r="I47" s="401"/>
      <c r="J47" s="10"/>
    </row>
    <row r="48" spans="1:10" x14ac:dyDescent="0.2">
      <c r="A48" s="121">
        <f t="shared" si="0"/>
        <v>38</v>
      </c>
      <c r="B48" s="454" t="s">
        <v>205</v>
      </c>
      <c r="C48" s="83">
        <f>G24-(C34+C43+C44)</f>
        <v>103259</v>
      </c>
      <c r="D48" s="83">
        <f>H24-(D34+D43+D44)</f>
        <v>52251</v>
      </c>
      <c r="E48" s="83">
        <f>I24-(E34+E43+E44)</f>
        <v>155510</v>
      </c>
      <c r="F48" s="98" t="s">
        <v>11</v>
      </c>
      <c r="G48" s="126"/>
      <c r="H48" s="234"/>
      <c r="I48" s="401"/>
      <c r="J48" s="10"/>
    </row>
    <row r="49" spans="1:10" x14ac:dyDescent="0.2">
      <c r="A49" s="121">
        <f t="shared" si="0"/>
        <v>39</v>
      </c>
      <c r="B49" s="454" t="s">
        <v>206</v>
      </c>
      <c r="C49" s="83">
        <f>G33-C33</f>
        <v>0</v>
      </c>
      <c r="D49" s="83">
        <f>H33-D33</f>
        <v>5000</v>
      </c>
      <c r="E49" s="83">
        <f>I33-E33</f>
        <v>5000</v>
      </c>
      <c r="F49" s="98" t="s">
        <v>12</v>
      </c>
      <c r="G49" s="126"/>
      <c r="H49" s="234"/>
      <c r="I49" s="401"/>
      <c r="J49" s="10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126"/>
      <c r="H50" s="234"/>
      <c r="I50" s="401"/>
      <c r="J50" s="10"/>
    </row>
    <row r="51" spans="1:10" x14ac:dyDescent="0.2">
      <c r="A51" s="121">
        <f t="shared" si="0"/>
        <v>41</v>
      </c>
      <c r="B51" s="82"/>
      <c r="C51" s="83"/>
      <c r="D51" s="83"/>
      <c r="E51" s="83"/>
      <c r="F51" s="98" t="s">
        <v>14</v>
      </c>
      <c r="G51" s="126"/>
      <c r="H51" s="234"/>
      <c r="I51" s="401"/>
      <c r="J51" s="10"/>
    </row>
    <row r="52" spans="1:10" x14ac:dyDescent="0.2">
      <c r="A52" s="121">
        <f t="shared" si="0"/>
        <v>42</v>
      </c>
      <c r="B52" s="82"/>
      <c r="C52" s="83"/>
      <c r="D52" s="83"/>
      <c r="E52" s="83"/>
      <c r="F52" s="98" t="s">
        <v>15</v>
      </c>
      <c r="G52" s="126"/>
      <c r="H52" s="234"/>
      <c r="I52" s="401"/>
      <c r="J52" s="10"/>
    </row>
    <row r="53" spans="1:10" ht="12" thickBot="1" x14ac:dyDescent="0.25">
      <c r="A53" s="121">
        <f t="shared" si="0"/>
        <v>43</v>
      </c>
      <c r="B53" s="135" t="s">
        <v>439</v>
      </c>
      <c r="C53" s="90">
        <f>SUM(C39:C51)</f>
        <v>103259</v>
      </c>
      <c r="D53" s="90">
        <f>SUM(D39:D51)</f>
        <v>57251</v>
      </c>
      <c r="E53" s="440">
        <f>SUM(E39:E51)</f>
        <v>160510</v>
      </c>
      <c r="F53" s="90" t="s">
        <v>432</v>
      </c>
      <c r="G53" s="130">
        <f>SUM(G39:G52)</f>
        <v>0</v>
      </c>
      <c r="H53" s="297">
        <f>SUM(H39:H52)</f>
        <v>0</v>
      </c>
      <c r="I53" s="379">
        <f>SUM(I39:I52)</f>
        <v>0</v>
      </c>
      <c r="J53" s="10"/>
    </row>
    <row r="54" spans="1:10" ht="12" thickBot="1" x14ac:dyDescent="0.25">
      <c r="A54" s="768">
        <f t="shared" si="0"/>
        <v>44</v>
      </c>
      <c r="B54" s="895" t="s">
        <v>434</v>
      </c>
      <c r="C54" s="246">
        <f>C34+C53</f>
        <v>141027</v>
      </c>
      <c r="D54" s="246">
        <f>D34+D53</f>
        <v>77251</v>
      </c>
      <c r="E54" s="673">
        <f>E34+E53</f>
        <v>218278</v>
      </c>
      <c r="F54" s="247" t="s">
        <v>433</v>
      </c>
      <c r="G54" s="875">
        <f>G34+G53</f>
        <v>141027</v>
      </c>
      <c r="H54" s="674">
        <f>H34+H53</f>
        <v>77251</v>
      </c>
      <c r="I54" s="675">
        <f>I34+I53</f>
        <v>218278</v>
      </c>
      <c r="J54" s="10"/>
    </row>
    <row r="55" spans="1:10" x14ac:dyDescent="0.2">
      <c r="B55" s="140"/>
      <c r="C55" s="139"/>
      <c r="D55" s="139"/>
      <c r="E55" s="139"/>
      <c r="F55" s="139"/>
      <c r="G55" s="139"/>
      <c r="H55" s="146"/>
      <c r="I55" s="146"/>
    </row>
  </sheetData>
  <mergeCells count="12">
    <mergeCell ref="B7:I7"/>
    <mergeCell ref="B4:I4"/>
    <mergeCell ref="B5:I5"/>
    <mergeCell ref="B6:I6"/>
    <mergeCell ref="C1:I1"/>
    <mergeCell ref="A8:A10"/>
    <mergeCell ref="B8:B9"/>
    <mergeCell ref="C8:E8"/>
    <mergeCell ref="F8:F9"/>
    <mergeCell ref="G8:I8"/>
    <mergeCell ref="C9:E9"/>
    <mergeCell ref="G9:I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zoomScale="120" workbookViewId="0">
      <selection activeCell="K16" sqref="K16"/>
    </sheetView>
  </sheetViews>
  <sheetFormatPr defaultColWidth="9.140625" defaultRowHeight="11.25" x14ac:dyDescent="0.2"/>
  <cols>
    <col min="1" max="1" width="4.85546875" style="114" customWidth="1"/>
    <col min="2" max="2" width="36.7109375" style="114" customWidth="1"/>
    <col min="3" max="3" width="7" style="115" customWidth="1"/>
    <col min="4" max="5" width="9.5703125" style="115" customWidth="1"/>
    <col min="6" max="6" width="38" style="115" customWidth="1"/>
    <col min="7" max="7" width="7.5703125" style="115" customWidth="1"/>
    <col min="8" max="8" width="10.140625" style="232" customWidth="1"/>
    <col min="9" max="9" width="9.42578125" style="232" customWidth="1"/>
    <col min="10" max="10" width="9.140625" style="114"/>
    <col min="11" max="16384" width="9.140625" style="10"/>
  </cols>
  <sheetData>
    <row r="1" spans="1:10" ht="12.75" customHeight="1" x14ac:dyDescent="0.2">
      <c r="B1" s="1629" t="s">
        <v>1403</v>
      </c>
      <c r="C1" s="1559"/>
      <c r="D1" s="1559"/>
      <c r="E1" s="1559"/>
      <c r="F1" s="1559"/>
      <c r="G1" s="1559"/>
      <c r="H1" s="1559"/>
      <c r="I1" s="1559"/>
    </row>
    <row r="2" spans="1:10" x14ac:dyDescent="0.2">
      <c r="I2" s="292"/>
    </row>
    <row r="3" spans="1:10" x14ac:dyDescent="0.2">
      <c r="I3" s="292"/>
    </row>
    <row r="4" spans="1:10" s="86" customFormat="1" ht="12.75" customHeight="1" x14ac:dyDescent="0.2">
      <c r="A4" s="1407" t="s">
        <v>77</v>
      </c>
      <c r="B4" s="1407"/>
      <c r="C4" s="1407"/>
      <c r="D4" s="1407"/>
      <c r="E4" s="1407"/>
      <c r="F4" s="1407"/>
      <c r="G4" s="1407"/>
      <c r="H4" s="1407"/>
      <c r="I4" s="1407"/>
      <c r="J4" s="117"/>
    </row>
    <row r="5" spans="1:10" s="86" customFormat="1" ht="12.75" customHeight="1" x14ac:dyDescent="0.2">
      <c r="A5" s="1531" t="s">
        <v>697</v>
      </c>
      <c r="B5" s="1531"/>
      <c r="C5" s="1531"/>
      <c r="D5" s="1531"/>
      <c r="E5" s="1531"/>
      <c r="F5" s="1531"/>
      <c r="G5" s="1531"/>
      <c r="H5" s="1531"/>
      <c r="I5" s="1531"/>
      <c r="J5" s="117"/>
    </row>
    <row r="6" spans="1:10" s="86" customFormat="1" ht="12.75" customHeight="1" x14ac:dyDescent="0.2">
      <c r="A6" s="1407" t="s">
        <v>1321</v>
      </c>
      <c r="B6" s="1407"/>
      <c r="C6" s="1407"/>
      <c r="D6" s="1407"/>
      <c r="E6" s="1407"/>
      <c r="F6" s="1407"/>
      <c r="G6" s="1407"/>
      <c r="H6" s="1407"/>
      <c r="I6" s="1407"/>
      <c r="J6" s="117"/>
    </row>
    <row r="7" spans="1:10" s="86" customFormat="1" x14ac:dyDescent="0.2">
      <c r="A7" s="117"/>
      <c r="B7" s="1408" t="s">
        <v>297</v>
      </c>
      <c r="C7" s="1408"/>
      <c r="D7" s="1408"/>
      <c r="E7" s="1408"/>
      <c r="F7" s="1408"/>
      <c r="G7" s="1408"/>
      <c r="H7" s="1408"/>
      <c r="I7" s="1408"/>
      <c r="J7" s="117"/>
    </row>
    <row r="8" spans="1:10" s="86" customFormat="1" ht="12.75" customHeight="1" x14ac:dyDescent="0.2">
      <c r="A8" s="1413" t="s">
        <v>56</v>
      </c>
      <c r="B8" s="1414" t="s">
        <v>57</v>
      </c>
      <c r="C8" s="1431" t="s">
        <v>58</v>
      </c>
      <c r="D8" s="1431"/>
      <c r="E8" s="1432"/>
      <c r="F8" s="1530" t="s">
        <v>59</v>
      </c>
      <c r="G8" s="1410" t="s">
        <v>60</v>
      </c>
      <c r="H8" s="1411"/>
      <c r="I8" s="1411"/>
      <c r="J8" s="519"/>
    </row>
    <row r="9" spans="1:10" s="86" customFormat="1" ht="12.75" customHeight="1" x14ac:dyDescent="0.2">
      <c r="A9" s="1413"/>
      <c r="B9" s="1414"/>
      <c r="C9" s="1404" t="s">
        <v>1136</v>
      </c>
      <c r="D9" s="1404"/>
      <c r="E9" s="1405"/>
      <c r="F9" s="1530"/>
      <c r="G9" s="1404" t="s">
        <v>1136</v>
      </c>
      <c r="H9" s="1404"/>
      <c r="I9" s="1404"/>
      <c r="J9" s="519"/>
    </row>
    <row r="10" spans="1:10" s="87" customFormat="1" ht="36.6" customHeight="1" x14ac:dyDescent="0.2">
      <c r="A10" s="1413"/>
      <c r="B10" s="118" t="s">
        <v>61</v>
      </c>
      <c r="C10" s="94" t="s">
        <v>62</v>
      </c>
      <c r="D10" s="94" t="s">
        <v>63</v>
      </c>
      <c r="E10" s="119" t="s">
        <v>64</v>
      </c>
      <c r="F10" s="120" t="s">
        <v>65</v>
      </c>
      <c r="G10" s="94" t="s">
        <v>62</v>
      </c>
      <c r="H10" s="293" t="s">
        <v>63</v>
      </c>
      <c r="I10" s="293" t="s">
        <v>64</v>
      </c>
      <c r="J10" s="520"/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123"/>
      <c r="H11" s="298"/>
      <c r="I11" s="398"/>
      <c r="J11" s="147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/>
      <c r="F12" s="98" t="s">
        <v>208</v>
      </c>
      <c r="G12" s="227">
        <v>88483</v>
      </c>
      <c r="H12" s="227">
        <v>171542</v>
      </c>
      <c r="I12" s="399">
        <f>SUM(G12:H12)</f>
        <v>260025</v>
      </c>
      <c r="J12" s="147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/>
      <c r="F13" s="98" t="s">
        <v>209</v>
      </c>
      <c r="G13" s="227">
        <v>16455</v>
      </c>
      <c r="H13" s="227">
        <v>31663</v>
      </c>
      <c r="I13" s="399">
        <f>SUM(G13:H13)</f>
        <v>48118</v>
      </c>
      <c r="J13" s="147"/>
    </row>
    <row r="14" spans="1:10" x14ac:dyDescent="0.2">
      <c r="A14" s="121">
        <f t="shared" si="0"/>
        <v>4</v>
      </c>
      <c r="B14" s="124" t="s">
        <v>185</v>
      </c>
      <c r="C14" s="239">
        <f>'tám, végl. pe.átv  '!C73</f>
        <v>20420</v>
      </c>
      <c r="D14" s="239">
        <f>'tám, végl. pe.átv  '!D73</f>
        <v>243</v>
      </c>
      <c r="E14" s="227">
        <f>SUM(C14:D14)</f>
        <v>20663</v>
      </c>
      <c r="F14" s="98" t="s">
        <v>210</v>
      </c>
      <c r="G14" s="227">
        <v>55936</v>
      </c>
      <c r="H14" s="227">
        <v>91031</v>
      </c>
      <c r="I14" s="399">
        <f>SUM(G14:H14)</f>
        <v>146967</v>
      </c>
      <c r="J14" s="147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314"/>
      <c r="H15" s="314"/>
      <c r="I15" s="400"/>
      <c r="J15" s="147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/>
      <c r="F16" s="98" t="s">
        <v>28</v>
      </c>
      <c r="G16" s="126"/>
      <c r="H16" s="234"/>
      <c r="I16" s="401"/>
      <c r="J16" s="147"/>
    </row>
    <row r="17" spans="1:10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126"/>
      <c r="H17" s="234"/>
      <c r="I17" s="401"/>
      <c r="J17" s="147"/>
    </row>
    <row r="18" spans="1:10" x14ac:dyDescent="0.2">
      <c r="A18" s="121">
        <f t="shared" si="0"/>
        <v>8</v>
      </c>
      <c r="B18" s="124" t="s">
        <v>39</v>
      </c>
      <c r="C18" s="82"/>
      <c r="D18" s="82"/>
      <c r="E18" s="83"/>
      <c r="F18" s="98" t="s">
        <v>437</v>
      </c>
      <c r="G18" s="126"/>
      <c r="H18" s="234"/>
      <c r="I18" s="401"/>
      <c r="J18" s="147"/>
    </row>
    <row r="19" spans="1:10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436</v>
      </c>
      <c r="G19" s="126"/>
      <c r="H19" s="234"/>
      <c r="I19" s="401"/>
      <c r="J19" s="147"/>
    </row>
    <row r="20" spans="1:10" x14ac:dyDescent="0.2">
      <c r="A20" s="121">
        <f t="shared" si="0"/>
        <v>10</v>
      </c>
      <c r="B20" s="80" t="s">
        <v>187</v>
      </c>
      <c r="C20" s="294">
        <v>22225</v>
      </c>
      <c r="D20" s="294">
        <v>77257</v>
      </c>
      <c r="E20" s="125">
        <f>SUM(C20:D20)</f>
        <v>99482</v>
      </c>
      <c r="F20" s="98" t="s">
        <v>890</v>
      </c>
      <c r="G20" s="126"/>
      <c r="H20" s="234"/>
      <c r="I20" s="401"/>
      <c r="J20" s="147"/>
    </row>
    <row r="21" spans="1:10" x14ac:dyDescent="0.2">
      <c r="A21" s="121">
        <f t="shared" si="0"/>
        <v>11</v>
      </c>
      <c r="C21" s="125"/>
      <c r="D21" s="125"/>
      <c r="E21" s="125"/>
      <c r="F21" s="98" t="s">
        <v>429</v>
      </c>
      <c r="G21" s="126"/>
      <c r="H21" s="234"/>
      <c r="I21" s="401"/>
      <c r="J21" s="147"/>
    </row>
    <row r="22" spans="1:10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430</v>
      </c>
      <c r="G22" s="126"/>
      <c r="H22" s="234"/>
      <c r="I22" s="401"/>
      <c r="J22" s="521"/>
    </row>
    <row r="23" spans="1:10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126"/>
      <c r="H23" s="234"/>
      <c r="I23" s="401"/>
      <c r="J23" s="521"/>
    </row>
    <row r="24" spans="1:10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89">
        <f>SUM(G12:G22)</f>
        <v>160874</v>
      </c>
      <c r="H24" s="295">
        <f>SUM(H12:H22)</f>
        <v>294236</v>
      </c>
      <c r="I24" s="402">
        <f>SUM(I12:I22)</f>
        <v>455110</v>
      </c>
      <c r="J24" s="147"/>
    </row>
    <row r="25" spans="1:10" x14ac:dyDescent="0.2">
      <c r="A25" s="121">
        <f t="shared" si="0"/>
        <v>15</v>
      </c>
      <c r="B25" s="124" t="s">
        <v>45</v>
      </c>
      <c r="C25" s="125">
        <v>0</v>
      </c>
      <c r="D25" s="125"/>
      <c r="E25" s="125">
        <f>D25+C25</f>
        <v>0</v>
      </c>
      <c r="F25" s="128"/>
      <c r="G25" s="126"/>
      <c r="H25" s="234"/>
      <c r="I25" s="401"/>
      <c r="J25" s="147"/>
    </row>
    <row r="26" spans="1:10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130"/>
      <c r="H26" s="297"/>
      <c r="I26" s="401"/>
      <c r="J26" s="147"/>
    </row>
    <row r="27" spans="1:10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266</v>
      </c>
      <c r="G27" s="126">
        <f>'felhalm. kiad.  '!H116</f>
        <v>0</v>
      </c>
      <c r="H27" s="234">
        <f>'felhalm. kiad.  '!I115</f>
        <v>3000</v>
      </c>
      <c r="I27" s="401">
        <f>SUM(G27:H27)</f>
        <v>3000</v>
      </c>
      <c r="J27" s="147"/>
    </row>
    <row r="28" spans="1:10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126"/>
      <c r="H28" s="234"/>
      <c r="I28" s="401"/>
      <c r="J28" s="147"/>
    </row>
    <row r="29" spans="1:10" x14ac:dyDescent="0.2">
      <c r="A29" s="121">
        <f t="shared" si="0"/>
        <v>19</v>
      </c>
      <c r="B29" s="114" t="s">
        <v>50</v>
      </c>
      <c r="C29" s="83"/>
      <c r="D29" s="83"/>
      <c r="E29" s="83"/>
      <c r="F29" s="98" t="s">
        <v>32</v>
      </c>
      <c r="G29" s="126"/>
      <c r="H29" s="234"/>
      <c r="I29" s="401"/>
      <c r="J29" s="147"/>
    </row>
    <row r="30" spans="1:10" s="88" customFormat="1" x14ac:dyDescent="0.2">
      <c r="A30" s="121">
        <f t="shared" si="0"/>
        <v>20</v>
      </c>
      <c r="B30" s="114" t="s">
        <v>48</v>
      </c>
      <c r="C30" s="83"/>
      <c r="D30" s="83"/>
      <c r="E30" s="83"/>
      <c r="F30" s="98" t="s">
        <v>438</v>
      </c>
      <c r="G30" s="126"/>
      <c r="H30" s="234"/>
      <c r="I30" s="401"/>
      <c r="J30" s="521"/>
    </row>
    <row r="31" spans="1:10" x14ac:dyDescent="0.2">
      <c r="A31" s="121">
        <f t="shared" si="0"/>
        <v>21</v>
      </c>
      <c r="C31" s="83"/>
      <c r="D31" s="83"/>
      <c r="E31" s="83"/>
      <c r="F31" s="98" t="s">
        <v>435</v>
      </c>
      <c r="G31" s="126"/>
      <c r="H31" s="234"/>
      <c r="I31" s="401"/>
      <c r="J31" s="147"/>
    </row>
    <row r="32" spans="1:10" s="11" customFormat="1" x14ac:dyDescent="0.2">
      <c r="A32" s="121">
        <f t="shared" si="0"/>
        <v>22</v>
      </c>
      <c r="B32" s="131" t="s">
        <v>52</v>
      </c>
      <c r="C32" s="766">
        <f>C14+C20</f>
        <v>42645</v>
      </c>
      <c r="D32" s="766">
        <f>D14+D20</f>
        <v>77500</v>
      </c>
      <c r="E32" s="766">
        <f>E14+E20</f>
        <v>120145</v>
      </c>
      <c r="F32" s="98" t="s">
        <v>431</v>
      </c>
      <c r="G32" s="115"/>
      <c r="H32" s="232"/>
      <c r="I32" s="401"/>
      <c r="J32" s="431"/>
    </row>
    <row r="33" spans="1:10" x14ac:dyDescent="0.2">
      <c r="A33" s="121">
        <f t="shared" si="0"/>
        <v>23</v>
      </c>
      <c r="B33" s="127" t="s">
        <v>67</v>
      </c>
      <c r="C33" s="89">
        <f>C16+C24+C25+C26+C27+C30</f>
        <v>0</v>
      </c>
      <c r="D33" s="89">
        <f t="shared" ref="D33:E33" si="1">D16+D24+D25+D26+D27+D30</f>
        <v>0</v>
      </c>
      <c r="E33" s="89">
        <f t="shared" si="1"/>
        <v>0</v>
      </c>
      <c r="F33" s="1014" t="s">
        <v>68</v>
      </c>
      <c r="G33" s="89">
        <f>SUM(G27:G32)</f>
        <v>0</v>
      </c>
      <c r="H33" s="295">
        <f>SUM(H27:H32)</f>
        <v>3000</v>
      </c>
      <c r="I33" s="402">
        <f>SUM(I27:I31)</f>
        <v>3000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42645</v>
      </c>
      <c r="D34" s="130">
        <f>SUM(D32:D33)</f>
        <v>77500</v>
      </c>
      <c r="E34" s="130">
        <f>SUM(C34:D34)</f>
        <v>120145</v>
      </c>
      <c r="F34" s="136" t="s">
        <v>69</v>
      </c>
      <c r="G34" s="130">
        <f>G24+G33</f>
        <v>160874</v>
      </c>
      <c r="H34" s="297">
        <f>H24+H33</f>
        <v>297236</v>
      </c>
      <c r="I34" s="379">
        <f>I24+I33</f>
        <v>458110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126"/>
      <c r="H35" s="234"/>
      <c r="I35" s="401"/>
      <c r="J35" s="147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89"/>
      <c r="H36" s="295"/>
      <c r="I36" s="402"/>
      <c r="J36" s="147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126"/>
      <c r="H37" s="234"/>
      <c r="I37" s="401"/>
      <c r="J37" s="431"/>
    </row>
    <row r="38" spans="1:10" s="11" customFormat="1" x14ac:dyDescent="0.2">
      <c r="A38" s="665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130"/>
      <c r="H38" s="297"/>
      <c r="I38" s="379"/>
      <c r="J38" s="431"/>
    </row>
    <row r="39" spans="1:10" s="11" customFormat="1" x14ac:dyDescent="0.2">
      <c r="A39" s="121">
        <f t="shared" si="0"/>
        <v>29</v>
      </c>
      <c r="B39" s="95" t="s">
        <v>665</v>
      </c>
      <c r="C39" s="90"/>
      <c r="D39" s="90"/>
      <c r="E39" s="90"/>
      <c r="F39" s="138" t="s">
        <v>4</v>
      </c>
      <c r="G39" s="139"/>
      <c r="I39" s="404"/>
      <c r="J39" s="431"/>
    </row>
    <row r="40" spans="1:10" s="11" customFormat="1" x14ac:dyDescent="0.2">
      <c r="A40" s="121">
        <f t="shared" si="0"/>
        <v>30</v>
      </c>
      <c r="B40" s="80" t="s">
        <v>920</v>
      </c>
      <c r="C40" s="90"/>
      <c r="D40" s="90"/>
      <c r="E40" s="90"/>
      <c r="F40" s="456" t="s">
        <v>3</v>
      </c>
      <c r="G40" s="130"/>
      <c r="H40" s="297"/>
      <c r="I40" s="379"/>
      <c r="J40" s="431"/>
    </row>
    <row r="41" spans="1:10" x14ac:dyDescent="0.2">
      <c r="A41" s="121">
        <f t="shared" si="0"/>
        <v>31</v>
      </c>
      <c r="B41" s="82" t="s">
        <v>667</v>
      </c>
      <c r="C41" s="142"/>
      <c r="D41" s="142"/>
      <c r="E41" s="142"/>
      <c r="F41" s="98" t="s">
        <v>5</v>
      </c>
      <c r="G41" s="130"/>
      <c r="H41" s="297"/>
      <c r="I41" s="379"/>
      <c r="J41" s="147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39"/>
      <c r="H42" s="146"/>
      <c r="I42" s="379"/>
      <c r="J42" s="147"/>
    </row>
    <row r="43" spans="1:10" x14ac:dyDescent="0.2">
      <c r="A43" s="121">
        <f t="shared" si="0"/>
        <v>33</v>
      </c>
      <c r="B43" s="454" t="s">
        <v>201</v>
      </c>
      <c r="C43" s="83">
        <v>0</v>
      </c>
      <c r="D43" s="83"/>
      <c r="E43" s="83">
        <f>C43+D43</f>
        <v>0</v>
      </c>
      <c r="F43" s="98" t="s">
        <v>7</v>
      </c>
      <c r="G43" s="139"/>
      <c r="H43" s="146"/>
      <c r="I43" s="379"/>
      <c r="J43" s="147"/>
    </row>
    <row r="44" spans="1:10" x14ac:dyDescent="0.2">
      <c r="A44" s="121">
        <f t="shared" si="0"/>
        <v>34</v>
      </c>
      <c r="B44" s="454" t="s">
        <v>917</v>
      </c>
      <c r="C44" s="83"/>
      <c r="D44" s="83"/>
      <c r="E44" s="83"/>
      <c r="F44" s="98"/>
      <c r="G44" s="139"/>
      <c r="H44" s="146"/>
      <c r="I44" s="379"/>
      <c r="J44" s="147"/>
    </row>
    <row r="45" spans="1:10" x14ac:dyDescent="0.2">
      <c r="A45" s="121">
        <f t="shared" si="0"/>
        <v>35</v>
      </c>
      <c r="B45" s="83" t="s">
        <v>668</v>
      </c>
      <c r="C45" s="83"/>
      <c r="D45" s="83"/>
      <c r="E45" s="83"/>
      <c r="F45" s="98" t="s">
        <v>8</v>
      </c>
      <c r="G45" s="130"/>
      <c r="H45" s="297"/>
      <c r="I45" s="401"/>
      <c r="J45" s="147"/>
    </row>
    <row r="46" spans="1:10" x14ac:dyDescent="0.2">
      <c r="A46" s="121">
        <f t="shared" si="0"/>
        <v>36</v>
      </c>
      <c r="B46" s="83" t="s">
        <v>669</v>
      </c>
      <c r="C46" s="90"/>
      <c r="D46" s="90"/>
      <c r="E46" s="90"/>
      <c r="F46" s="98" t="s">
        <v>9</v>
      </c>
      <c r="G46" s="130"/>
      <c r="H46" s="297"/>
      <c r="I46" s="401"/>
      <c r="J46" s="147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126"/>
      <c r="H47" s="234"/>
      <c r="I47" s="401"/>
      <c r="J47" s="147"/>
    </row>
    <row r="48" spans="1:10" x14ac:dyDescent="0.2">
      <c r="A48" s="121">
        <f t="shared" si="0"/>
        <v>38</v>
      </c>
      <c r="B48" s="454" t="s">
        <v>205</v>
      </c>
      <c r="C48" s="227">
        <f>G24-(C32+C43)</f>
        <v>118229</v>
      </c>
      <c r="D48" s="227">
        <f t="shared" ref="D48:E48" si="2">H24-(D32+D43)</f>
        <v>216736</v>
      </c>
      <c r="E48" s="227">
        <f t="shared" si="2"/>
        <v>334965</v>
      </c>
      <c r="F48" s="98" t="s">
        <v>11</v>
      </c>
      <c r="G48" s="126"/>
      <c r="H48" s="234"/>
      <c r="I48" s="401"/>
      <c r="J48" s="147"/>
    </row>
    <row r="49" spans="1:10" x14ac:dyDescent="0.2">
      <c r="A49" s="121">
        <f t="shared" si="0"/>
        <v>39</v>
      </c>
      <c r="B49" s="454" t="s">
        <v>206</v>
      </c>
      <c r="C49" s="83">
        <f>G33-C33</f>
        <v>0</v>
      </c>
      <c r="D49" s="83">
        <f t="shared" ref="D49:E49" si="3">H33-D33</f>
        <v>3000</v>
      </c>
      <c r="E49" s="83">
        <f t="shared" si="3"/>
        <v>3000</v>
      </c>
      <c r="F49" s="98" t="s">
        <v>12</v>
      </c>
      <c r="G49" s="126"/>
      <c r="H49" s="234"/>
      <c r="I49" s="401"/>
      <c r="J49" s="147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384"/>
      <c r="F50" s="98" t="s">
        <v>13</v>
      </c>
      <c r="G50" s="126"/>
      <c r="H50" s="234"/>
      <c r="I50" s="401"/>
      <c r="J50" s="147"/>
    </row>
    <row r="51" spans="1:10" x14ac:dyDescent="0.2">
      <c r="A51" s="121">
        <f t="shared" si="0"/>
        <v>41</v>
      </c>
      <c r="B51" s="82"/>
      <c r="C51" s="83"/>
      <c r="D51" s="83"/>
      <c r="E51" s="384"/>
      <c r="F51" s="98" t="s">
        <v>14</v>
      </c>
      <c r="G51" s="126"/>
      <c r="H51" s="234"/>
      <c r="I51" s="401"/>
      <c r="J51" s="147"/>
    </row>
    <row r="52" spans="1:10" x14ac:dyDescent="0.2">
      <c r="A52" s="121">
        <f t="shared" si="0"/>
        <v>42</v>
      </c>
      <c r="B52" s="82"/>
      <c r="C52" s="83"/>
      <c r="D52" s="83"/>
      <c r="E52" s="384"/>
      <c r="F52" s="98" t="s">
        <v>15</v>
      </c>
      <c r="G52" s="126"/>
      <c r="H52" s="234"/>
      <c r="I52" s="401"/>
      <c r="J52" s="147"/>
    </row>
    <row r="53" spans="1:10" ht="12" thickBot="1" x14ac:dyDescent="0.25">
      <c r="A53" s="121">
        <f t="shared" si="0"/>
        <v>43</v>
      </c>
      <c r="B53" s="135" t="s">
        <v>439</v>
      </c>
      <c r="C53" s="90">
        <f>SUM(C39:C51)</f>
        <v>118229</v>
      </c>
      <c r="D53" s="90">
        <f>SUM(D39:D51)</f>
        <v>219736</v>
      </c>
      <c r="E53" s="440">
        <f>SUM(E39:E51)</f>
        <v>337965</v>
      </c>
      <c r="F53" s="99" t="s">
        <v>432</v>
      </c>
      <c r="G53" s="130">
        <f>SUM(G39:G52)</f>
        <v>0</v>
      </c>
      <c r="H53" s="297">
        <f>SUM(H39:H52)</f>
        <v>0</v>
      </c>
      <c r="I53" s="379">
        <f>SUM(I39:I52)</f>
        <v>0</v>
      </c>
      <c r="J53" s="147"/>
    </row>
    <row r="54" spans="1:10" ht="12" thickBot="1" x14ac:dyDescent="0.25">
      <c r="A54" s="897">
        <f t="shared" si="0"/>
        <v>44</v>
      </c>
      <c r="B54" s="428" t="s">
        <v>434</v>
      </c>
      <c r="C54" s="874">
        <f>C34+C53</f>
        <v>160874</v>
      </c>
      <c r="D54" s="246">
        <f>D34+D53</f>
        <v>297236</v>
      </c>
      <c r="E54" s="673">
        <f>E34+E53</f>
        <v>458110</v>
      </c>
      <c r="F54" s="428" t="s">
        <v>433</v>
      </c>
      <c r="G54" s="875">
        <f>G34+G53</f>
        <v>160874</v>
      </c>
      <c r="H54" s="894">
        <f>H34+H53</f>
        <v>297236</v>
      </c>
      <c r="I54" s="772">
        <f>I34+I53</f>
        <v>458110</v>
      </c>
      <c r="J54" s="233"/>
    </row>
    <row r="55" spans="1:10" x14ac:dyDescent="0.2">
      <c r="B55" s="140"/>
      <c r="C55" s="139"/>
      <c r="D55" s="139"/>
      <c r="E55" s="139"/>
      <c r="F55" s="139"/>
      <c r="G55" s="139"/>
      <c r="H55" s="146"/>
      <c r="I55" s="146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R31" sqref="R3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21" customWidth="1"/>
    <col min="5" max="5" width="10.42578125" style="321" bestFit="1" customWidth="1"/>
    <col min="6" max="9" width="9.7109375" style="321" customWidth="1"/>
    <col min="10" max="10" width="10.140625" style="321" customWidth="1"/>
    <col min="11" max="14" width="9.7109375" style="321" customWidth="1"/>
    <col min="15" max="15" width="11.5703125" style="321" customWidth="1"/>
    <col min="16" max="16" width="10.140625" style="16" customWidth="1"/>
    <col min="17" max="16384" width="9.140625" style="16"/>
  </cols>
  <sheetData>
    <row r="1" spans="1:33" ht="12.75" customHeight="1" x14ac:dyDescent="0.25">
      <c r="B1" s="1632" t="s">
        <v>1357</v>
      </c>
      <c r="C1" s="1632"/>
      <c r="D1" s="1632"/>
      <c r="E1" s="1632"/>
      <c r="F1" s="1632"/>
      <c r="G1" s="1632"/>
      <c r="H1" s="1632"/>
      <c r="I1" s="1632"/>
      <c r="J1" s="1632"/>
      <c r="K1" s="1632"/>
      <c r="L1" s="1632"/>
      <c r="M1" s="1632"/>
      <c r="N1" s="1632"/>
      <c r="O1" s="1632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800"/>
      <c r="AG1" s="800"/>
    </row>
    <row r="2" spans="1:33" ht="14.1" customHeight="1" x14ac:dyDescent="0.25">
      <c r="A2" s="31"/>
      <c r="B2" s="1630" t="s">
        <v>86</v>
      </c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1630"/>
    </row>
    <row r="3" spans="1:33" ht="14.1" customHeight="1" x14ac:dyDescent="0.25">
      <c r="A3" s="31"/>
      <c r="B3" s="1630" t="s">
        <v>1330</v>
      </c>
      <c r="C3" s="1630"/>
      <c r="D3" s="1630"/>
      <c r="E3" s="1630"/>
      <c r="F3" s="1630"/>
      <c r="G3" s="1630"/>
      <c r="H3" s="1630"/>
      <c r="I3" s="1630"/>
      <c r="J3" s="1630"/>
      <c r="K3" s="1630"/>
      <c r="L3" s="1630"/>
      <c r="M3" s="1630"/>
      <c r="N3" s="1630"/>
      <c r="O3" s="1630"/>
    </row>
    <row r="4" spans="1:33" ht="14.1" customHeight="1" x14ac:dyDescent="0.25">
      <c r="A4" s="31"/>
      <c r="B4" s="1337"/>
      <c r="C4" s="1338"/>
      <c r="D4" s="1338"/>
      <c r="E4" s="1338"/>
      <c r="F4" s="1338"/>
      <c r="G4" s="1338"/>
      <c r="H4" s="1338"/>
      <c r="I4" s="1338"/>
      <c r="J4" s="1338"/>
      <c r="K4" s="1338"/>
      <c r="L4" s="1338"/>
      <c r="M4" s="1338"/>
      <c r="N4" s="1338"/>
      <c r="O4" s="1338"/>
    </row>
    <row r="5" spans="1:33" ht="15" customHeight="1" x14ac:dyDescent="0.25">
      <c r="A5" s="1631"/>
      <c r="B5" s="1339" t="s">
        <v>57</v>
      </c>
      <c r="C5" s="1340" t="s">
        <v>58</v>
      </c>
      <c r="D5" s="1340" t="s">
        <v>59</v>
      </c>
      <c r="E5" s="1340" t="s">
        <v>60</v>
      </c>
      <c r="F5" s="1340" t="s">
        <v>461</v>
      </c>
      <c r="G5" s="1340" t="s">
        <v>462</v>
      </c>
      <c r="H5" s="1340" t="s">
        <v>463</v>
      </c>
      <c r="I5" s="1340" t="s">
        <v>580</v>
      </c>
      <c r="J5" s="1340" t="s">
        <v>588</v>
      </c>
      <c r="K5" s="1340" t="s">
        <v>589</v>
      </c>
      <c r="L5" s="1340" t="s">
        <v>590</v>
      </c>
      <c r="M5" s="1340" t="s">
        <v>591</v>
      </c>
      <c r="N5" s="1340" t="s">
        <v>592</v>
      </c>
      <c r="O5" s="1340" t="s">
        <v>593</v>
      </c>
    </row>
    <row r="6" spans="1:33" ht="12.75" customHeight="1" x14ac:dyDescent="0.25">
      <c r="A6" s="1631"/>
      <c r="B6" s="1336" t="s">
        <v>85</v>
      </c>
      <c r="C6" s="1341" t="s">
        <v>594</v>
      </c>
      <c r="D6" s="1341" t="s">
        <v>595</v>
      </c>
      <c r="E6" s="1341" t="s">
        <v>596</v>
      </c>
      <c r="F6" s="1341" t="s">
        <v>597</v>
      </c>
      <c r="G6" s="1341" t="s">
        <v>598</v>
      </c>
      <c r="H6" s="1341" t="s">
        <v>599</v>
      </c>
      <c r="I6" s="1341" t="s">
        <v>600</v>
      </c>
      <c r="J6" s="1341" t="s">
        <v>601</v>
      </c>
      <c r="K6" s="1341" t="s">
        <v>602</v>
      </c>
      <c r="L6" s="1341" t="s">
        <v>603</v>
      </c>
      <c r="M6" s="1341" t="s">
        <v>604</v>
      </c>
      <c r="N6" s="1341" t="s">
        <v>605</v>
      </c>
      <c r="O6" s="1341" t="s">
        <v>518</v>
      </c>
    </row>
    <row r="7" spans="1:33" s="31" customFormat="1" ht="12.75" customHeight="1" x14ac:dyDescent="0.25">
      <c r="A7" s="21" t="s">
        <v>470</v>
      </c>
      <c r="B7" s="33" t="s">
        <v>634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</row>
    <row r="8" spans="1:33" s="31" customFormat="1" ht="15.75" customHeight="1" x14ac:dyDescent="0.25">
      <c r="A8" s="21" t="s">
        <v>478</v>
      </c>
      <c r="B8" s="31" t="s">
        <v>628</v>
      </c>
      <c r="C8" s="221">
        <f>O8/12</f>
        <v>48057.333333333336</v>
      </c>
      <c r="D8" s="221">
        <f>C8</f>
        <v>48057.333333333336</v>
      </c>
      <c r="E8" s="221">
        <f t="shared" ref="E8:N8" si="0">D8</f>
        <v>48057.333333333336</v>
      </c>
      <c r="F8" s="221">
        <f t="shared" si="0"/>
        <v>48057.333333333336</v>
      </c>
      <c r="G8" s="221">
        <f t="shared" si="0"/>
        <v>48057.333333333336</v>
      </c>
      <c r="H8" s="221">
        <f t="shared" si="0"/>
        <v>48057.333333333336</v>
      </c>
      <c r="I8" s="221">
        <f t="shared" si="0"/>
        <v>48057.333333333336</v>
      </c>
      <c r="J8" s="221">
        <f t="shared" si="0"/>
        <v>48057.333333333336</v>
      </c>
      <c r="K8" s="221">
        <f t="shared" si="0"/>
        <v>48057.333333333336</v>
      </c>
      <c r="L8" s="221">
        <f t="shared" si="0"/>
        <v>48057.333333333336</v>
      </c>
      <c r="M8" s="221">
        <f t="shared" si="0"/>
        <v>48057.333333333336</v>
      </c>
      <c r="N8" s="221">
        <f t="shared" si="0"/>
        <v>48057.333333333336</v>
      </c>
      <c r="O8" s="221">
        <f>Össz.önkor.mérleg.!E11</f>
        <v>576688</v>
      </c>
      <c r="P8" s="34"/>
    </row>
    <row r="9" spans="1:33" s="31" customFormat="1" ht="16.5" customHeight="1" x14ac:dyDescent="0.25">
      <c r="A9" s="21" t="s">
        <v>479</v>
      </c>
      <c r="B9" s="31" t="s">
        <v>629</v>
      </c>
      <c r="C9" s="221">
        <f>O9/12</f>
        <v>14092.5</v>
      </c>
      <c r="D9" s="221">
        <f>C9</f>
        <v>14092.5</v>
      </c>
      <c r="E9" s="221">
        <f t="shared" ref="E9:N9" si="1">D9</f>
        <v>14092.5</v>
      </c>
      <c r="F9" s="221">
        <f t="shared" si="1"/>
        <v>14092.5</v>
      </c>
      <c r="G9" s="221">
        <f t="shared" si="1"/>
        <v>14092.5</v>
      </c>
      <c r="H9" s="221">
        <f t="shared" si="1"/>
        <v>14092.5</v>
      </c>
      <c r="I9" s="221">
        <f t="shared" si="1"/>
        <v>14092.5</v>
      </c>
      <c r="J9" s="221">
        <f t="shared" si="1"/>
        <v>14092.5</v>
      </c>
      <c r="K9" s="221">
        <f t="shared" si="1"/>
        <v>14092.5</v>
      </c>
      <c r="L9" s="221">
        <f t="shared" si="1"/>
        <v>14092.5</v>
      </c>
      <c r="M9" s="221">
        <f t="shared" si="1"/>
        <v>14092.5</v>
      </c>
      <c r="N9" s="221">
        <f t="shared" si="1"/>
        <v>14092.5</v>
      </c>
      <c r="O9" s="221">
        <f>Össz.önkor.mérleg.!E13</f>
        <v>169110</v>
      </c>
      <c r="P9" s="34"/>
    </row>
    <row r="10" spans="1:33" s="31" customFormat="1" ht="15.75" customHeight="1" x14ac:dyDescent="0.25">
      <c r="A10" s="21" t="s">
        <v>480</v>
      </c>
      <c r="B10" s="31" t="s">
        <v>444</v>
      </c>
      <c r="C10" s="221">
        <f>O10/12</f>
        <v>63425</v>
      </c>
      <c r="D10" s="221">
        <f>C10</f>
        <v>63425</v>
      </c>
      <c r="E10" s="221">
        <f t="shared" ref="E10:N10" si="2">D10</f>
        <v>63425</v>
      </c>
      <c r="F10" s="221">
        <f t="shared" si="2"/>
        <v>63425</v>
      </c>
      <c r="G10" s="221">
        <f t="shared" si="2"/>
        <v>63425</v>
      </c>
      <c r="H10" s="221">
        <f t="shared" si="2"/>
        <v>63425</v>
      </c>
      <c r="I10" s="221">
        <f t="shared" si="2"/>
        <v>63425</v>
      </c>
      <c r="J10" s="221">
        <f t="shared" si="2"/>
        <v>63425</v>
      </c>
      <c r="K10" s="221">
        <f t="shared" si="2"/>
        <v>63425</v>
      </c>
      <c r="L10" s="221">
        <f t="shared" si="2"/>
        <v>63425</v>
      </c>
      <c r="M10" s="221">
        <f t="shared" si="2"/>
        <v>63425</v>
      </c>
      <c r="N10" s="221">
        <f t="shared" si="2"/>
        <v>63425</v>
      </c>
      <c r="O10" s="221">
        <f>Össz.önkor.mérleg.!E17</f>
        <v>761100</v>
      </c>
      <c r="P10" s="34"/>
    </row>
    <row r="11" spans="1:33" s="32" customFormat="1" ht="18" customHeight="1" x14ac:dyDescent="0.25">
      <c r="A11" s="21" t="s">
        <v>481</v>
      </c>
      <c r="B11" s="32" t="s">
        <v>630</v>
      </c>
      <c r="C11" s="221">
        <f>O11/12</f>
        <v>98230.916666666672</v>
      </c>
      <c r="D11" s="221">
        <f>C11</f>
        <v>98230.916666666672</v>
      </c>
      <c r="E11" s="221">
        <f t="shared" ref="E11:N11" si="3">D11</f>
        <v>98230.916666666672</v>
      </c>
      <c r="F11" s="221">
        <f t="shared" si="3"/>
        <v>98230.916666666672</v>
      </c>
      <c r="G11" s="221">
        <f t="shared" si="3"/>
        <v>98230.916666666672</v>
      </c>
      <c r="H11" s="221">
        <f t="shared" si="3"/>
        <v>98230.916666666672</v>
      </c>
      <c r="I11" s="221">
        <f t="shared" si="3"/>
        <v>98230.916666666672</v>
      </c>
      <c r="J11" s="221">
        <f t="shared" si="3"/>
        <v>98230.916666666672</v>
      </c>
      <c r="K11" s="221">
        <f t="shared" si="3"/>
        <v>98230.916666666672</v>
      </c>
      <c r="L11" s="221">
        <f t="shared" si="3"/>
        <v>98230.916666666672</v>
      </c>
      <c r="M11" s="221">
        <f t="shared" si="3"/>
        <v>98230.916666666672</v>
      </c>
      <c r="N11" s="221">
        <f t="shared" si="3"/>
        <v>98230.916666666672</v>
      </c>
      <c r="O11" s="221">
        <f>Össz.önkor.mérleg.!E20</f>
        <v>1178771</v>
      </c>
      <c r="P11" s="34"/>
    </row>
    <row r="12" spans="1:33" s="31" customFormat="1" ht="13.5" customHeight="1" x14ac:dyDescent="0.25">
      <c r="A12" s="21" t="s">
        <v>482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>
        <f t="shared" ref="O12:O18" si="4">SUM(C12:N12)</f>
        <v>0</v>
      </c>
      <c r="P12" s="34"/>
    </row>
    <row r="13" spans="1:33" s="31" customFormat="1" ht="15" customHeight="1" x14ac:dyDescent="0.25">
      <c r="A13" s="21" t="s">
        <v>483</v>
      </c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>
        <f t="shared" si="4"/>
        <v>0</v>
      </c>
      <c r="P13" s="34"/>
    </row>
    <row r="14" spans="1:33" s="33" customFormat="1" ht="15.75" customHeight="1" x14ac:dyDescent="0.25">
      <c r="A14" s="21" t="s">
        <v>484</v>
      </c>
      <c r="B14" s="1342" t="s">
        <v>606</v>
      </c>
      <c r="C14" s="1343">
        <f>SUM(C8:C13)</f>
        <v>223805.75</v>
      </c>
      <c r="D14" s="1343">
        <f>SUM(D8:D12)</f>
        <v>223805.75</v>
      </c>
      <c r="E14" s="1343">
        <f>SUM(E8:E12)</f>
        <v>223805.75</v>
      </c>
      <c r="F14" s="1343">
        <f>SUM(F8:F13)</f>
        <v>223805.75</v>
      </c>
      <c r="G14" s="1343">
        <f>SUM(G8:G13)</f>
        <v>223805.75</v>
      </c>
      <c r="H14" s="1343">
        <f t="shared" ref="H14:N14" si="5">SUM(H8:H12)</f>
        <v>223805.75</v>
      </c>
      <c r="I14" s="1343">
        <f t="shared" si="5"/>
        <v>223805.75</v>
      </c>
      <c r="J14" s="1343">
        <f t="shared" si="5"/>
        <v>223805.75</v>
      </c>
      <c r="K14" s="1343">
        <f t="shared" si="5"/>
        <v>223805.75</v>
      </c>
      <c r="L14" s="1343">
        <f t="shared" si="5"/>
        <v>223805.75</v>
      </c>
      <c r="M14" s="1343">
        <f t="shared" si="5"/>
        <v>223805.75</v>
      </c>
      <c r="N14" s="1343">
        <f t="shared" si="5"/>
        <v>223805.75</v>
      </c>
      <c r="O14" s="1344">
        <f>SUM(O8:O13)</f>
        <v>2685669</v>
      </c>
      <c r="P14" s="35"/>
    </row>
    <row r="15" spans="1:33" s="31" customFormat="1" ht="15.75" customHeight="1" x14ac:dyDescent="0.25">
      <c r="A15" s="21" t="s">
        <v>485</v>
      </c>
      <c r="B15" s="31" t="s">
        <v>631</v>
      </c>
      <c r="C15" s="221"/>
      <c r="D15" s="221"/>
      <c r="E15" s="221"/>
      <c r="F15" s="221"/>
      <c r="G15" s="1345"/>
      <c r="H15" s="1345"/>
      <c r="I15" s="1345"/>
      <c r="J15" s="1345"/>
      <c r="K15" s="1345"/>
      <c r="L15" s="1345"/>
      <c r="M15" s="1345"/>
      <c r="N15" s="1345"/>
      <c r="O15" s="223">
        <f>Össz.önkor.mérleg.!E24</f>
        <v>2028</v>
      </c>
      <c r="P15" s="34"/>
    </row>
    <row r="16" spans="1:33" s="31" customFormat="1" ht="15" customHeight="1" x14ac:dyDescent="0.25">
      <c r="A16" s="21" t="s">
        <v>519</v>
      </c>
      <c r="B16" s="31" t="s">
        <v>632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3">
        <v>0</v>
      </c>
      <c r="P16" s="34"/>
    </row>
    <row r="17" spans="1:256" s="31" customFormat="1" ht="16.5" customHeight="1" x14ac:dyDescent="0.25">
      <c r="A17" s="21" t="s">
        <v>520</v>
      </c>
      <c r="B17" s="31" t="s">
        <v>551</v>
      </c>
      <c r="C17" s="221">
        <f>O17/12</f>
        <v>250.5</v>
      </c>
      <c r="D17" s="221">
        <f>C17</f>
        <v>250.5</v>
      </c>
      <c r="E17" s="221">
        <f t="shared" ref="E17:N17" si="6">D17</f>
        <v>250.5</v>
      </c>
      <c r="F17" s="221">
        <f t="shared" si="6"/>
        <v>250.5</v>
      </c>
      <c r="G17" s="221">
        <f t="shared" si="6"/>
        <v>250.5</v>
      </c>
      <c r="H17" s="221">
        <f t="shared" si="6"/>
        <v>250.5</v>
      </c>
      <c r="I17" s="221">
        <f t="shared" si="6"/>
        <v>250.5</v>
      </c>
      <c r="J17" s="221">
        <f t="shared" si="6"/>
        <v>250.5</v>
      </c>
      <c r="K17" s="221">
        <f t="shared" si="6"/>
        <v>250.5</v>
      </c>
      <c r="L17" s="221">
        <f t="shared" si="6"/>
        <v>250.5</v>
      </c>
      <c r="M17" s="221">
        <f t="shared" si="6"/>
        <v>250.5</v>
      </c>
      <c r="N17" s="221">
        <f t="shared" si="6"/>
        <v>250.5</v>
      </c>
      <c r="O17" s="223">
        <f>Össz.önkor.mérleg.!E30</f>
        <v>3006</v>
      </c>
      <c r="P17" s="34"/>
    </row>
    <row r="18" spans="1:256" s="32" customFormat="1" ht="15" customHeight="1" x14ac:dyDescent="0.25">
      <c r="A18" s="21" t="s">
        <v>521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3">
        <f t="shared" si="4"/>
        <v>0</v>
      </c>
      <c r="P18" s="34"/>
    </row>
    <row r="19" spans="1:256" s="37" customFormat="1" ht="16.5" customHeight="1" x14ac:dyDescent="0.25">
      <c r="A19" s="21" t="s">
        <v>522</v>
      </c>
      <c r="B19" s="1346" t="s">
        <v>607</v>
      </c>
      <c r="C19" s="1347">
        <f>SUM(C15:C18)</f>
        <v>250.5</v>
      </c>
      <c r="D19" s="1347">
        <f>SUM(D15:D18)</f>
        <v>250.5</v>
      </c>
      <c r="E19" s="1347">
        <f>SUM(E15:E18)</f>
        <v>250.5</v>
      </c>
      <c r="F19" s="1347">
        <f t="shared" ref="F19:M19" si="7">SUM(F15:F18)</f>
        <v>250.5</v>
      </c>
      <c r="G19" s="1347">
        <f t="shared" si="7"/>
        <v>250.5</v>
      </c>
      <c r="H19" s="1347">
        <f t="shared" si="7"/>
        <v>250.5</v>
      </c>
      <c r="I19" s="1347">
        <f t="shared" si="7"/>
        <v>250.5</v>
      </c>
      <c r="J19" s="1347">
        <f t="shared" si="7"/>
        <v>250.5</v>
      </c>
      <c r="K19" s="1347">
        <f t="shared" si="7"/>
        <v>250.5</v>
      </c>
      <c r="L19" s="1347">
        <f t="shared" si="7"/>
        <v>250.5</v>
      </c>
      <c r="M19" s="1347">
        <f t="shared" si="7"/>
        <v>250.5</v>
      </c>
      <c r="N19" s="1347">
        <f>SUM(N15:N18)</f>
        <v>250.5</v>
      </c>
      <c r="O19" s="1348">
        <f>SUM(O15:O18)</f>
        <v>5034</v>
      </c>
      <c r="P19" s="36"/>
    </row>
    <row r="20" spans="1:256" s="33" customFormat="1" ht="16.5" customHeight="1" x14ac:dyDescent="0.25">
      <c r="A20" s="21" t="s">
        <v>523</v>
      </c>
      <c r="B20" s="37" t="s">
        <v>633</v>
      </c>
      <c r="C20" s="224"/>
      <c r="D20" s="224"/>
      <c r="E20" s="224"/>
      <c r="F20" s="224"/>
      <c r="G20" s="224"/>
      <c r="H20" s="222"/>
      <c r="I20" s="222"/>
      <c r="J20" s="222"/>
      <c r="K20" s="222"/>
      <c r="L20" s="222"/>
      <c r="M20" s="222"/>
      <c r="N20" s="222"/>
      <c r="O20" s="223">
        <f>SUM(C20:N20)</f>
        <v>0</v>
      </c>
      <c r="P20" s="35"/>
    </row>
    <row r="21" spans="1:256" s="31" customFormat="1" ht="15.75" customHeight="1" x14ac:dyDescent="0.25">
      <c r="A21" s="21" t="s">
        <v>524</v>
      </c>
      <c r="B21" s="32" t="s">
        <v>451</v>
      </c>
      <c r="C21" s="222">
        <f>O21/12</f>
        <v>107746.25</v>
      </c>
      <c r="D21" s="222">
        <f>C21</f>
        <v>107746.25</v>
      </c>
      <c r="E21" s="222">
        <f t="shared" ref="E21:N21" si="8">D21</f>
        <v>107746.25</v>
      </c>
      <c r="F21" s="222">
        <f t="shared" si="8"/>
        <v>107746.25</v>
      </c>
      <c r="G21" s="222">
        <f t="shared" si="8"/>
        <v>107746.25</v>
      </c>
      <c r="H21" s="222">
        <f t="shared" si="8"/>
        <v>107746.25</v>
      </c>
      <c r="I21" s="222">
        <f t="shared" si="8"/>
        <v>107746.25</v>
      </c>
      <c r="J21" s="222">
        <f t="shared" si="8"/>
        <v>107746.25</v>
      </c>
      <c r="K21" s="222">
        <f t="shared" si="8"/>
        <v>107746.25</v>
      </c>
      <c r="L21" s="222">
        <f t="shared" si="8"/>
        <v>107746.25</v>
      </c>
      <c r="M21" s="222">
        <f t="shared" si="8"/>
        <v>107746.25</v>
      </c>
      <c r="N21" s="222">
        <f t="shared" si="8"/>
        <v>107746.25</v>
      </c>
      <c r="O21" s="223">
        <f>Össz.önkor.mérleg.!E54</f>
        <v>1292955</v>
      </c>
      <c r="P21" s="34"/>
    </row>
    <row r="22" spans="1:256" s="33" customFormat="1" ht="16.5" customHeight="1" x14ac:dyDescent="0.25">
      <c r="A22" s="21" t="s">
        <v>525</v>
      </c>
      <c r="B22" s="1349" t="s">
        <v>608</v>
      </c>
      <c r="C22" s="1350">
        <f t="shared" ref="C22:N22" si="9">C19+C14+C20+C21</f>
        <v>331802.5</v>
      </c>
      <c r="D22" s="1350">
        <f t="shared" si="9"/>
        <v>331802.5</v>
      </c>
      <c r="E22" s="1350">
        <f t="shared" si="9"/>
        <v>331802.5</v>
      </c>
      <c r="F22" s="1350">
        <f t="shared" si="9"/>
        <v>331802.5</v>
      </c>
      <c r="G22" s="1350">
        <f t="shared" si="9"/>
        <v>331802.5</v>
      </c>
      <c r="H22" s="1350">
        <f t="shared" si="9"/>
        <v>331802.5</v>
      </c>
      <c r="I22" s="1350">
        <f t="shared" si="9"/>
        <v>331802.5</v>
      </c>
      <c r="J22" s="1350">
        <f t="shared" si="9"/>
        <v>331802.5</v>
      </c>
      <c r="K22" s="1350">
        <f t="shared" si="9"/>
        <v>331802.5</v>
      </c>
      <c r="L22" s="1350">
        <f t="shared" si="9"/>
        <v>331802.5</v>
      </c>
      <c r="M22" s="1350">
        <f t="shared" si="9"/>
        <v>331802.5</v>
      </c>
      <c r="N22" s="1350">
        <f t="shared" si="9"/>
        <v>331802.5</v>
      </c>
      <c r="O22" s="1351">
        <f>O14+O21+O19</f>
        <v>3983658</v>
      </c>
      <c r="P22" s="35"/>
    </row>
    <row r="23" spans="1:256" s="15" customFormat="1" ht="15" customHeight="1" x14ac:dyDescent="0.25">
      <c r="A23" s="21" t="s">
        <v>526</v>
      </c>
      <c r="B23" s="3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</row>
    <row r="24" spans="1:256" s="33" customFormat="1" ht="12.75" customHeight="1" x14ac:dyDescent="0.25">
      <c r="A24" s="21" t="s">
        <v>528</v>
      </c>
      <c r="B24" s="33" t="s">
        <v>65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</row>
    <row r="25" spans="1:256" s="31" customFormat="1" ht="15.75" customHeight="1" x14ac:dyDescent="0.25">
      <c r="A25" s="21" t="s">
        <v>529</v>
      </c>
      <c r="B25" s="31" t="s">
        <v>452</v>
      </c>
      <c r="C25" s="221">
        <f t="shared" ref="C25:C32" si="10">O25/12</f>
        <v>79656.75</v>
      </c>
      <c r="D25" s="221">
        <f>C25</f>
        <v>79656.75</v>
      </c>
      <c r="E25" s="221">
        <f t="shared" ref="E25:N25" si="11">D25</f>
        <v>79656.75</v>
      </c>
      <c r="F25" s="221">
        <f t="shared" si="11"/>
        <v>79656.75</v>
      </c>
      <c r="G25" s="221">
        <f t="shared" si="11"/>
        <v>79656.75</v>
      </c>
      <c r="H25" s="221">
        <f t="shared" si="11"/>
        <v>79656.75</v>
      </c>
      <c r="I25" s="221">
        <f t="shared" si="11"/>
        <v>79656.75</v>
      </c>
      <c r="J25" s="221">
        <f t="shared" si="11"/>
        <v>79656.75</v>
      </c>
      <c r="K25" s="221">
        <f t="shared" si="11"/>
        <v>79656.75</v>
      </c>
      <c r="L25" s="221">
        <f t="shared" si="11"/>
        <v>79656.75</v>
      </c>
      <c r="M25" s="221">
        <f t="shared" si="11"/>
        <v>79656.75</v>
      </c>
      <c r="N25" s="221">
        <f t="shared" si="11"/>
        <v>79656.75</v>
      </c>
      <c r="O25" s="223">
        <f>Össz.önkor.mérleg.!I10</f>
        <v>955881</v>
      </c>
      <c r="P25" s="34"/>
    </row>
    <row r="26" spans="1:256" s="31" customFormat="1" ht="17.25" customHeight="1" x14ac:dyDescent="0.25">
      <c r="A26" s="21" t="s">
        <v>530</v>
      </c>
      <c r="B26" s="31" t="s">
        <v>453</v>
      </c>
      <c r="C26" s="221">
        <f t="shared" si="10"/>
        <v>15764.5</v>
      </c>
      <c r="D26" s="221">
        <f t="shared" ref="D26:N32" si="12">C26</f>
        <v>15764.5</v>
      </c>
      <c r="E26" s="221">
        <f t="shared" si="12"/>
        <v>15764.5</v>
      </c>
      <c r="F26" s="221">
        <f t="shared" si="12"/>
        <v>15764.5</v>
      </c>
      <c r="G26" s="221">
        <f t="shared" si="12"/>
        <v>15764.5</v>
      </c>
      <c r="H26" s="221">
        <f t="shared" si="12"/>
        <v>15764.5</v>
      </c>
      <c r="I26" s="221">
        <f t="shared" si="12"/>
        <v>15764.5</v>
      </c>
      <c r="J26" s="221">
        <f t="shared" si="12"/>
        <v>15764.5</v>
      </c>
      <c r="K26" s="221">
        <f t="shared" si="12"/>
        <v>15764.5</v>
      </c>
      <c r="L26" s="221">
        <f t="shared" si="12"/>
        <v>15764.5</v>
      </c>
      <c r="M26" s="221">
        <f t="shared" si="12"/>
        <v>15764.5</v>
      </c>
      <c r="N26" s="221">
        <f t="shared" si="12"/>
        <v>15764.5</v>
      </c>
      <c r="O26" s="223">
        <f>Össz.önkor.mérleg.!I11</f>
        <v>189174</v>
      </c>
      <c r="P26" s="34"/>
    </row>
    <row r="27" spans="1:256" s="31" customFormat="1" ht="13.5" customHeight="1" x14ac:dyDescent="0.25">
      <c r="A27" s="21" t="s">
        <v>531</v>
      </c>
      <c r="B27" s="31" t="s">
        <v>454</v>
      </c>
      <c r="C27" s="221">
        <f t="shared" si="10"/>
        <v>99722</v>
      </c>
      <c r="D27" s="221">
        <f t="shared" si="12"/>
        <v>99722</v>
      </c>
      <c r="E27" s="221">
        <f t="shared" si="12"/>
        <v>99722</v>
      </c>
      <c r="F27" s="221">
        <f t="shared" si="12"/>
        <v>99722</v>
      </c>
      <c r="G27" s="221">
        <f t="shared" si="12"/>
        <v>99722</v>
      </c>
      <c r="H27" s="221">
        <f t="shared" si="12"/>
        <v>99722</v>
      </c>
      <c r="I27" s="221">
        <f t="shared" si="12"/>
        <v>99722</v>
      </c>
      <c r="J27" s="221">
        <f t="shared" si="12"/>
        <v>99722</v>
      </c>
      <c r="K27" s="221">
        <f t="shared" si="12"/>
        <v>99722</v>
      </c>
      <c r="L27" s="221">
        <f t="shared" si="12"/>
        <v>99722</v>
      </c>
      <c r="M27" s="221">
        <f t="shared" si="12"/>
        <v>99722</v>
      </c>
      <c r="N27" s="221">
        <f t="shared" si="12"/>
        <v>99722</v>
      </c>
      <c r="O27" s="223">
        <f>Össz.önkor.mérleg.!I12</f>
        <v>1196664</v>
      </c>
      <c r="P27" s="34"/>
    </row>
    <row r="28" spans="1:256" s="31" customFormat="1" ht="15" customHeight="1" x14ac:dyDescent="0.25">
      <c r="A28" s="21" t="s">
        <v>532</v>
      </c>
      <c r="B28" s="31" t="s">
        <v>609</v>
      </c>
      <c r="C28" s="221">
        <f t="shared" si="10"/>
        <v>1386.6666666666667</v>
      </c>
      <c r="D28" s="221">
        <f t="shared" si="12"/>
        <v>1386.6666666666667</v>
      </c>
      <c r="E28" s="221">
        <f t="shared" si="12"/>
        <v>1386.6666666666667</v>
      </c>
      <c r="F28" s="221">
        <f t="shared" si="12"/>
        <v>1386.6666666666667</v>
      </c>
      <c r="G28" s="221">
        <f t="shared" si="12"/>
        <v>1386.6666666666667</v>
      </c>
      <c r="H28" s="221">
        <f t="shared" si="12"/>
        <v>1386.6666666666667</v>
      </c>
      <c r="I28" s="221">
        <f t="shared" si="12"/>
        <v>1386.6666666666667</v>
      </c>
      <c r="J28" s="221">
        <f t="shared" si="12"/>
        <v>1386.6666666666667</v>
      </c>
      <c r="K28" s="221">
        <f t="shared" si="12"/>
        <v>1386.6666666666667</v>
      </c>
      <c r="L28" s="221">
        <f t="shared" si="12"/>
        <v>1386.6666666666667</v>
      </c>
      <c r="M28" s="221">
        <f t="shared" si="12"/>
        <v>1386.6666666666667</v>
      </c>
      <c r="N28" s="221">
        <f t="shared" si="12"/>
        <v>1386.6666666666667</v>
      </c>
      <c r="O28" s="223">
        <f>Össz.önkor.mérleg.!I14</f>
        <v>16640</v>
      </c>
      <c r="P28" s="34"/>
      <c r="IV28" s="34"/>
    </row>
    <row r="29" spans="1:256" s="31" customFormat="1" ht="15" customHeight="1" x14ac:dyDescent="0.25">
      <c r="A29" s="21" t="s">
        <v>533</v>
      </c>
      <c r="B29" s="31" t="s">
        <v>259</v>
      </c>
      <c r="C29" s="221">
        <v>38</v>
      </c>
      <c r="D29" s="221">
        <f t="shared" si="12"/>
        <v>38</v>
      </c>
      <c r="E29" s="221">
        <f t="shared" si="12"/>
        <v>38</v>
      </c>
      <c r="F29" s="221">
        <f t="shared" si="12"/>
        <v>38</v>
      </c>
      <c r="G29" s="221">
        <f t="shared" si="12"/>
        <v>38</v>
      </c>
      <c r="H29" s="221">
        <f t="shared" si="12"/>
        <v>38</v>
      </c>
      <c r="I29" s="221">
        <f t="shared" si="12"/>
        <v>38</v>
      </c>
      <c r="J29" s="221">
        <f t="shared" si="12"/>
        <v>38</v>
      </c>
      <c r="K29" s="221">
        <f t="shared" si="12"/>
        <v>38</v>
      </c>
      <c r="L29" s="221">
        <f t="shared" si="12"/>
        <v>38</v>
      </c>
      <c r="M29" s="221">
        <f t="shared" si="12"/>
        <v>38</v>
      </c>
      <c r="N29" s="221">
        <f t="shared" si="12"/>
        <v>38</v>
      </c>
      <c r="O29" s="223">
        <f>Össz.önkor.mérleg.!I19</f>
        <v>0</v>
      </c>
      <c r="P29" s="34"/>
    </row>
    <row r="30" spans="1:256" s="31" customFormat="1" ht="12.75" customHeight="1" x14ac:dyDescent="0.25">
      <c r="A30" s="21" t="s">
        <v>534</v>
      </c>
      <c r="B30" s="31" t="s">
        <v>455</v>
      </c>
      <c r="C30" s="221">
        <v>3993</v>
      </c>
      <c r="D30" s="221">
        <f t="shared" si="12"/>
        <v>3993</v>
      </c>
      <c r="E30" s="221">
        <f t="shared" si="12"/>
        <v>3993</v>
      </c>
      <c r="F30" s="221">
        <f t="shared" si="12"/>
        <v>3993</v>
      </c>
      <c r="G30" s="221">
        <f t="shared" si="12"/>
        <v>3993</v>
      </c>
      <c r="H30" s="221">
        <f t="shared" si="12"/>
        <v>3993</v>
      </c>
      <c r="I30" s="221">
        <f t="shared" si="12"/>
        <v>3993</v>
      </c>
      <c r="J30" s="221">
        <f t="shared" si="12"/>
        <v>3993</v>
      </c>
      <c r="K30" s="221">
        <f t="shared" si="12"/>
        <v>3993</v>
      </c>
      <c r="L30" s="221">
        <f t="shared" si="12"/>
        <v>3993</v>
      </c>
      <c r="M30" s="221">
        <f t="shared" si="12"/>
        <v>3993</v>
      </c>
      <c r="N30" s="221">
        <f t="shared" si="12"/>
        <v>3993</v>
      </c>
      <c r="O30" s="223">
        <f>Össz.önkor.mérleg.!I17</f>
        <v>120691</v>
      </c>
      <c r="P30" s="34"/>
    </row>
    <row r="31" spans="1:256" s="31" customFormat="1" ht="15.75" customHeight="1" x14ac:dyDescent="0.25">
      <c r="A31" s="21" t="s">
        <v>535</v>
      </c>
      <c r="B31" s="31" t="s">
        <v>456</v>
      </c>
      <c r="C31" s="221">
        <f t="shared" si="10"/>
        <v>25785.833333333332</v>
      </c>
      <c r="D31" s="221">
        <f t="shared" si="12"/>
        <v>25785.833333333332</v>
      </c>
      <c r="E31" s="221">
        <f t="shared" si="12"/>
        <v>25785.833333333332</v>
      </c>
      <c r="F31" s="221">
        <f t="shared" si="12"/>
        <v>25785.833333333332</v>
      </c>
      <c r="G31" s="221">
        <f t="shared" si="12"/>
        <v>25785.833333333332</v>
      </c>
      <c r="H31" s="221">
        <f t="shared" si="12"/>
        <v>25785.833333333332</v>
      </c>
      <c r="I31" s="221">
        <f t="shared" si="12"/>
        <v>25785.833333333332</v>
      </c>
      <c r="J31" s="221">
        <f t="shared" si="12"/>
        <v>25785.833333333332</v>
      </c>
      <c r="K31" s="221">
        <f t="shared" si="12"/>
        <v>25785.833333333332</v>
      </c>
      <c r="L31" s="221">
        <f t="shared" si="12"/>
        <v>25785.833333333332</v>
      </c>
      <c r="M31" s="221">
        <f t="shared" si="12"/>
        <v>25785.833333333332</v>
      </c>
      <c r="N31" s="221">
        <f t="shared" si="12"/>
        <v>25785.833333333332</v>
      </c>
      <c r="O31" s="223">
        <f>Össz.önkor.mérleg.!I18</f>
        <v>309430</v>
      </c>
      <c r="P31" s="34"/>
    </row>
    <row r="32" spans="1:256" s="31" customFormat="1" ht="15" customHeight="1" x14ac:dyDescent="0.25">
      <c r="A32" s="21" t="s">
        <v>552</v>
      </c>
      <c r="B32" s="31" t="s">
        <v>637</v>
      </c>
      <c r="C32" s="221">
        <f t="shared" si="10"/>
        <v>29436.416666666668</v>
      </c>
      <c r="D32" s="221">
        <f t="shared" si="12"/>
        <v>29436.416666666668</v>
      </c>
      <c r="E32" s="221">
        <f t="shared" si="12"/>
        <v>29436.416666666668</v>
      </c>
      <c r="F32" s="221">
        <f t="shared" si="12"/>
        <v>29436.416666666668</v>
      </c>
      <c r="G32" s="221">
        <f t="shared" si="12"/>
        <v>29436.416666666668</v>
      </c>
      <c r="H32" s="221">
        <f t="shared" si="12"/>
        <v>29436.416666666668</v>
      </c>
      <c r="I32" s="221">
        <f t="shared" si="12"/>
        <v>29436.416666666668</v>
      </c>
      <c r="J32" s="221">
        <f t="shared" si="12"/>
        <v>29436.416666666668</v>
      </c>
      <c r="K32" s="221">
        <f t="shared" si="12"/>
        <v>29436.416666666668</v>
      </c>
      <c r="L32" s="221">
        <f t="shared" si="12"/>
        <v>29436.416666666668</v>
      </c>
      <c r="M32" s="221">
        <f t="shared" si="12"/>
        <v>29436.416666666668</v>
      </c>
      <c r="N32" s="221">
        <f t="shared" si="12"/>
        <v>29436.416666666668</v>
      </c>
      <c r="O32" s="223">
        <f>Össz.önkor.mérleg.!I20+Össz.önkor.mérleg.!I21</f>
        <v>353237</v>
      </c>
      <c r="P32" s="34"/>
    </row>
    <row r="33" spans="1:16" s="32" customFormat="1" ht="15.75" customHeight="1" x14ac:dyDescent="0.25">
      <c r="A33" s="21" t="s">
        <v>553</v>
      </c>
      <c r="B33" s="1352" t="s">
        <v>610</v>
      </c>
      <c r="C33" s="1347">
        <f>SUM(C25:C32)</f>
        <v>255783.16666666666</v>
      </c>
      <c r="D33" s="1347">
        <f>SUM(D25:D32)</f>
        <v>255783.16666666666</v>
      </c>
      <c r="E33" s="1347">
        <f t="shared" ref="E33:N33" si="13">SUM(E25:E32)</f>
        <v>255783.16666666666</v>
      </c>
      <c r="F33" s="1347">
        <f t="shared" si="13"/>
        <v>255783.16666666666</v>
      </c>
      <c r="G33" s="1347">
        <f t="shared" si="13"/>
        <v>255783.16666666666</v>
      </c>
      <c r="H33" s="1347">
        <f t="shared" si="13"/>
        <v>255783.16666666666</v>
      </c>
      <c r="I33" s="1347">
        <f t="shared" si="13"/>
        <v>255783.16666666666</v>
      </c>
      <c r="J33" s="1347">
        <f t="shared" si="13"/>
        <v>255783.16666666666</v>
      </c>
      <c r="K33" s="1347">
        <f t="shared" si="13"/>
        <v>255783.16666666666</v>
      </c>
      <c r="L33" s="1347">
        <f t="shared" si="13"/>
        <v>255783.16666666666</v>
      </c>
      <c r="M33" s="1347">
        <f t="shared" si="13"/>
        <v>255783.16666666666</v>
      </c>
      <c r="N33" s="1347">
        <f t="shared" si="13"/>
        <v>255783.16666666666</v>
      </c>
      <c r="O33" s="1348">
        <f>SUM(O25:O32)</f>
        <v>3141717</v>
      </c>
      <c r="P33" s="535"/>
    </row>
    <row r="34" spans="1:16" s="32" customFormat="1" ht="15" customHeight="1" x14ac:dyDescent="0.25">
      <c r="A34" s="21" t="s">
        <v>554</v>
      </c>
      <c r="B34" s="32" t="s">
        <v>611</v>
      </c>
      <c r="C34" s="222">
        <f t="shared" ref="C34:C39" si="14">O34/12</f>
        <v>235054.66666666666</v>
      </c>
      <c r="D34" s="222">
        <f>C34</f>
        <v>235054.66666666666</v>
      </c>
      <c r="E34" s="222">
        <f t="shared" ref="E34:N34" si="15">D34</f>
        <v>235054.66666666666</v>
      </c>
      <c r="F34" s="222">
        <f t="shared" si="15"/>
        <v>235054.66666666666</v>
      </c>
      <c r="G34" s="222">
        <f t="shared" si="15"/>
        <v>235054.66666666666</v>
      </c>
      <c r="H34" s="222">
        <f t="shared" si="15"/>
        <v>235054.66666666666</v>
      </c>
      <c r="I34" s="222">
        <f t="shared" si="15"/>
        <v>235054.66666666666</v>
      </c>
      <c r="J34" s="222">
        <f t="shared" si="15"/>
        <v>235054.66666666666</v>
      </c>
      <c r="K34" s="222">
        <f t="shared" si="15"/>
        <v>235054.66666666666</v>
      </c>
      <c r="L34" s="222">
        <f t="shared" si="15"/>
        <v>235054.66666666666</v>
      </c>
      <c r="M34" s="222">
        <f t="shared" si="15"/>
        <v>235054.66666666666</v>
      </c>
      <c r="N34" s="222">
        <f t="shared" si="15"/>
        <v>235054.66666666666</v>
      </c>
      <c r="O34" s="224">
        <f>Össz.önkor.mérleg.!I27</f>
        <v>2820656</v>
      </c>
      <c r="P34" s="535"/>
    </row>
    <row r="35" spans="1:16" s="32" customFormat="1" ht="15" customHeight="1" x14ac:dyDescent="0.25">
      <c r="A35" s="21" t="s">
        <v>555</v>
      </c>
      <c r="B35" s="32" t="s">
        <v>474</v>
      </c>
      <c r="C35" s="222">
        <f t="shared" si="14"/>
        <v>2472.0833333333335</v>
      </c>
      <c r="D35" s="222">
        <f t="shared" ref="D35:N39" si="16">C35</f>
        <v>2472.0833333333335</v>
      </c>
      <c r="E35" s="222">
        <f t="shared" si="16"/>
        <v>2472.0833333333335</v>
      </c>
      <c r="F35" s="222">
        <f t="shared" si="16"/>
        <v>2472.0833333333335</v>
      </c>
      <c r="G35" s="222">
        <f t="shared" si="16"/>
        <v>2472.0833333333335</v>
      </c>
      <c r="H35" s="222">
        <f t="shared" si="16"/>
        <v>2472.0833333333335</v>
      </c>
      <c r="I35" s="222">
        <f t="shared" si="16"/>
        <v>2472.0833333333335</v>
      </c>
      <c r="J35" s="222">
        <f t="shared" si="16"/>
        <v>2472.0833333333335</v>
      </c>
      <c r="K35" s="222">
        <f t="shared" si="16"/>
        <v>2472.0833333333335</v>
      </c>
      <c r="L35" s="222">
        <f t="shared" si="16"/>
        <v>2472.0833333333335</v>
      </c>
      <c r="M35" s="222">
        <f t="shared" si="16"/>
        <v>2472.0833333333335</v>
      </c>
      <c r="N35" s="222">
        <f t="shared" si="16"/>
        <v>2472.0833333333335</v>
      </c>
      <c r="O35" s="224">
        <f>Össz.önkor.mérleg.!I28</f>
        <v>29665</v>
      </c>
      <c r="P35" s="535"/>
    </row>
    <row r="36" spans="1:16" s="32" customFormat="1" ht="15.75" customHeight="1" x14ac:dyDescent="0.25">
      <c r="A36" s="21" t="s">
        <v>556</v>
      </c>
      <c r="B36" s="32" t="s">
        <v>457</v>
      </c>
      <c r="C36" s="222">
        <f t="shared" si="14"/>
        <v>416.66666666666669</v>
      </c>
      <c r="D36" s="222">
        <f t="shared" si="16"/>
        <v>416.66666666666669</v>
      </c>
      <c r="E36" s="222">
        <f t="shared" si="16"/>
        <v>416.66666666666669</v>
      </c>
      <c r="F36" s="222">
        <f t="shared" si="16"/>
        <v>416.66666666666669</v>
      </c>
      <c r="G36" s="222">
        <f t="shared" si="16"/>
        <v>416.66666666666669</v>
      </c>
      <c r="H36" s="222">
        <f t="shared" si="16"/>
        <v>416.66666666666669</v>
      </c>
      <c r="I36" s="222">
        <f t="shared" si="16"/>
        <v>416.66666666666669</v>
      </c>
      <c r="J36" s="222">
        <f t="shared" si="16"/>
        <v>416.66666666666669</v>
      </c>
      <c r="K36" s="222">
        <f t="shared" si="16"/>
        <v>416.66666666666669</v>
      </c>
      <c r="L36" s="222">
        <f t="shared" si="16"/>
        <v>416.66666666666669</v>
      </c>
      <c r="M36" s="222">
        <f t="shared" si="16"/>
        <v>416.66666666666669</v>
      </c>
      <c r="N36" s="222">
        <f t="shared" si="16"/>
        <v>416.66666666666669</v>
      </c>
      <c r="O36" s="224">
        <v>5000</v>
      </c>
    </row>
    <row r="37" spans="1:16" s="32" customFormat="1" ht="15.75" customHeight="1" x14ac:dyDescent="0.25">
      <c r="A37" s="21" t="s">
        <v>557</v>
      </c>
      <c r="B37" s="31" t="s">
        <v>635</v>
      </c>
      <c r="C37" s="222">
        <f t="shared" si="14"/>
        <v>0</v>
      </c>
      <c r="D37" s="222">
        <f t="shared" si="16"/>
        <v>0</v>
      </c>
      <c r="E37" s="222">
        <f t="shared" si="16"/>
        <v>0</v>
      </c>
      <c r="F37" s="222">
        <f t="shared" si="16"/>
        <v>0</v>
      </c>
      <c r="G37" s="222">
        <f t="shared" si="16"/>
        <v>0</v>
      </c>
      <c r="H37" s="222">
        <f t="shared" si="16"/>
        <v>0</v>
      </c>
      <c r="I37" s="222">
        <f t="shared" si="16"/>
        <v>0</v>
      </c>
      <c r="J37" s="222">
        <f t="shared" si="16"/>
        <v>0</v>
      </c>
      <c r="K37" s="222">
        <f t="shared" si="16"/>
        <v>0</v>
      </c>
      <c r="L37" s="222">
        <f t="shared" si="16"/>
        <v>0</v>
      </c>
      <c r="M37" s="222">
        <f t="shared" si="16"/>
        <v>0</v>
      </c>
      <c r="N37" s="222">
        <f t="shared" si="16"/>
        <v>0</v>
      </c>
      <c r="O37" s="224">
        <f>Össz.önkor.mérleg.!I30</f>
        <v>0</v>
      </c>
    </row>
    <row r="38" spans="1:16" s="32" customFormat="1" ht="16.5" customHeight="1" x14ac:dyDescent="0.25">
      <c r="A38" s="21" t="s">
        <v>558</v>
      </c>
      <c r="B38" s="31" t="s">
        <v>636</v>
      </c>
      <c r="C38" s="222">
        <f t="shared" si="14"/>
        <v>3723.4166666666665</v>
      </c>
      <c r="D38" s="222">
        <f t="shared" si="16"/>
        <v>3723.4166666666665</v>
      </c>
      <c r="E38" s="222">
        <f t="shared" si="16"/>
        <v>3723.4166666666665</v>
      </c>
      <c r="F38" s="222">
        <f t="shared" si="16"/>
        <v>3723.4166666666665</v>
      </c>
      <c r="G38" s="222">
        <f t="shared" si="16"/>
        <v>3723.4166666666665</v>
      </c>
      <c r="H38" s="222">
        <f t="shared" si="16"/>
        <v>3723.4166666666665</v>
      </c>
      <c r="I38" s="222">
        <f t="shared" si="16"/>
        <v>3723.4166666666665</v>
      </c>
      <c r="J38" s="222">
        <f t="shared" si="16"/>
        <v>3723.4166666666665</v>
      </c>
      <c r="K38" s="222">
        <f t="shared" si="16"/>
        <v>3723.4166666666665</v>
      </c>
      <c r="L38" s="222">
        <f t="shared" si="16"/>
        <v>3723.4166666666665</v>
      </c>
      <c r="M38" s="222">
        <f t="shared" si="16"/>
        <v>3723.4166666666665</v>
      </c>
      <c r="N38" s="222">
        <f t="shared" si="16"/>
        <v>3723.4166666666665</v>
      </c>
      <c r="O38" s="224">
        <f>Össz.önkor.mérleg.!I32</f>
        <v>44681</v>
      </c>
      <c r="P38" s="535"/>
    </row>
    <row r="39" spans="1:16" s="32" customFormat="1" ht="15" customHeight="1" x14ac:dyDescent="0.25">
      <c r="A39" s="21" t="s">
        <v>559</v>
      </c>
      <c r="B39" s="31" t="s">
        <v>638</v>
      </c>
      <c r="C39" s="222">
        <f t="shared" si="14"/>
        <v>5578.25</v>
      </c>
      <c r="D39" s="222">
        <f t="shared" si="16"/>
        <v>5578.25</v>
      </c>
      <c r="E39" s="222">
        <f t="shared" si="16"/>
        <v>5578.25</v>
      </c>
      <c r="F39" s="222">
        <f t="shared" si="16"/>
        <v>5578.25</v>
      </c>
      <c r="G39" s="222">
        <f t="shared" si="16"/>
        <v>5578.25</v>
      </c>
      <c r="H39" s="222">
        <f t="shared" si="16"/>
        <v>5578.25</v>
      </c>
      <c r="I39" s="222">
        <f t="shared" si="16"/>
        <v>5578.25</v>
      </c>
      <c r="J39" s="222">
        <f t="shared" si="16"/>
        <v>5578.25</v>
      </c>
      <c r="K39" s="222">
        <f t="shared" si="16"/>
        <v>5578.25</v>
      </c>
      <c r="L39" s="222">
        <f t="shared" si="16"/>
        <v>5578.25</v>
      </c>
      <c r="M39" s="222">
        <f t="shared" si="16"/>
        <v>5578.25</v>
      </c>
      <c r="N39" s="222">
        <f t="shared" si="16"/>
        <v>5578.25</v>
      </c>
      <c r="O39" s="224">
        <f>Össz.önkor.mérleg.!I33</f>
        <v>66939</v>
      </c>
      <c r="P39" s="535"/>
    </row>
    <row r="40" spans="1:16" s="37" customFormat="1" ht="15" customHeight="1" x14ac:dyDescent="0.25">
      <c r="A40" s="21" t="s">
        <v>560</v>
      </c>
      <c r="B40" s="1342" t="s">
        <v>639</v>
      </c>
      <c r="C40" s="1343">
        <f t="shared" ref="C40:O40" si="17">SUM(C34:C39)</f>
        <v>247245.08333333331</v>
      </c>
      <c r="D40" s="1343">
        <f t="shared" si="17"/>
        <v>247245.08333333331</v>
      </c>
      <c r="E40" s="1343">
        <f t="shared" si="17"/>
        <v>247245.08333333331</v>
      </c>
      <c r="F40" s="1343">
        <f t="shared" si="17"/>
        <v>247245.08333333331</v>
      </c>
      <c r="G40" s="1343">
        <f t="shared" si="17"/>
        <v>247245.08333333331</v>
      </c>
      <c r="H40" s="1343">
        <f t="shared" si="17"/>
        <v>247245.08333333331</v>
      </c>
      <c r="I40" s="1343">
        <f t="shared" si="17"/>
        <v>247245.08333333331</v>
      </c>
      <c r="J40" s="1343">
        <f t="shared" si="17"/>
        <v>247245.08333333331</v>
      </c>
      <c r="K40" s="1343">
        <f t="shared" si="17"/>
        <v>247245.08333333331</v>
      </c>
      <c r="L40" s="1343">
        <f t="shared" si="17"/>
        <v>247245.08333333331</v>
      </c>
      <c r="M40" s="1343">
        <f t="shared" si="17"/>
        <v>247245.08333333331</v>
      </c>
      <c r="N40" s="1343">
        <f t="shared" si="17"/>
        <v>247245.08333333331</v>
      </c>
      <c r="O40" s="1343">
        <f t="shared" si="17"/>
        <v>2966941</v>
      </c>
      <c r="P40" s="36"/>
    </row>
    <row r="41" spans="1:16" s="37" customFormat="1" ht="15" customHeight="1" x14ac:dyDescent="0.25">
      <c r="A41" s="21" t="s">
        <v>612</v>
      </c>
      <c r="B41" s="1353" t="s">
        <v>988</v>
      </c>
      <c r="C41" s="1354">
        <f>O41/12</f>
        <v>3005.9166666666665</v>
      </c>
      <c r="D41" s="1354">
        <f>C41</f>
        <v>3005.9166666666665</v>
      </c>
      <c r="E41" s="1354">
        <f t="shared" ref="E41:N41" si="18">D41</f>
        <v>3005.9166666666665</v>
      </c>
      <c r="F41" s="1354">
        <f t="shared" si="18"/>
        <v>3005.9166666666665</v>
      </c>
      <c r="G41" s="1354">
        <f t="shared" si="18"/>
        <v>3005.9166666666665</v>
      </c>
      <c r="H41" s="1354">
        <f t="shared" si="18"/>
        <v>3005.9166666666665</v>
      </c>
      <c r="I41" s="1354">
        <f t="shared" si="18"/>
        <v>3005.9166666666665</v>
      </c>
      <c r="J41" s="1354">
        <f t="shared" si="18"/>
        <v>3005.9166666666665</v>
      </c>
      <c r="K41" s="1354">
        <f t="shared" si="18"/>
        <v>3005.9166666666665</v>
      </c>
      <c r="L41" s="1354">
        <f t="shared" si="18"/>
        <v>3005.9166666666665</v>
      </c>
      <c r="M41" s="1354">
        <f t="shared" si="18"/>
        <v>3005.9166666666665</v>
      </c>
      <c r="N41" s="1354">
        <f t="shared" si="18"/>
        <v>3005.9166666666665</v>
      </c>
      <c r="O41" s="1355">
        <f>Össz.önkor.mérleg.!I47</f>
        <v>36071</v>
      </c>
      <c r="P41" s="36"/>
    </row>
    <row r="42" spans="1:16" s="31" customFormat="1" ht="15.75" customHeight="1" x14ac:dyDescent="0.25">
      <c r="A42" s="21" t="s">
        <v>613</v>
      </c>
      <c r="B42" s="1356" t="s">
        <v>987</v>
      </c>
      <c r="C42" s="221">
        <f>SUM(C41)</f>
        <v>3005.9166666666665</v>
      </c>
      <c r="D42" s="221">
        <f>SUM(D41)</f>
        <v>3005.9166666666665</v>
      </c>
      <c r="E42" s="221">
        <f t="shared" ref="E42:N42" si="19">SUM(E41)</f>
        <v>3005.9166666666665</v>
      </c>
      <c r="F42" s="221">
        <f t="shared" si="19"/>
        <v>3005.9166666666665</v>
      </c>
      <c r="G42" s="221">
        <f t="shared" si="19"/>
        <v>3005.9166666666665</v>
      </c>
      <c r="H42" s="221">
        <f t="shared" si="19"/>
        <v>3005.9166666666665</v>
      </c>
      <c r="I42" s="221">
        <f t="shared" si="19"/>
        <v>3005.9166666666665</v>
      </c>
      <c r="J42" s="221">
        <f t="shared" si="19"/>
        <v>3005.9166666666665</v>
      </c>
      <c r="K42" s="221">
        <f t="shared" si="19"/>
        <v>3005.9166666666665</v>
      </c>
      <c r="L42" s="221">
        <f t="shared" si="19"/>
        <v>3005.9166666666665</v>
      </c>
      <c r="M42" s="221">
        <f t="shared" si="19"/>
        <v>3005.9166666666665</v>
      </c>
      <c r="N42" s="221">
        <f t="shared" si="19"/>
        <v>3005.9166666666665</v>
      </c>
      <c r="O42" s="223">
        <f>SUM(C42:N42)</f>
        <v>36071</v>
      </c>
    </row>
    <row r="43" spans="1:16" s="33" customFormat="1" ht="16.5" customHeight="1" x14ac:dyDescent="0.25">
      <c r="A43" s="21" t="s">
        <v>614</v>
      </c>
      <c r="B43" s="1349" t="s">
        <v>642</v>
      </c>
      <c r="C43" s="1350">
        <f t="shared" ref="C43:N43" si="20">C40+C33+C42</f>
        <v>506034.16666666669</v>
      </c>
      <c r="D43" s="1350">
        <f t="shared" si="20"/>
        <v>506034.16666666669</v>
      </c>
      <c r="E43" s="1350">
        <f t="shared" si="20"/>
        <v>506034.16666666669</v>
      </c>
      <c r="F43" s="1350">
        <f t="shared" si="20"/>
        <v>506034.16666666669</v>
      </c>
      <c r="G43" s="1350">
        <f t="shared" si="20"/>
        <v>506034.16666666669</v>
      </c>
      <c r="H43" s="1350">
        <f t="shared" si="20"/>
        <v>506034.16666666669</v>
      </c>
      <c r="I43" s="1350">
        <f t="shared" si="20"/>
        <v>506034.16666666669</v>
      </c>
      <c r="J43" s="1350">
        <f t="shared" si="20"/>
        <v>506034.16666666669</v>
      </c>
      <c r="K43" s="1350">
        <f t="shared" si="20"/>
        <v>506034.16666666669</v>
      </c>
      <c r="L43" s="1350">
        <f t="shared" si="20"/>
        <v>506034.16666666669</v>
      </c>
      <c r="M43" s="1350">
        <f t="shared" si="20"/>
        <v>506034.16666666669</v>
      </c>
      <c r="N43" s="1350">
        <f t="shared" si="20"/>
        <v>506034.16666666669</v>
      </c>
      <c r="O43" s="1351">
        <f>O33+O40+O41</f>
        <v>6144729</v>
      </c>
      <c r="P43" s="35"/>
    </row>
    <row r="44" spans="1:16" ht="12.75" customHeight="1" x14ac:dyDescent="0.25">
      <c r="B44" s="1197"/>
      <c r="C44" s="1263"/>
      <c r="D44" s="1263"/>
      <c r="E44" s="1263"/>
      <c r="F44" s="1263"/>
      <c r="G44" s="1263"/>
      <c r="H44" s="1263"/>
      <c r="I44" s="1263"/>
      <c r="J44" s="1263"/>
      <c r="K44" s="1263"/>
      <c r="L44" s="1263"/>
      <c r="M44" s="1263"/>
      <c r="N44" s="1263"/>
      <c r="O44" s="1263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M109"/>
  <sheetViews>
    <sheetView workbookViewId="0">
      <pane xSplit="2" ySplit="8" topLeftCell="C97" activePane="bottomRight" state="frozen"/>
      <selection pane="topRight" activeCell="C1" sqref="C1"/>
      <selection pane="bottomLeft" activeCell="A9" sqref="A9"/>
      <selection pane="bottomRight" activeCell="AD8" sqref="AD8"/>
    </sheetView>
  </sheetViews>
  <sheetFormatPr defaultColWidth="9.140625" defaultRowHeight="15.75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8" width="4" style="17" customWidth="1"/>
    <col min="9" max="9" width="5" style="17" customWidth="1"/>
    <col min="10" max="10" width="5.7109375" style="17" customWidth="1"/>
    <col min="11" max="11" width="4" style="17" customWidth="1"/>
    <col min="12" max="12" width="5.7109375" style="17" customWidth="1"/>
    <col min="13" max="14" width="7.28515625" style="17" customWidth="1"/>
    <col min="15" max="15" width="6.7109375" style="17" customWidth="1"/>
    <col min="16" max="16" width="5.140625" style="17" customWidth="1"/>
    <col min="17" max="17" width="5.7109375" style="17" customWidth="1"/>
    <col min="18" max="18" width="6.7109375" style="17" customWidth="1"/>
    <col min="19" max="20" width="5.28515625" style="17" customWidth="1"/>
    <col min="21" max="21" width="5.5703125" style="17" customWidth="1"/>
    <col min="22" max="22" width="6.7109375" style="17" customWidth="1"/>
    <col min="23" max="23" width="6.85546875" style="17" customWidth="1"/>
    <col min="24" max="24" width="6.5703125" style="17" customWidth="1"/>
    <col min="25" max="28" width="7.140625" style="17" customWidth="1"/>
    <col min="29" max="29" width="7.5703125" style="17" customWidth="1"/>
    <col min="30" max="16384" width="9.140625" style="16"/>
  </cols>
  <sheetData>
    <row r="1" spans="1:30" ht="15.75" customHeight="1" x14ac:dyDescent="0.25">
      <c r="A1" s="1640" t="s">
        <v>1404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0"/>
      <c r="S1" s="1640"/>
      <c r="T1" s="1640"/>
      <c r="U1" s="1640"/>
      <c r="V1" s="1640"/>
      <c r="W1" s="1640"/>
      <c r="X1" s="1640"/>
      <c r="Y1" s="1640"/>
      <c r="Z1" s="1640"/>
      <c r="AA1" s="1640"/>
      <c r="AB1" s="1640"/>
      <c r="AC1" s="1640"/>
    </row>
    <row r="2" spans="1:30" ht="15.75" customHeight="1" x14ac:dyDescent="0.25">
      <c r="A2" s="1641" t="s">
        <v>54</v>
      </c>
      <c r="B2" s="1641"/>
      <c r="C2" s="1641"/>
      <c r="D2" s="1641"/>
      <c r="E2" s="1641"/>
      <c r="F2" s="1641"/>
      <c r="G2" s="1641"/>
      <c r="H2" s="1641"/>
      <c r="I2" s="1641"/>
      <c r="J2" s="1641"/>
      <c r="K2" s="1641"/>
      <c r="L2" s="1641"/>
      <c r="M2" s="1641"/>
      <c r="N2" s="1641"/>
      <c r="O2" s="1641"/>
      <c r="P2" s="1641"/>
      <c r="Q2" s="1641"/>
      <c r="R2" s="1641"/>
      <c r="S2" s="1641"/>
      <c r="T2" s="1641"/>
      <c r="U2" s="1641"/>
      <c r="V2" s="1641"/>
      <c r="W2" s="1641"/>
      <c r="X2" s="1641"/>
      <c r="Y2" s="1641"/>
      <c r="Z2" s="1641"/>
      <c r="AA2" s="1641"/>
      <c r="AB2" s="1641"/>
      <c r="AC2" s="1641"/>
    </row>
    <row r="3" spans="1:30" ht="15.75" customHeight="1" x14ac:dyDescent="0.25">
      <c r="A3" s="1641" t="s">
        <v>1324</v>
      </c>
      <c r="B3" s="1641"/>
      <c r="C3" s="1641"/>
      <c r="D3" s="1641"/>
      <c r="E3" s="1641"/>
      <c r="F3" s="1641"/>
      <c r="G3" s="1641"/>
      <c r="H3" s="1641"/>
      <c r="I3" s="1641"/>
      <c r="J3" s="1641"/>
      <c r="K3" s="1641"/>
      <c r="L3" s="1641"/>
      <c r="M3" s="1641"/>
      <c r="N3" s="1641"/>
      <c r="O3" s="1641"/>
      <c r="P3" s="1641"/>
      <c r="Q3" s="1641"/>
      <c r="R3" s="1641"/>
      <c r="S3" s="1641"/>
      <c r="T3" s="1641"/>
      <c r="U3" s="1641"/>
      <c r="V3" s="1641"/>
      <c r="W3" s="1641"/>
      <c r="X3" s="1641"/>
      <c r="Y3" s="1641"/>
      <c r="Z3" s="1641"/>
      <c r="AA3" s="1641"/>
      <c r="AB3" s="1641"/>
      <c r="AC3" s="1641"/>
    </row>
    <row r="4" spans="1:30" ht="15.75" customHeight="1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 t="s">
        <v>643</v>
      </c>
    </row>
    <row r="5" spans="1:30" ht="27.75" customHeight="1" x14ac:dyDescent="0.25">
      <c r="A5" s="1642" t="s">
        <v>70</v>
      </c>
      <c r="B5" s="41" t="s">
        <v>57</v>
      </c>
      <c r="C5" s="1643" t="s">
        <v>58</v>
      </c>
      <c r="D5" s="1643"/>
      <c r="E5" s="1643" t="s">
        <v>59</v>
      </c>
      <c r="F5" s="1643"/>
      <c r="G5" s="1643" t="s">
        <v>60</v>
      </c>
      <c r="H5" s="1643"/>
      <c r="I5" s="1643"/>
      <c r="J5" s="1643"/>
      <c r="K5" s="1644" t="s">
        <v>461</v>
      </c>
      <c r="L5" s="1644"/>
      <c r="M5" s="1643" t="s">
        <v>462</v>
      </c>
      <c r="N5" s="1643"/>
      <c r="O5" s="1643"/>
      <c r="P5" s="1643" t="s">
        <v>463</v>
      </c>
      <c r="Q5" s="1644"/>
      <c r="R5" s="1645" t="s">
        <v>580</v>
      </c>
      <c r="S5" s="1645"/>
      <c r="T5" s="1645"/>
      <c r="U5" s="1645"/>
      <c r="V5" s="1645"/>
      <c r="W5" s="1643" t="s">
        <v>588</v>
      </c>
      <c r="X5" s="1643"/>
      <c r="Y5" s="1643" t="s">
        <v>589</v>
      </c>
      <c r="Z5" s="1643"/>
      <c r="AA5" s="1643"/>
      <c r="AB5" s="1643"/>
      <c r="AC5" s="1643"/>
    </row>
    <row r="6" spans="1:30" s="4" customFormat="1" ht="30.75" customHeight="1" x14ac:dyDescent="0.2">
      <c r="A6" s="1642"/>
      <c r="B6" s="1605" t="s">
        <v>644</v>
      </c>
      <c r="C6" s="1646" t="s">
        <v>645</v>
      </c>
      <c r="D6" s="1646"/>
      <c r="E6" s="1646"/>
      <c r="F6" s="1646"/>
      <c r="G6" s="1646" t="s">
        <v>646</v>
      </c>
      <c r="H6" s="1646"/>
      <c r="I6" s="1646"/>
      <c r="J6" s="1646"/>
      <c r="K6" s="1646"/>
      <c r="L6" s="1646"/>
      <c r="M6" s="1638" t="s">
        <v>647</v>
      </c>
      <c r="N6" s="1638"/>
      <c r="O6" s="1638"/>
      <c r="P6" s="1638"/>
      <c r="Q6" s="1638"/>
      <c r="R6" s="1638" t="s">
        <v>518</v>
      </c>
      <c r="S6" s="1638"/>
      <c r="T6" s="1638"/>
      <c r="U6" s="1638"/>
      <c r="V6" s="1638"/>
      <c r="W6" s="1638"/>
      <c r="X6" s="1638"/>
      <c r="Y6" s="1639" t="s">
        <v>648</v>
      </c>
      <c r="Z6" s="1639"/>
      <c r="AA6" s="1639"/>
      <c r="AB6" s="1639"/>
      <c r="AC6" s="1639"/>
    </row>
    <row r="7" spans="1:30" s="4" customFormat="1" ht="40.5" customHeight="1" x14ac:dyDescent="0.2">
      <c r="A7" s="1642"/>
      <c r="B7" s="1605"/>
      <c r="C7" s="1635" t="s">
        <v>649</v>
      </c>
      <c r="D7" s="1635"/>
      <c r="E7" s="1413" t="s">
        <v>650</v>
      </c>
      <c r="F7" s="1413"/>
      <c r="G7" s="1635" t="s">
        <v>651</v>
      </c>
      <c r="H7" s="1635"/>
      <c r="I7" s="1635"/>
      <c r="J7" s="1635"/>
      <c r="K7" s="1635" t="s">
        <v>650</v>
      </c>
      <c r="L7" s="1635"/>
      <c r="M7" s="1636" t="s">
        <v>651</v>
      </c>
      <c r="N7" s="1636"/>
      <c r="O7" s="1636"/>
      <c r="P7" s="1635" t="s">
        <v>650</v>
      </c>
      <c r="Q7" s="1637"/>
      <c r="R7" s="1636" t="s">
        <v>651</v>
      </c>
      <c r="S7" s="1636"/>
      <c r="T7" s="1636"/>
      <c r="U7" s="1636"/>
      <c r="V7" s="1636"/>
      <c r="W7" s="1636" t="s">
        <v>652</v>
      </c>
      <c r="X7" s="1636"/>
      <c r="Y7" s="1639"/>
      <c r="Z7" s="1639"/>
      <c r="AA7" s="1639"/>
      <c r="AB7" s="1639"/>
      <c r="AC7" s="1639"/>
    </row>
    <row r="8" spans="1:30" s="4" customFormat="1" ht="27" customHeight="1" x14ac:dyDescent="0.2">
      <c r="A8" s="1642"/>
      <c r="B8" s="1605"/>
      <c r="C8" s="42">
        <v>42736</v>
      </c>
      <c r="D8" s="42">
        <v>43100</v>
      </c>
      <c r="E8" s="42">
        <v>42736</v>
      </c>
      <c r="F8" s="42">
        <v>43100</v>
      </c>
      <c r="G8" s="42">
        <v>42736</v>
      </c>
      <c r="H8" s="42">
        <v>43952</v>
      </c>
      <c r="I8" s="1334">
        <v>44105</v>
      </c>
      <c r="J8" s="42">
        <v>43100</v>
      </c>
      <c r="K8" s="42">
        <v>42736</v>
      </c>
      <c r="L8" s="42">
        <v>43100</v>
      </c>
      <c r="M8" s="42">
        <v>42736</v>
      </c>
      <c r="N8" s="42">
        <v>43967</v>
      </c>
      <c r="O8" s="42">
        <v>43100</v>
      </c>
      <c r="P8" s="42">
        <v>42736</v>
      </c>
      <c r="Q8" s="42">
        <v>43100</v>
      </c>
      <c r="R8" s="42">
        <v>42736</v>
      </c>
      <c r="S8" s="42">
        <v>43952</v>
      </c>
      <c r="T8" s="42">
        <v>43967</v>
      </c>
      <c r="U8" s="1334">
        <v>44105</v>
      </c>
      <c r="V8" s="42">
        <v>43100</v>
      </c>
      <c r="W8" s="42">
        <v>42736</v>
      </c>
      <c r="X8" s="42">
        <v>43100</v>
      </c>
      <c r="Y8" s="42">
        <v>42736</v>
      </c>
      <c r="Z8" s="42">
        <v>43952</v>
      </c>
      <c r="AA8" s="42">
        <v>43967</v>
      </c>
      <c r="AB8" s="1334">
        <v>44105</v>
      </c>
      <c r="AC8" s="42">
        <v>43100</v>
      </c>
    </row>
    <row r="9" spans="1:30" s="4" customFormat="1" ht="13.9" customHeight="1" x14ac:dyDescent="0.25">
      <c r="A9" s="43"/>
      <c r="B9" s="3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30" s="4" customFormat="1" ht="13.9" customHeight="1" x14ac:dyDescent="0.25">
      <c r="A10" s="1376" t="s">
        <v>470</v>
      </c>
      <c r="B10" s="1377" t="s">
        <v>77</v>
      </c>
      <c r="C10" s="1374">
        <v>4</v>
      </c>
      <c r="D10" s="1374">
        <f>C10</f>
        <v>4</v>
      </c>
      <c r="E10" s="1374"/>
      <c r="F10" s="1374">
        <f>+E10</f>
        <v>0</v>
      </c>
      <c r="G10" s="1375">
        <v>2</v>
      </c>
      <c r="H10" s="1375"/>
      <c r="I10" s="1375"/>
      <c r="J10" s="1375" t="s">
        <v>653</v>
      </c>
      <c r="K10" s="1375"/>
      <c r="L10" s="1375"/>
      <c r="M10" s="1375" t="s">
        <v>549</v>
      </c>
      <c r="N10" s="1375"/>
      <c r="O10" s="1375" t="s">
        <v>549</v>
      </c>
      <c r="P10" s="1375" t="s">
        <v>549</v>
      </c>
      <c r="Q10" s="1375" t="s">
        <v>549</v>
      </c>
      <c r="R10" s="1374">
        <f>C10+G10</f>
        <v>6</v>
      </c>
      <c r="S10" s="1374"/>
      <c r="T10" s="1374"/>
      <c r="U10" s="1374"/>
      <c r="V10" s="1374">
        <f>D10+J10</f>
        <v>6</v>
      </c>
      <c r="W10" s="1374">
        <v>0</v>
      </c>
      <c r="X10" s="1374">
        <f>W10</f>
        <v>0</v>
      </c>
      <c r="Y10" s="1289">
        <f>C10+E10/2+K10/2+P10/2+G10+M10</f>
        <v>6</v>
      </c>
      <c r="Z10" s="1289"/>
      <c r="AA10" s="1289"/>
      <c r="AB10" s="1289"/>
      <c r="AC10" s="1289">
        <f>Y10</f>
        <v>6</v>
      </c>
    </row>
    <row r="11" spans="1:30" s="4" customFormat="1" ht="13.9" customHeight="1" x14ac:dyDescent="0.25">
      <c r="A11" s="1376"/>
      <c r="B11" s="1189"/>
      <c r="C11" s="1190"/>
      <c r="D11" s="1191"/>
      <c r="E11" s="1191"/>
      <c r="F11" s="1191"/>
      <c r="G11" s="1191"/>
      <c r="H11" s="1191"/>
      <c r="I11" s="1191"/>
      <c r="J11" s="1191"/>
      <c r="K11" s="1191"/>
      <c r="L11" s="1191"/>
      <c r="M11" s="1191"/>
      <c r="N11" s="1191"/>
      <c r="O11" s="1191"/>
      <c r="P11" s="1191"/>
      <c r="Q11" s="1191"/>
      <c r="R11" s="1191"/>
      <c r="S11" s="1191"/>
      <c r="T11" s="1191"/>
      <c r="U11" s="1191"/>
      <c r="V11" s="1191"/>
      <c r="W11" s="1191"/>
      <c r="X11" s="1191"/>
      <c r="Y11" s="1191"/>
      <c r="Z11" s="1191"/>
      <c r="AA11" s="1191"/>
      <c r="AB11" s="1191"/>
      <c r="AC11" s="1188"/>
    </row>
    <row r="12" spans="1:30" s="17" customFormat="1" ht="14.45" customHeight="1" x14ac:dyDescent="0.25">
      <c r="A12" s="1291" t="s">
        <v>478</v>
      </c>
      <c r="B12" s="1264" t="s">
        <v>1313</v>
      </c>
      <c r="C12" s="1265">
        <v>3</v>
      </c>
      <c r="D12" s="1266">
        <f>C12</f>
        <v>3</v>
      </c>
      <c r="E12" s="1266"/>
      <c r="F12" s="1266"/>
      <c r="G12" s="1266">
        <v>37</v>
      </c>
      <c r="H12" s="1266">
        <v>1</v>
      </c>
      <c r="I12" s="1266">
        <v>-1</v>
      </c>
      <c r="J12" s="1266">
        <f>G12+H12+I12</f>
        <v>37</v>
      </c>
      <c r="K12" s="1266"/>
      <c r="L12" s="1266"/>
      <c r="M12" s="1266">
        <v>0</v>
      </c>
      <c r="N12" s="1266"/>
      <c r="O12" s="1266">
        <v>0</v>
      </c>
      <c r="P12" s="1266">
        <v>0</v>
      </c>
      <c r="Q12" s="1266">
        <v>0</v>
      </c>
      <c r="R12" s="1266">
        <f>C12+G12+M12</f>
        <v>40</v>
      </c>
      <c r="S12" s="1266">
        <v>1</v>
      </c>
      <c r="T12" s="1266"/>
      <c r="U12" s="1266">
        <v>-1</v>
      </c>
      <c r="V12" s="1266">
        <f>SUM(R12:U12)</f>
        <v>40</v>
      </c>
      <c r="W12" s="1266">
        <v>0</v>
      </c>
      <c r="X12" s="1266">
        <v>0</v>
      </c>
      <c r="Y12" s="1267">
        <f>R12</f>
        <v>40</v>
      </c>
      <c r="Z12" s="1267">
        <f>S12</f>
        <v>1</v>
      </c>
      <c r="AA12" s="1267"/>
      <c r="AB12" s="1267">
        <f>U12</f>
        <v>-1</v>
      </c>
      <c r="AC12" s="1289">
        <f>Y12+Z12+AB12</f>
        <v>40</v>
      </c>
    </row>
    <row r="13" spans="1:30" s="17" customFormat="1" ht="14.45" customHeight="1" x14ac:dyDescent="0.25">
      <c r="A13" s="1192"/>
      <c r="B13" s="1197"/>
      <c r="C13" s="1197"/>
      <c r="D13" s="1197"/>
      <c r="E13" s="1197"/>
      <c r="F13" s="1197"/>
      <c r="G13" s="1197"/>
      <c r="H13" s="1197"/>
      <c r="I13" s="1197"/>
      <c r="J13" s="1197"/>
      <c r="K13" s="1197"/>
      <c r="L13" s="1197"/>
      <c r="M13" s="1197"/>
      <c r="N13" s="1197"/>
      <c r="O13" s="1197"/>
      <c r="P13" s="1197"/>
      <c r="Q13" s="1197"/>
      <c r="R13" s="1197"/>
      <c r="S13" s="1197"/>
      <c r="T13" s="1197"/>
      <c r="U13" s="1197"/>
      <c r="V13" s="1197"/>
      <c r="W13" s="1197"/>
      <c r="X13" s="1197"/>
      <c r="Y13" s="1197"/>
      <c r="Z13" s="1197"/>
      <c r="AA13" s="1197"/>
      <c r="AB13" s="1197"/>
      <c r="AC13" s="1197"/>
    </row>
    <row r="14" spans="1:30" ht="15.75" customHeight="1" x14ac:dyDescent="0.25">
      <c r="A14" s="1192"/>
      <c r="B14" s="1198"/>
      <c r="C14" s="1199"/>
      <c r="D14" s="1200"/>
      <c r="E14" s="1200"/>
      <c r="F14" s="1200"/>
      <c r="G14" s="1200"/>
      <c r="H14" s="1200"/>
      <c r="I14" s="1200"/>
      <c r="J14" s="1201"/>
      <c r="K14" s="1201"/>
      <c r="L14" s="1201"/>
      <c r="M14" s="1201"/>
      <c r="N14" s="1201"/>
      <c r="O14" s="1201"/>
      <c r="P14" s="1201"/>
      <c r="Q14" s="1201"/>
      <c r="R14" s="1201"/>
      <c r="S14" s="1201"/>
      <c r="T14" s="1201"/>
      <c r="U14" s="1201"/>
      <c r="V14" s="1202"/>
      <c r="W14" s="1202"/>
      <c r="X14" s="1202"/>
      <c r="Y14" s="1202"/>
      <c r="Z14" s="1202"/>
      <c r="AA14" s="1202"/>
      <c r="AB14" s="1202"/>
      <c r="AC14" s="1202"/>
    </row>
    <row r="15" spans="1:30" s="17" customFormat="1" ht="14.45" customHeight="1" x14ac:dyDescent="0.25">
      <c r="A15" s="1291" t="s">
        <v>479</v>
      </c>
      <c r="B15" s="1278" t="s">
        <v>655</v>
      </c>
      <c r="C15" s="1279"/>
      <c r="D15" s="1280"/>
      <c r="E15" s="1280"/>
      <c r="F15" s="1280"/>
      <c r="G15" s="1280"/>
      <c r="H15" s="1280"/>
      <c r="I15" s="1280"/>
      <c r="J15" s="1292"/>
      <c r="K15" s="1292"/>
      <c r="L15" s="1292"/>
      <c r="M15" s="1292"/>
      <c r="N15" s="1292"/>
      <c r="O15" s="1292"/>
      <c r="P15" s="1292"/>
      <c r="Q15" s="1292"/>
      <c r="R15" s="1292"/>
      <c r="S15" s="1292"/>
      <c r="T15" s="1292"/>
      <c r="U15" s="1292"/>
      <c r="V15" s="1293"/>
      <c r="W15" s="1293"/>
      <c r="X15" s="1293"/>
      <c r="Y15" s="1293"/>
      <c r="Z15" s="1293"/>
      <c r="AA15" s="1293"/>
      <c r="AB15" s="1293"/>
      <c r="AC15" s="1293"/>
    </row>
    <row r="16" spans="1:30" s="17" customFormat="1" ht="14.45" customHeight="1" x14ac:dyDescent="0.25">
      <c r="A16" s="1291" t="s">
        <v>480</v>
      </c>
      <c r="B16" s="1282" t="s">
        <v>1296</v>
      </c>
      <c r="C16" s="1290"/>
      <c r="D16" s="1284"/>
      <c r="E16" s="1284"/>
      <c r="F16" s="1284"/>
      <c r="G16" s="1284"/>
      <c r="H16" s="1284"/>
      <c r="I16" s="1284"/>
      <c r="J16" s="1284"/>
      <c r="K16" s="1284"/>
      <c r="L16" s="1284"/>
      <c r="M16" s="1284">
        <v>22.5</v>
      </c>
      <c r="N16" s="1284">
        <v>-0.5</v>
      </c>
      <c r="O16" s="1266">
        <f>M16+N16</f>
        <v>22</v>
      </c>
      <c r="P16" s="1284"/>
      <c r="Q16" s="1284"/>
      <c r="R16" s="1266">
        <f t="shared" ref="R16:R21" si="0">C16+G16+M16</f>
        <v>22.5</v>
      </c>
      <c r="S16" s="1266"/>
      <c r="T16" s="1284">
        <v>-0.5</v>
      </c>
      <c r="U16" s="1266"/>
      <c r="V16" s="1266">
        <f>R16+T16</f>
        <v>22</v>
      </c>
      <c r="W16" s="1266"/>
      <c r="X16" s="1266"/>
      <c r="Y16" s="1266">
        <f t="shared" ref="Y16:Y21" si="1">R16+W16/2</f>
        <v>22.5</v>
      </c>
      <c r="Z16" s="1266"/>
      <c r="AA16" s="1266">
        <v>-0.5</v>
      </c>
      <c r="AB16" s="1266"/>
      <c r="AC16" s="1266">
        <f>Y16+Z16+AA16+AB16</f>
        <v>22</v>
      </c>
      <c r="AD16" s="799"/>
    </row>
    <row r="17" spans="1:32" s="17" customFormat="1" ht="14.45" customHeight="1" x14ac:dyDescent="0.25">
      <c r="A17" s="1291" t="s">
        <v>481</v>
      </c>
      <c r="B17" s="1282" t="s">
        <v>1298</v>
      </c>
      <c r="C17" s="1283"/>
      <c r="D17" s="1284"/>
      <c r="E17" s="1284"/>
      <c r="F17" s="1284"/>
      <c r="G17" s="1284"/>
      <c r="H17" s="1284"/>
      <c r="I17" s="1284"/>
      <c r="J17" s="1284"/>
      <c r="K17" s="1284"/>
      <c r="L17" s="1284"/>
      <c r="M17" s="1284">
        <v>26</v>
      </c>
      <c r="N17" s="1284"/>
      <c r="O17" s="1266">
        <f>M17</f>
        <v>26</v>
      </c>
      <c r="P17" s="1284"/>
      <c r="Q17" s="1284"/>
      <c r="R17" s="1266">
        <f t="shared" si="0"/>
        <v>26</v>
      </c>
      <c r="S17" s="1266"/>
      <c r="T17" s="1266"/>
      <c r="U17" s="1266"/>
      <c r="V17" s="1266">
        <f>D17+J17+O17</f>
        <v>26</v>
      </c>
      <c r="W17" s="1266"/>
      <c r="X17" s="1266"/>
      <c r="Y17" s="1266">
        <f t="shared" si="1"/>
        <v>26</v>
      </c>
      <c r="Z17" s="1266"/>
      <c r="AA17" s="1266"/>
      <c r="AB17" s="1266"/>
      <c r="AC17" s="1266">
        <f t="shared" ref="AC17:AC21" si="2">Y17+Z17+AA17+AB17</f>
        <v>26</v>
      </c>
    </row>
    <row r="18" spans="1:32" s="17" customFormat="1" ht="14.45" customHeight="1" x14ac:dyDescent="0.25">
      <c r="A18" s="1291" t="s">
        <v>482</v>
      </c>
      <c r="B18" s="1282" t="s">
        <v>911</v>
      </c>
      <c r="C18" s="1283"/>
      <c r="D18" s="1284"/>
      <c r="E18" s="1284"/>
      <c r="F18" s="1284"/>
      <c r="G18" s="1284"/>
      <c r="H18" s="1284"/>
      <c r="I18" s="1284"/>
      <c r="J18" s="1284"/>
      <c r="K18" s="1284"/>
      <c r="L18" s="1284"/>
      <c r="M18" s="1284">
        <v>9</v>
      </c>
      <c r="N18" s="1284"/>
      <c r="O18" s="1266">
        <f>M18</f>
        <v>9</v>
      </c>
      <c r="P18" s="1284"/>
      <c r="Q18" s="1284"/>
      <c r="R18" s="1266">
        <f t="shared" si="0"/>
        <v>9</v>
      </c>
      <c r="S18" s="1266"/>
      <c r="T18" s="1266"/>
      <c r="U18" s="1266"/>
      <c r="V18" s="1266">
        <f>D18+J18+O18</f>
        <v>9</v>
      </c>
      <c r="W18" s="1266"/>
      <c r="X18" s="1266"/>
      <c r="Y18" s="1266">
        <f t="shared" si="1"/>
        <v>9</v>
      </c>
      <c r="Z18" s="1266"/>
      <c r="AA18" s="1266"/>
      <c r="AB18" s="1266"/>
      <c r="AC18" s="1266">
        <f t="shared" si="2"/>
        <v>9</v>
      </c>
    </row>
    <row r="19" spans="1:32" s="17" customFormat="1" ht="14.45" customHeight="1" x14ac:dyDescent="0.25">
      <c r="A19" s="1291" t="s">
        <v>483</v>
      </c>
      <c r="B19" s="1282" t="s">
        <v>1297</v>
      </c>
      <c r="C19" s="1283"/>
      <c r="D19" s="1284"/>
      <c r="E19" s="1284"/>
      <c r="F19" s="1284"/>
      <c r="G19" s="1284"/>
      <c r="H19" s="1284"/>
      <c r="I19" s="1284"/>
      <c r="J19" s="1284"/>
      <c r="K19" s="1284"/>
      <c r="L19" s="1284"/>
      <c r="M19" s="1284">
        <v>11</v>
      </c>
      <c r="N19" s="1284"/>
      <c r="O19" s="1266">
        <f>M19</f>
        <v>11</v>
      </c>
      <c r="P19" s="1284"/>
      <c r="Q19" s="1284"/>
      <c r="R19" s="1266">
        <f t="shared" si="0"/>
        <v>11</v>
      </c>
      <c r="S19" s="1266"/>
      <c r="T19" s="1266"/>
      <c r="U19" s="1266"/>
      <c r="V19" s="1266">
        <f>D19+J19+O19</f>
        <v>11</v>
      </c>
      <c r="W19" s="1266"/>
      <c r="X19" s="1266"/>
      <c r="Y19" s="1266">
        <f t="shared" si="1"/>
        <v>11</v>
      </c>
      <c r="Z19" s="1266"/>
      <c r="AA19" s="1266"/>
      <c r="AB19" s="1266"/>
      <c r="AC19" s="1266">
        <f t="shared" si="2"/>
        <v>11</v>
      </c>
    </row>
    <row r="20" spans="1:32" s="17" customFormat="1" ht="14.45" customHeight="1" x14ac:dyDescent="0.25">
      <c r="A20" s="1291" t="s">
        <v>520</v>
      </c>
      <c r="B20" s="1282" t="s">
        <v>1299</v>
      </c>
      <c r="C20" s="1283"/>
      <c r="D20" s="1284"/>
      <c r="E20" s="1284"/>
      <c r="F20" s="1284"/>
      <c r="G20" s="1284"/>
      <c r="H20" s="1284"/>
      <c r="I20" s="1284"/>
      <c r="J20" s="1284"/>
      <c r="K20" s="1284"/>
      <c r="L20" s="1284"/>
      <c r="M20" s="1284">
        <v>7</v>
      </c>
      <c r="N20" s="1284"/>
      <c r="O20" s="1266">
        <f>M20</f>
        <v>7</v>
      </c>
      <c r="P20" s="1284"/>
      <c r="Q20" s="1284"/>
      <c r="R20" s="1266">
        <f t="shared" si="0"/>
        <v>7</v>
      </c>
      <c r="S20" s="1266"/>
      <c r="T20" s="1266"/>
      <c r="U20" s="1266"/>
      <c r="V20" s="1266">
        <f>D20+J20+O20</f>
        <v>7</v>
      </c>
      <c r="W20" s="1266"/>
      <c r="X20" s="1266"/>
      <c r="Y20" s="1266">
        <f t="shared" si="1"/>
        <v>7</v>
      </c>
      <c r="Z20" s="1266"/>
      <c r="AA20" s="1266"/>
      <c r="AB20" s="1266"/>
      <c r="AC20" s="1266">
        <f t="shared" si="2"/>
        <v>7</v>
      </c>
    </row>
    <row r="21" spans="1:32" s="17" customFormat="1" ht="14.45" customHeight="1" x14ac:dyDescent="0.25">
      <c r="A21" s="1291" t="s">
        <v>522</v>
      </c>
      <c r="B21" s="1264" t="s">
        <v>656</v>
      </c>
      <c r="C21" s="1265"/>
      <c r="D21" s="1287"/>
      <c r="E21" s="1287"/>
      <c r="F21" s="1287"/>
      <c r="G21" s="1287"/>
      <c r="H21" s="1287"/>
      <c r="I21" s="1287"/>
      <c r="J21" s="1284"/>
      <c r="K21" s="1284"/>
      <c r="L21" s="1284"/>
      <c r="M21" s="1266">
        <f>SUM(M16:M20)</f>
        <v>75.5</v>
      </c>
      <c r="N21" s="1266"/>
      <c r="O21" s="1266">
        <f>SUM(O16:O20)</f>
        <v>75</v>
      </c>
      <c r="P21" s="1266">
        <v>0</v>
      </c>
      <c r="Q21" s="1266">
        <v>0</v>
      </c>
      <c r="R21" s="1266">
        <f t="shared" si="0"/>
        <v>75.5</v>
      </c>
      <c r="S21" s="1266"/>
      <c r="T21" s="1266">
        <f>SUM(T16:T20)</f>
        <v>-0.5</v>
      </c>
      <c r="U21" s="1266"/>
      <c r="V21" s="1266">
        <f>SUM(V16:V20)</f>
        <v>75</v>
      </c>
      <c r="W21" s="1266">
        <v>0</v>
      </c>
      <c r="X21" s="1266">
        <v>0</v>
      </c>
      <c r="Y21" s="1288">
        <f t="shared" si="1"/>
        <v>75.5</v>
      </c>
      <c r="Z21" s="1288"/>
      <c r="AA21" s="1288">
        <f>SUM(AA16:AA20)</f>
        <v>-0.5</v>
      </c>
      <c r="AB21" s="1288"/>
      <c r="AC21" s="1266">
        <f t="shared" si="2"/>
        <v>75</v>
      </c>
      <c r="AD21" s="676"/>
    </row>
    <row r="22" spans="1:32" s="17" customFormat="1" ht="13.5" customHeight="1" x14ac:dyDescent="0.25">
      <c r="A22" s="1192"/>
      <c r="B22" s="1212"/>
      <c r="C22" s="1213"/>
      <c r="D22" s="1214"/>
      <c r="E22" s="1214"/>
      <c r="F22" s="1214"/>
      <c r="G22" s="1214"/>
      <c r="H22" s="1214"/>
      <c r="I22" s="1214"/>
      <c r="J22" s="1215"/>
      <c r="K22" s="1215"/>
      <c r="L22" s="1215"/>
      <c r="M22" s="1215"/>
      <c r="N22" s="1215"/>
      <c r="O22" s="1215"/>
      <c r="P22" s="1215"/>
      <c r="Q22" s="1215"/>
      <c r="R22" s="1215"/>
      <c r="S22" s="1215"/>
      <c r="T22" s="1215"/>
      <c r="U22" s="1215"/>
      <c r="V22" s="1215"/>
      <c r="W22" s="1215"/>
      <c r="X22" s="1215"/>
      <c r="Y22" s="1215"/>
      <c r="Z22" s="1215"/>
      <c r="AA22" s="1215"/>
      <c r="AB22" s="1215"/>
      <c r="AC22" s="1215"/>
    </row>
    <row r="23" spans="1:32" ht="12.75" customHeight="1" x14ac:dyDescent="0.25">
      <c r="A23" s="1192"/>
      <c r="B23" s="1198"/>
      <c r="C23" s="1199"/>
      <c r="D23" s="1200"/>
      <c r="E23" s="1200"/>
      <c r="F23" s="1200"/>
      <c r="G23" s="1200"/>
      <c r="H23" s="1200"/>
      <c r="I23" s="1200"/>
      <c r="J23" s="1216"/>
      <c r="K23" s="1216"/>
      <c r="L23" s="1216"/>
      <c r="M23" s="1216"/>
      <c r="N23" s="1216"/>
      <c r="O23" s="1201"/>
      <c r="P23" s="1201"/>
      <c r="Q23" s="1201"/>
      <c r="R23" s="1201"/>
      <c r="S23" s="1201"/>
      <c r="T23" s="1201"/>
      <c r="U23" s="1201"/>
      <c r="V23" s="1201"/>
      <c r="W23" s="1201"/>
      <c r="X23" s="1201"/>
      <c r="Y23" s="1201"/>
      <c r="Z23" s="1201"/>
      <c r="AA23" s="1201"/>
      <c r="AB23" s="1201"/>
      <c r="AC23" s="1201"/>
    </row>
    <row r="24" spans="1:32" s="17" customFormat="1" ht="27" customHeight="1" x14ac:dyDescent="0.25">
      <c r="A24" s="1291" t="s">
        <v>523</v>
      </c>
      <c r="B24" s="1278" t="s">
        <v>1300</v>
      </c>
      <c r="C24" s="1279"/>
      <c r="D24" s="1280"/>
      <c r="E24" s="1280"/>
      <c r="F24" s="1280"/>
      <c r="G24" s="1280"/>
      <c r="H24" s="1280"/>
      <c r="I24" s="1280"/>
      <c r="J24" s="1280"/>
      <c r="K24" s="1280"/>
      <c r="L24" s="1280"/>
      <c r="M24" s="1280"/>
      <c r="N24" s="1280"/>
      <c r="O24" s="1280"/>
      <c r="P24" s="1280"/>
      <c r="Q24" s="1280"/>
      <c r="R24" s="1281"/>
      <c r="S24" s="1281"/>
      <c r="T24" s="1281"/>
      <c r="U24" s="1281"/>
      <c r="V24" s="1281"/>
      <c r="W24" s="1281"/>
      <c r="X24" s="1281"/>
      <c r="Y24" s="1281"/>
      <c r="Z24" s="1281"/>
      <c r="AA24" s="1281"/>
      <c r="AB24" s="1281"/>
      <c r="AC24" s="1280"/>
    </row>
    <row r="25" spans="1:32" s="17" customFormat="1" ht="27.75" customHeight="1" x14ac:dyDescent="0.25">
      <c r="A25" s="1291" t="s">
        <v>524</v>
      </c>
      <c r="B25" s="1282" t="s">
        <v>1087</v>
      </c>
      <c r="C25" s="1283"/>
      <c r="D25" s="1284"/>
      <c r="E25" s="1284"/>
      <c r="F25" s="1284"/>
      <c r="G25" s="1284"/>
      <c r="H25" s="1284"/>
      <c r="I25" s="1284"/>
      <c r="J25" s="1266"/>
      <c r="K25" s="1266"/>
      <c r="L25" s="1266"/>
      <c r="M25" s="1284">
        <v>8</v>
      </c>
      <c r="N25" s="1284"/>
      <c r="O25" s="1266">
        <f>M25</f>
        <v>8</v>
      </c>
      <c r="P25" s="1284"/>
      <c r="Q25" s="1284"/>
      <c r="R25" s="1266">
        <f>C25+G25+M25</f>
        <v>8</v>
      </c>
      <c r="S25" s="1266"/>
      <c r="T25" s="1266"/>
      <c r="U25" s="1266"/>
      <c r="V25" s="1266">
        <f t="shared" ref="V25:V36" si="3">D25+J25+O25</f>
        <v>8</v>
      </c>
      <c r="W25" s="1266"/>
      <c r="X25" s="1266"/>
      <c r="Y25" s="1266">
        <f t="shared" ref="Y25:Y36" si="4">C25+G25+M25+P25/2</f>
        <v>8</v>
      </c>
      <c r="Z25" s="1266"/>
      <c r="AA25" s="1266"/>
      <c r="AB25" s="1266"/>
      <c r="AC25" s="1266">
        <f t="shared" ref="AC25:AC36" si="5">D25+J25+O25+Q25/2</f>
        <v>8</v>
      </c>
      <c r="AD25" s="28"/>
    </row>
    <row r="26" spans="1:32" s="17" customFormat="1" ht="14.45" customHeight="1" x14ac:dyDescent="0.25">
      <c r="A26" s="1291" t="s">
        <v>525</v>
      </c>
      <c r="B26" s="1282" t="s">
        <v>657</v>
      </c>
      <c r="C26" s="1283"/>
      <c r="D26" s="1284"/>
      <c r="E26" s="1284"/>
      <c r="F26" s="1284"/>
      <c r="G26" s="1284"/>
      <c r="H26" s="1284"/>
      <c r="I26" s="1284"/>
      <c r="J26" s="1284"/>
      <c r="K26" s="1284"/>
      <c r="L26" s="1284"/>
      <c r="M26" s="1284">
        <v>1</v>
      </c>
      <c r="N26" s="1284"/>
      <c r="O26" s="1266">
        <f t="shared" ref="O26:O60" si="6">M26</f>
        <v>1</v>
      </c>
      <c r="P26" s="1284"/>
      <c r="Q26" s="1284"/>
      <c r="R26" s="1266">
        <f>C26+G26+M26</f>
        <v>1</v>
      </c>
      <c r="S26" s="1266"/>
      <c r="T26" s="1266"/>
      <c r="U26" s="1266"/>
      <c r="V26" s="1266">
        <f t="shared" si="3"/>
        <v>1</v>
      </c>
      <c r="W26" s="1266"/>
      <c r="X26" s="1266"/>
      <c r="Y26" s="1266">
        <f t="shared" si="4"/>
        <v>1</v>
      </c>
      <c r="Z26" s="1266"/>
      <c r="AA26" s="1266"/>
      <c r="AB26" s="1266"/>
      <c r="AC26" s="1266">
        <f t="shared" si="5"/>
        <v>1</v>
      </c>
      <c r="AD26" s="28"/>
    </row>
    <row r="27" spans="1:32" s="17" customFormat="1" ht="14.25" customHeight="1" x14ac:dyDescent="0.25">
      <c r="A27" s="1291" t="s">
        <v>526</v>
      </c>
      <c r="B27" s="1282" t="s">
        <v>1081</v>
      </c>
      <c r="C27" s="1283"/>
      <c r="D27" s="1284"/>
      <c r="E27" s="1284"/>
      <c r="F27" s="1284"/>
      <c r="G27" s="1284"/>
      <c r="H27" s="1284"/>
      <c r="I27" s="1284"/>
      <c r="J27" s="1284"/>
      <c r="K27" s="1284"/>
      <c r="L27" s="1284"/>
      <c r="M27" s="1284">
        <v>31</v>
      </c>
      <c r="N27" s="1284"/>
      <c r="O27" s="1266">
        <f t="shared" si="6"/>
        <v>31</v>
      </c>
      <c r="P27" s="1284"/>
      <c r="Q27" s="1284"/>
      <c r="R27" s="1266">
        <v>31</v>
      </c>
      <c r="S27" s="1266"/>
      <c r="T27" s="1266"/>
      <c r="U27" s="1266"/>
      <c r="V27" s="1266">
        <f t="shared" si="3"/>
        <v>31</v>
      </c>
      <c r="W27" s="1266"/>
      <c r="X27" s="1266"/>
      <c r="Y27" s="1266">
        <f t="shared" si="4"/>
        <v>31</v>
      </c>
      <c r="Z27" s="1266"/>
      <c r="AA27" s="1266"/>
      <c r="AB27" s="1266"/>
      <c r="AC27" s="1266">
        <f t="shared" si="5"/>
        <v>31</v>
      </c>
      <c r="AD27" s="28"/>
    </row>
    <row r="28" spans="1:32" s="17" customFormat="1" ht="29.25" customHeight="1" x14ac:dyDescent="0.25">
      <c r="A28" s="1291" t="s">
        <v>528</v>
      </c>
      <c r="B28" s="1282" t="s">
        <v>1082</v>
      </c>
      <c r="C28" s="1283"/>
      <c r="D28" s="1284"/>
      <c r="E28" s="1284"/>
      <c r="F28" s="1284"/>
      <c r="G28" s="1284"/>
      <c r="H28" s="1284"/>
      <c r="I28" s="1284"/>
      <c r="J28" s="1284"/>
      <c r="K28" s="1284"/>
      <c r="L28" s="1284"/>
      <c r="M28" s="1285">
        <v>2</v>
      </c>
      <c r="N28" s="1285"/>
      <c r="O28" s="1266">
        <f t="shared" si="6"/>
        <v>2</v>
      </c>
      <c r="P28" s="1285"/>
      <c r="Q28" s="1285"/>
      <c r="R28" s="1286">
        <f>C28+G28+M28</f>
        <v>2</v>
      </c>
      <c r="S28" s="1286"/>
      <c r="T28" s="1286"/>
      <c r="U28" s="1286"/>
      <c r="V28" s="1266">
        <f t="shared" si="3"/>
        <v>2</v>
      </c>
      <c r="W28" s="1286"/>
      <c r="X28" s="1286"/>
      <c r="Y28" s="1286">
        <f t="shared" si="4"/>
        <v>2</v>
      </c>
      <c r="Z28" s="1286"/>
      <c r="AA28" s="1286"/>
      <c r="AB28" s="1286"/>
      <c r="AC28" s="1266">
        <f t="shared" si="5"/>
        <v>2</v>
      </c>
      <c r="AD28" s="28"/>
    </row>
    <row r="29" spans="1:32" s="17" customFormat="1" ht="14.45" customHeight="1" x14ac:dyDescent="0.25">
      <c r="A29" s="1291" t="s">
        <v>529</v>
      </c>
      <c r="B29" s="1282" t="s">
        <v>672</v>
      </c>
      <c r="C29" s="1283"/>
      <c r="D29" s="1284"/>
      <c r="E29" s="1284"/>
      <c r="F29" s="1284"/>
      <c r="G29" s="1284"/>
      <c r="H29" s="1284"/>
      <c r="I29" s="1284"/>
      <c r="J29" s="1284"/>
      <c r="K29" s="1284"/>
      <c r="L29" s="1284"/>
      <c r="M29" s="1284">
        <v>2</v>
      </c>
      <c r="N29" s="1284"/>
      <c r="O29" s="1266">
        <f t="shared" si="6"/>
        <v>2</v>
      </c>
      <c r="P29" s="1284"/>
      <c r="Q29" s="1284"/>
      <c r="R29" s="1266">
        <f>C29+G29+M29</f>
        <v>2</v>
      </c>
      <c r="S29" s="1266"/>
      <c r="T29" s="1266"/>
      <c r="U29" s="1266"/>
      <c r="V29" s="1266">
        <f t="shared" si="3"/>
        <v>2</v>
      </c>
      <c r="W29" s="1266"/>
      <c r="X29" s="1266"/>
      <c r="Y29" s="1266">
        <f t="shared" si="4"/>
        <v>2</v>
      </c>
      <c r="Z29" s="1266"/>
      <c r="AA29" s="1266"/>
      <c r="AB29" s="1266"/>
      <c r="AC29" s="1266">
        <f t="shared" si="5"/>
        <v>2</v>
      </c>
      <c r="AD29" s="28"/>
    </row>
    <row r="30" spans="1:32" s="17" customFormat="1" ht="14.45" customHeight="1" x14ac:dyDescent="0.25">
      <c r="A30" s="1291" t="s">
        <v>530</v>
      </c>
      <c r="B30" s="1282" t="s">
        <v>658</v>
      </c>
      <c r="C30" s="1283"/>
      <c r="D30" s="1284"/>
      <c r="E30" s="1284"/>
      <c r="F30" s="1284"/>
      <c r="G30" s="1284"/>
      <c r="H30" s="1284"/>
      <c r="I30" s="1284"/>
      <c r="J30" s="1284"/>
      <c r="K30" s="1284"/>
      <c r="L30" s="1284"/>
      <c r="M30" s="1284">
        <v>3</v>
      </c>
      <c r="N30" s="1284"/>
      <c r="O30" s="1266">
        <f t="shared" si="6"/>
        <v>3</v>
      </c>
      <c r="P30" s="1284"/>
      <c r="Q30" s="1284"/>
      <c r="R30" s="1266">
        <v>3</v>
      </c>
      <c r="S30" s="1266"/>
      <c r="T30" s="1266"/>
      <c r="U30" s="1266"/>
      <c r="V30" s="1266">
        <f t="shared" si="3"/>
        <v>3</v>
      </c>
      <c r="W30" s="1266"/>
      <c r="X30" s="1266"/>
      <c r="Y30" s="1266">
        <f t="shared" si="4"/>
        <v>3</v>
      </c>
      <c r="Z30" s="1266"/>
      <c r="AA30" s="1266"/>
      <c r="AB30" s="1266"/>
      <c r="AC30" s="1266">
        <f t="shared" si="5"/>
        <v>3</v>
      </c>
      <c r="AD30" s="28"/>
      <c r="AF30" s="499"/>
    </row>
    <row r="31" spans="1:32" s="17" customFormat="1" ht="14.45" customHeight="1" x14ac:dyDescent="0.25">
      <c r="A31" s="1291" t="s">
        <v>531</v>
      </c>
      <c r="B31" s="1282" t="s">
        <v>659</v>
      </c>
      <c r="C31" s="1283"/>
      <c r="D31" s="1284"/>
      <c r="E31" s="1284"/>
      <c r="F31" s="1284"/>
      <c r="G31" s="1284"/>
      <c r="H31" s="1284"/>
      <c r="I31" s="1284"/>
      <c r="J31" s="1284"/>
      <c r="K31" s="1284"/>
      <c r="L31" s="1284"/>
      <c r="M31" s="1284">
        <v>5</v>
      </c>
      <c r="N31" s="1284"/>
      <c r="O31" s="1266">
        <f t="shared" si="6"/>
        <v>5</v>
      </c>
      <c r="P31" s="1284"/>
      <c r="Q31" s="1284"/>
      <c r="R31" s="1266">
        <f>M31+P31</f>
        <v>5</v>
      </c>
      <c r="S31" s="1266"/>
      <c r="T31" s="1266"/>
      <c r="U31" s="1266"/>
      <c r="V31" s="1266">
        <f t="shared" si="3"/>
        <v>5</v>
      </c>
      <c r="W31" s="1266"/>
      <c r="X31" s="1266"/>
      <c r="Y31" s="1266">
        <f t="shared" si="4"/>
        <v>5</v>
      </c>
      <c r="Z31" s="1266"/>
      <c r="AA31" s="1266"/>
      <c r="AB31" s="1266"/>
      <c r="AC31" s="1266">
        <f t="shared" si="5"/>
        <v>5</v>
      </c>
      <c r="AD31" s="28"/>
    </row>
    <row r="32" spans="1:32" s="17" customFormat="1" ht="29.25" customHeight="1" x14ac:dyDescent="0.25">
      <c r="A32" s="1383" t="s">
        <v>532</v>
      </c>
      <c r="B32" s="1282" t="s">
        <v>1086</v>
      </c>
      <c r="C32" s="1283"/>
      <c r="D32" s="1284"/>
      <c r="E32" s="1284"/>
      <c r="F32" s="1284"/>
      <c r="G32" s="1284"/>
      <c r="H32" s="1284"/>
      <c r="I32" s="1284"/>
      <c r="J32" s="1284"/>
      <c r="K32" s="1284"/>
      <c r="L32" s="1284"/>
      <c r="M32" s="1284">
        <v>5</v>
      </c>
      <c r="N32" s="1284"/>
      <c r="O32" s="1266">
        <f t="shared" si="6"/>
        <v>5</v>
      </c>
      <c r="P32" s="1284"/>
      <c r="Q32" s="1284"/>
      <c r="R32" s="1266">
        <v>5</v>
      </c>
      <c r="S32" s="1266"/>
      <c r="T32" s="1266"/>
      <c r="U32" s="1266"/>
      <c r="V32" s="1266">
        <f t="shared" si="3"/>
        <v>5</v>
      </c>
      <c r="W32" s="1266"/>
      <c r="X32" s="1266"/>
      <c r="Y32" s="1266">
        <f t="shared" si="4"/>
        <v>5</v>
      </c>
      <c r="Z32" s="1266"/>
      <c r="AA32" s="1266"/>
      <c r="AB32" s="1266"/>
      <c r="AC32" s="1266">
        <f t="shared" si="5"/>
        <v>5</v>
      </c>
    </row>
    <row r="33" spans="1:30" s="17" customFormat="1" ht="42.75" customHeight="1" x14ac:dyDescent="0.25">
      <c r="A33" s="1291" t="s">
        <v>533</v>
      </c>
      <c r="B33" s="1282" t="s">
        <v>1084</v>
      </c>
      <c r="C33" s="1283"/>
      <c r="D33" s="1284"/>
      <c r="E33" s="1284"/>
      <c r="F33" s="1284"/>
      <c r="G33" s="1284"/>
      <c r="H33" s="1284"/>
      <c r="I33" s="1284"/>
      <c r="J33" s="1284"/>
      <c r="K33" s="1284"/>
      <c r="L33" s="1284"/>
      <c r="M33" s="1284">
        <v>5</v>
      </c>
      <c r="N33" s="1284"/>
      <c r="O33" s="1266">
        <f t="shared" si="6"/>
        <v>5</v>
      </c>
      <c r="P33" s="1284"/>
      <c r="Q33" s="1284"/>
      <c r="R33" s="1266">
        <v>5</v>
      </c>
      <c r="S33" s="1266"/>
      <c r="T33" s="1266"/>
      <c r="U33" s="1266"/>
      <c r="V33" s="1266">
        <f t="shared" si="3"/>
        <v>5</v>
      </c>
      <c r="W33" s="1266"/>
      <c r="X33" s="1266"/>
      <c r="Y33" s="1266">
        <f t="shared" si="4"/>
        <v>5</v>
      </c>
      <c r="Z33" s="1266"/>
      <c r="AA33" s="1266"/>
      <c r="AB33" s="1266"/>
      <c r="AC33" s="1266">
        <f t="shared" si="5"/>
        <v>5</v>
      </c>
    </row>
    <row r="34" spans="1:30" s="17" customFormat="1" ht="14.25" customHeight="1" x14ac:dyDescent="0.25">
      <c r="A34" s="1291" t="s">
        <v>534</v>
      </c>
      <c r="B34" s="1282" t="s">
        <v>1083</v>
      </c>
      <c r="C34" s="1283"/>
      <c r="D34" s="1284"/>
      <c r="E34" s="1284"/>
      <c r="F34" s="1284"/>
      <c r="G34" s="1284"/>
      <c r="H34" s="1284"/>
      <c r="I34" s="1284"/>
      <c r="J34" s="1284"/>
      <c r="K34" s="1284"/>
      <c r="L34" s="1284"/>
      <c r="M34" s="1284">
        <v>3</v>
      </c>
      <c r="N34" s="1284"/>
      <c r="O34" s="1266">
        <f t="shared" si="6"/>
        <v>3</v>
      </c>
      <c r="P34" s="1284"/>
      <c r="Q34" s="1284"/>
      <c r="R34" s="1266">
        <v>3</v>
      </c>
      <c r="S34" s="1266"/>
      <c r="T34" s="1266"/>
      <c r="U34" s="1266"/>
      <c r="V34" s="1266">
        <f t="shared" si="3"/>
        <v>3</v>
      </c>
      <c r="W34" s="1266"/>
      <c r="X34" s="1266"/>
      <c r="Y34" s="1266">
        <f t="shared" si="4"/>
        <v>3</v>
      </c>
      <c r="Z34" s="1266"/>
      <c r="AA34" s="1266"/>
      <c r="AB34" s="1266"/>
      <c r="AC34" s="1266">
        <f t="shared" si="5"/>
        <v>3</v>
      </c>
    </row>
    <row r="35" spans="1:30" s="17" customFormat="1" ht="27.75" customHeight="1" x14ac:dyDescent="0.25">
      <c r="A35" s="1291" t="s">
        <v>535</v>
      </c>
      <c r="B35" s="1282" t="s">
        <v>1085</v>
      </c>
      <c r="C35" s="1283"/>
      <c r="D35" s="1284"/>
      <c r="E35" s="1284"/>
      <c r="F35" s="1284"/>
      <c r="G35" s="1284"/>
      <c r="H35" s="1284"/>
      <c r="I35" s="1284"/>
      <c r="J35" s="1284"/>
      <c r="K35" s="1284"/>
      <c r="L35" s="1284"/>
      <c r="M35" s="1284">
        <v>1</v>
      </c>
      <c r="N35" s="1284"/>
      <c r="O35" s="1266">
        <f t="shared" si="6"/>
        <v>1</v>
      </c>
      <c r="P35" s="1284"/>
      <c r="Q35" s="1284"/>
      <c r="R35" s="1266">
        <f>M35</f>
        <v>1</v>
      </c>
      <c r="S35" s="1266"/>
      <c r="T35" s="1266"/>
      <c r="U35" s="1266"/>
      <c r="V35" s="1266">
        <f t="shared" si="3"/>
        <v>1</v>
      </c>
      <c r="W35" s="1266"/>
      <c r="X35" s="1266"/>
      <c r="Y35" s="1266">
        <f t="shared" si="4"/>
        <v>1</v>
      </c>
      <c r="Z35" s="1266"/>
      <c r="AA35" s="1266"/>
      <c r="AB35" s="1266"/>
      <c r="AC35" s="1266">
        <f t="shared" si="5"/>
        <v>1</v>
      </c>
    </row>
    <row r="36" spans="1:30" s="17" customFormat="1" ht="14.25" customHeight="1" x14ac:dyDescent="0.25">
      <c r="A36" s="1291" t="s">
        <v>552</v>
      </c>
      <c r="B36" s="1264" t="s">
        <v>660</v>
      </c>
      <c r="C36" s="1265"/>
      <c r="D36" s="1287"/>
      <c r="E36" s="1287"/>
      <c r="F36" s="1287"/>
      <c r="G36" s="1287"/>
      <c r="H36" s="1287"/>
      <c r="I36" s="1287"/>
      <c r="J36" s="1266"/>
      <c r="K36" s="1266"/>
      <c r="L36" s="1266"/>
      <c r="M36" s="1266">
        <f>SUM(M25:M35)</f>
        <v>66</v>
      </c>
      <c r="N36" s="1266"/>
      <c r="O36" s="1266">
        <f t="shared" si="6"/>
        <v>66</v>
      </c>
      <c r="P36" s="1266">
        <f>SUM(P25:P34)</f>
        <v>0</v>
      </c>
      <c r="Q36" s="1266">
        <f>SUM(Q25:Q34)</f>
        <v>0</v>
      </c>
      <c r="R36" s="1266">
        <f>SUM(R25:R35)</f>
        <v>66</v>
      </c>
      <c r="S36" s="1266"/>
      <c r="T36" s="1266"/>
      <c r="U36" s="1266"/>
      <c r="V36" s="1266">
        <f t="shared" si="3"/>
        <v>66</v>
      </c>
      <c r="W36" s="1266">
        <f>P36+K36+E36</f>
        <v>0</v>
      </c>
      <c r="X36" s="1266">
        <f>F36+L36+Q36</f>
        <v>0</v>
      </c>
      <c r="Y36" s="1288">
        <f t="shared" si="4"/>
        <v>66</v>
      </c>
      <c r="Z36" s="1288"/>
      <c r="AA36" s="1288"/>
      <c r="AB36" s="1288"/>
      <c r="AC36" s="1288">
        <f t="shared" si="5"/>
        <v>66</v>
      </c>
    </row>
    <row r="37" spans="1:30" ht="12.75" hidden="1" customHeight="1" x14ac:dyDescent="0.25">
      <c r="A37" s="1291" t="s">
        <v>554</v>
      </c>
      <c r="B37" s="1217"/>
      <c r="C37" s="1218"/>
      <c r="D37" s="1219"/>
      <c r="E37" s="1219"/>
      <c r="F37" s="1219"/>
      <c r="G37" s="1219"/>
      <c r="H37" s="1219"/>
      <c r="I37" s="1219"/>
      <c r="J37" s="1220"/>
      <c r="K37" s="1220"/>
      <c r="L37" s="1220"/>
      <c r="M37" s="1220"/>
      <c r="N37" s="1220"/>
      <c r="O37" s="1266">
        <f t="shared" si="6"/>
        <v>0</v>
      </c>
      <c r="P37" s="1220">
        <f>SUM(P25:P36)</f>
        <v>0</v>
      </c>
      <c r="Q37" s="1220"/>
      <c r="R37" s="1220"/>
      <c r="S37" s="1220"/>
      <c r="T37" s="1220"/>
      <c r="U37" s="1220"/>
      <c r="V37" s="1220"/>
      <c r="W37" s="1201"/>
      <c r="X37" s="1201"/>
      <c r="Y37" s="1201"/>
      <c r="Z37" s="1201"/>
      <c r="AA37" s="1201"/>
      <c r="AB37" s="1201"/>
      <c r="AC37" s="1221"/>
      <c r="AD37" s="430"/>
    </row>
    <row r="38" spans="1:30" s="31" customFormat="1" ht="14.25" hidden="1" customHeight="1" x14ac:dyDescent="0.25">
      <c r="A38" s="1291" t="s">
        <v>555</v>
      </c>
      <c r="B38" s="1203"/>
      <c r="C38" s="1222"/>
      <c r="D38" s="1201"/>
      <c r="E38" s="1201"/>
      <c r="F38" s="1201"/>
      <c r="G38" s="1201"/>
      <c r="H38" s="1201"/>
      <c r="I38" s="1201"/>
      <c r="J38" s="1216"/>
      <c r="K38" s="1216"/>
      <c r="L38" s="1216"/>
      <c r="M38" s="1216"/>
      <c r="N38" s="1216"/>
      <c r="O38" s="1266">
        <f t="shared" si="6"/>
        <v>0</v>
      </c>
      <c r="P38" s="1201"/>
      <c r="Q38" s="1201"/>
      <c r="R38" s="1201"/>
      <c r="S38" s="1201"/>
      <c r="T38" s="1201"/>
      <c r="U38" s="1201"/>
      <c r="V38" s="1216"/>
      <c r="W38" s="1216"/>
      <c r="X38" s="1201"/>
      <c r="Y38" s="1201"/>
      <c r="Z38" s="1201"/>
      <c r="AA38" s="1201"/>
      <c r="AB38" s="1201"/>
      <c r="AC38" s="1201"/>
    </row>
    <row r="39" spans="1:30" s="31" customFormat="1" ht="14.45" hidden="1" customHeight="1" x14ac:dyDescent="0.25">
      <c r="A39" s="1291" t="s">
        <v>556</v>
      </c>
      <c r="B39" s="1223"/>
      <c r="C39" s="1224"/>
      <c r="D39" s="1195"/>
      <c r="E39" s="1195"/>
      <c r="F39" s="1195"/>
      <c r="G39" s="1195"/>
      <c r="H39" s="1195"/>
      <c r="I39" s="1195"/>
      <c r="J39" s="1208"/>
      <c r="K39" s="1208"/>
      <c r="L39" s="1208"/>
      <c r="M39" s="1208"/>
      <c r="N39" s="1208"/>
      <c r="O39" s="1266">
        <f t="shared" si="6"/>
        <v>0</v>
      </c>
      <c r="P39" s="1195"/>
      <c r="Q39" s="1195"/>
      <c r="R39" s="1195"/>
      <c r="S39" s="1195"/>
      <c r="T39" s="1195"/>
      <c r="U39" s="1195"/>
      <c r="V39" s="1208"/>
      <c r="W39" s="1208"/>
      <c r="X39" s="1195"/>
      <c r="Y39" s="1195"/>
      <c r="Z39" s="1195"/>
      <c r="AA39" s="1195"/>
      <c r="AB39" s="1195"/>
      <c r="AC39" s="1195"/>
    </row>
    <row r="40" spans="1:30" s="31" customFormat="1" ht="14.25" hidden="1" customHeight="1" x14ac:dyDescent="0.25">
      <c r="A40" s="1291" t="s">
        <v>557</v>
      </c>
      <c r="B40" s="1207"/>
      <c r="C40" s="1209"/>
      <c r="D40" s="1208"/>
      <c r="E40" s="1208"/>
      <c r="F40" s="1208"/>
      <c r="G40" s="1208"/>
      <c r="H40" s="1208"/>
      <c r="I40" s="1208"/>
      <c r="J40" s="1208"/>
      <c r="K40" s="1208"/>
      <c r="L40" s="1208"/>
      <c r="M40" s="1208"/>
      <c r="N40" s="1208"/>
      <c r="O40" s="1266">
        <f t="shared" si="6"/>
        <v>0</v>
      </c>
      <c r="P40" s="1208"/>
      <c r="Q40" s="1208"/>
      <c r="R40" s="1208"/>
      <c r="S40" s="1208"/>
      <c r="T40" s="1208"/>
      <c r="U40" s="1208"/>
      <c r="V40" s="1208"/>
      <c r="W40" s="1208"/>
      <c r="X40" s="1195"/>
      <c r="Y40" s="1195"/>
      <c r="Z40" s="1195"/>
      <c r="AA40" s="1195"/>
      <c r="AB40" s="1195"/>
      <c r="AC40" s="1195"/>
    </row>
    <row r="41" spans="1:30" s="31" customFormat="1" ht="14.25" hidden="1" customHeight="1" x14ac:dyDescent="0.25">
      <c r="A41" s="1291" t="s">
        <v>558</v>
      </c>
      <c r="B41" s="1207"/>
      <c r="C41" s="1209"/>
      <c r="D41" s="1208"/>
      <c r="E41" s="1208"/>
      <c r="F41" s="1208"/>
      <c r="G41" s="1208"/>
      <c r="H41" s="1208"/>
      <c r="I41" s="1208"/>
      <c r="J41" s="1208"/>
      <c r="K41" s="1208"/>
      <c r="L41" s="1208"/>
      <c r="M41" s="1208"/>
      <c r="N41" s="1208"/>
      <c r="O41" s="1266">
        <f t="shared" si="6"/>
        <v>0</v>
      </c>
      <c r="P41" s="1208"/>
      <c r="Q41" s="1208"/>
      <c r="R41" s="1208"/>
      <c r="S41" s="1208"/>
      <c r="T41" s="1208"/>
      <c r="U41" s="1208"/>
      <c r="V41" s="1208"/>
      <c r="W41" s="1208"/>
      <c r="X41" s="1195"/>
      <c r="Y41" s="1195"/>
      <c r="Z41" s="1195"/>
      <c r="AA41" s="1195"/>
      <c r="AB41" s="1195"/>
      <c r="AC41" s="1195"/>
    </row>
    <row r="42" spans="1:30" s="31" customFormat="1" ht="14.25" hidden="1" customHeight="1" x14ac:dyDescent="0.25">
      <c r="A42" s="1291" t="s">
        <v>559</v>
      </c>
      <c r="B42" s="1207"/>
      <c r="C42" s="1209"/>
      <c r="D42" s="1208"/>
      <c r="E42" s="1208"/>
      <c r="F42" s="1208"/>
      <c r="G42" s="1208"/>
      <c r="H42" s="1208"/>
      <c r="I42" s="1208"/>
      <c r="J42" s="1208"/>
      <c r="K42" s="1208"/>
      <c r="L42" s="1208"/>
      <c r="M42" s="1208"/>
      <c r="N42" s="1208"/>
      <c r="O42" s="1266">
        <f t="shared" si="6"/>
        <v>0</v>
      </c>
      <c r="P42" s="1208"/>
      <c r="Q42" s="1208"/>
      <c r="R42" s="1208"/>
      <c r="S42" s="1208"/>
      <c r="T42" s="1208"/>
      <c r="U42" s="1208"/>
      <c r="V42" s="1208"/>
      <c r="W42" s="1208"/>
      <c r="X42" s="1195"/>
      <c r="Y42" s="1195"/>
      <c r="Z42" s="1195"/>
      <c r="AA42" s="1195"/>
      <c r="AB42" s="1195"/>
      <c r="AC42" s="1195"/>
    </row>
    <row r="43" spans="1:30" s="31" customFormat="1" ht="14.25" hidden="1" customHeight="1" x14ac:dyDescent="0.25">
      <c r="A43" s="1291" t="s">
        <v>560</v>
      </c>
      <c r="B43" s="1207"/>
      <c r="C43" s="1209"/>
      <c r="D43" s="1208"/>
      <c r="E43" s="1208"/>
      <c r="F43" s="1208"/>
      <c r="G43" s="1208"/>
      <c r="H43" s="1208"/>
      <c r="I43" s="1208"/>
      <c r="J43" s="1208"/>
      <c r="K43" s="1208"/>
      <c r="L43" s="1208"/>
      <c r="M43" s="1208"/>
      <c r="N43" s="1208"/>
      <c r="O43" s="1266">
        <f t="shared" si="6"/>
        <v>0</v>
      </c>
      <c r="P43" s="1208"/>
      <c r="Q43" s="1208"/>
      <c r="R43" s="1208"/>
      <c r="S43" s="1208"/>
      <c r="T43" s="1208"/>
      <c r="U43" s="1208"/>
      <c r="V43" s="1208"/>
      <c r="W43" s="1208"/>
      <c r="X43" s="1195"/>
      <c r="Y43" s="1195"/>
      <c r="Z43" s="1195"/>
      <c r="AA43" s="1195"/>
      <c r="AB43" s="1195"/>
      <c r="AC43" s="1195"/>
    </row>
    <row r="44" spans="1:30" s="31" customFormat="1" ht="14.25" hidden="1" customHeight="1" x14ac:dyDescent="0.25">
      <c r="A44" s="1291" t="s">
        <v>612</v>
      </c>
      <c r="B44" s="1207"/>
      <c r="C44" s="1209"/>
      <c r="D44" s="1208"/>
      <c r="E44" s="1208"/>
      <c r="F44" s="1208"/>
      <c r="G44" s="1208"/>
      <c r="H44" s="1208"/>
      <c r="I44" s="1208"/>
      <c r="J44" s="1208"/>
      <c r="K44" s="1208"/>
      <c r="L44" s="1208"/>
      <c r="M44" s="1208"/>
      <c r="N44" s="1208"/>
      <c r="O44" s="1266">
        <f t="shared" si="6"/>
        <v>0</v>
      </c>
      <c r="P44" s="1208"/>
      <c r="Q44" s="1208"/>
      <c r="R44" s="1208"/>
      <c r="S44" s="1208"/>
      <c r="T44" s="1208"/>
      <c r="U44" s="1208"/>
      <c r="V44" s="1208"/>
      <c r="W44" s="1208"/>
      <c r="X44" s="1195"/>
      <c r="Y44" s="1195"/>
      <c r="Z44" s="1195"/>
      <c r="AA44" s="1195"/>
      <c r="AB44" s="1195"/>
      <c r="AC44" s="1195"/>
    </row>
    <row r="45" spans="1:30" s="31" customFormat="1" ht="14.25" hidden="1" customHeight="1" x14ac:dyDescent="0.25">
      <c r="A45" s="1291" t="s">
        <v>613</v>
      </c>
      <c r="B45" s="1207"/>
      <c r="C45" s="1209"/>
      <c r="D45" s="1208"/>
      <c r="E45" s="1208"/>
      <c r="F45" s="1208"/>
      <c r="G45" s="1208"/>
      <c r="H45" s="1208"/>
      <c r="I45" s="1208"/>
      <c r="J45" s="1208"/>
      <c r="K45" s="1208"/>
      <c r="L45" s="1208"/>
      <c r="M45" s="1208"/>
      <c r="N45" s="1208"/>
      <c r="O45" s="1266">
        <f t="shared" si="6"/>
        <v>0</v>
      </c>
      <c r="P45" s="1208"/>
      <c r="Q45" s="1208"/>
      <c r="R45" s="1208"/>
      <c r="S45" s="1208"/>
      <c r="T45" s="1208"/>
      <c r="U45" s="1208"/>
      <c r="V45" s="1208"/>
      <c r="W45" s="1208"/>
      <c r="X45" s="1195"/>
      <c r="Y45" s="1195"/>
      <c r="Z45" s="1195"/>
      <c r="AA45" s="1195"/>
      <c r="AB45" s="1195"/>
      <c r="AC45" s="1195"/>
    </row>
    <row r="46" spans="1:30" s="31" customFormat="1" ht="14.25" hidden="1" customHeight="1" x14ac:dyDescent="0.25">
      <c r="A46" s="1291" t="s">
        <v>614</v>
      </c>
      <c r="B46" s="1207"/>
      <c r="C46" s="1209"/>
      <c r="D46" s="1208"/>
      <c r="E46" s="1208"/>
      <c r="F46" s="1208"/>
      <c r="G46" s="1208"/>
      <c r="H46" s="1208"/>
      <c r="I46" s="1208"/>
      <c r="J46" s="1208"/>
      <c r="K46" s="1208"/>
      <c r="L46" s="1208"/>
      <c r="M46" s="1208"/>
      <c r="N46" s="1208"/>
      <c r="O46" s="1266">
        <f t="shared" si="6"/>
        <v>0</v>
      </c>
      <c r="P46" s="1208"/>
      <c r="Q46" s="1208"/>
      <c r="R46" s="1208"/>
      <c r="S46" s="1208"/>
      <c r="T46" s="1208"/>
      <c r="U46" s="1208"/>
      <c r="V46" s="1208"/>
      <c r="W46" s="1208"/>
      <c r="X46" s="1208"/>
      <c r="Y46" s="1195"/>
      <c r="Z46" s="1195"/>
      <c r="AA46" s="1195"/>
      <c r="AB46" s="1195"/>
      <c r="AC46" s="1195"/>
    </row>
    <row r="47" spans="1:30" s="31" customFormat="1" ht="14.25" hidden="1" customHeight="1" x14ac:dyDescent="0.25">
      <c r="A47" s="1291" t="s">
        <v>615</v>
      </c>
      <c r="B47" s="1207"/>
      <c r="C47" s="1209"/>
      <c r="D47" s="1208"/>
      <c r="E47" s="1208"/>
      <c r="F47" s="1208"/>
      <c r="G47" s="1208"/>
      <c r="H47" s="1208"/>
      <c r="I47" s="1208"/>
      <c r="J47" s="1208"/>
      <c r="K47" s="1208"/>
      <c r="L47" s="1208"/>
      <c r="M47" s="1208"/>
      <c r="N47" s="1208"/>
      <c r="O47" s="1266">
        <f t="shared" si="6"/>
        <v>0</v>
      </c>
      <c r="P47" s="1208"/>
      <c r="Q47" s="1208"/>
      <c r="R47" s="1208"/>
      <c r="S47" s="1208"/>
      <c r="T47" s="1208"/>
      <c r="U47" s="1208"/>
      <c r="V47" s="1208"/>
      <c r="W47" s="1208"/>
      <c r="X47" s="1208"/>
      <c r="Y47" s="1195"/>
      <c r="Z47" s="1195"/>
      <c r="AA47" s="1195"/>
      <c r="AB47" s="1195"/>
      <c r="AC47" s="1195"/>
    </row>
    <row r="48" spans="1:30" s="31" customFormat="1" ht="14.25" hidden="1" customHeight="1" x14ac:dyDescent="0.25">
      <c r="A48" s="1291" t="s">
        <v>112</v>
      </c>
      <c r="B48" s="1207"/>
      <c r="C48" s="1209"/>
      <c r="D48" s="1208"/>
      <c r="E48" s="1208"/>
      <c r="F48" s="1208"/>
      <c r="G48" s="1208"/>
      <c r="H48" s="1208"/>
      <c r="I48" s="1208"/>
      <c r="J48" s="1208"/>
      <c r="K48" s="1208"/>
      <c r="L48" s="1208"/>
      <c r="M48" s="1208"/>
      <c r="N48" s="1208"/>
      <c r="O48" s="1266">
        <f t="shared" si="6"/>
        <v>0</v>
      </c>
      <c r="P48" s="1208"/>
      <c r="Q48" s="1208"/>
      <c r="R48" s="1208"/>
      <c r="S48" s="1208"/>
      <c r="T48" s="1208"/>
      <c r="U48" s="1208"/>
      <c r="V48" s="1208"/>
      <c r="W48" s="1208"/>
      <c r="X48" s="1208"/>
      <c r="Y48" s="1195"/>
      <c r="Z48" s="1195"/>
      <c r="AA48" s="1195"/>
      <c r="AB48" s="1195"/>
      <c r="AC48" s="1195"/>
    </row>
    <row r="49" spans="1:29" s="31" customFormat="1" ht="14.25" hidden="1" customHeight="1" x14ac:dyDescent="0.25">
      <c r="A49" s="1291" t="s">
        <v>640</v>
      </c>
      <c r="B49" s="1225"/>
      <c r="C49" s="1224"/>
      <c r="D49" s="1208"/>
      <c r="E49" s="1208"/>
      <c r="F49" s="1208"/>
      <c r="G49" s="1208"/>
      <c r="H49" s="1208"/>
      <c r="I49" s="1208"/>
      <c r="J49" s="1208"/>
      <c r="K49" s="1208"/>
      <c r="L49" s="1208"/>
      <c r="M49" s="1208"/>
      <c r="N49" s="1208"/>
      <c r="O49" s="1266">
        <f t="shared" si="6"/>
        <v>0</v>
      </c>
      <c r="P49" s="1208"/>
      <c r="Q49" s="1208"/>
      <c r="R49" s="1208"/>
      <c r="S49" s="1208"/>
      <c r="T49" s="1208"/>
      <c r="U49" s="1208"/>
      <c r="V49" s="1208"/>
      <c r="W49" s="1208"/>
      <c r="X49" s="1195"/>
      <c r="Y49" s="1195"/>
      <c r="Z49" s="1195"/>
      <c r="AA49" s="1195"/>
      <c r="AB49" s="1195"/>
      <c r="AC49" s="1195"/>
    </row>
    <row r="50" spans="1:29" s="31" customFormat="1" ht="14.25" hidden="1" customHeight="1" x14ac:dyDescent="0.25">
      <c r="A50" s="1291" t="s">
        <v>641</v>
      </c>
      <c r="B50" s="1207"/>
      <c r="C50" s="1209"/>
      <c r="D50" s="1208"/>
      <c r="E50" s="1208"/>
      <c r="F50" s="1208"/>
      <c r="G50" s="1208"/>
      <c r="H50" s="1208"/>
      <c r="I50" s="1208"/>
      <c r="J50" s="1208"/>
      <c r="K50" s="1208"/>
      <c r="L50" s="1208"/>
      <c r="M50" s="1208"/>
      <c r="N50" s="1208"/>
      <c r="O50" s="1266">
        <f t="shared" si="6"/>
        <v>0</v>
      </c>
      <c r="P50" s="1208"/>
      <c r="Q50" s="1208"/>
      <c r="R50" s="1208"/>
      <c r="S50" s="1208"/>
      <c r="T50" s="1208"/>
      <c r="U50" s="1208"/>
      <c r="V50" s="1208"/>
      <c r="W50" s="1208"/>
      <c r="X50" s="1195"/>
      <c r="Y50" s="1195"/>
      <c r="Z50" s="1195"/>
      <c r="AA50" s="1195"/>
      <c r="AB50" s="1195"/>
      <c r="AC50" s="1195"/>
    </row>
    <row r="51" spans="1:29" s="31" customFormat="1" ht="14.25" hidden="1" customHeight="1" x14ac:dyDescent="0.25">
      <c r="A51" s="1291" t="s">
        <v>115</v>
      </c>
      <c r="B51" s="1207"/>
      <c r="C51" s="1209"/>
      <c r="D51" s="1208"/>
      <c r="E51" s="1208"/>
      <c r="F51" s="1208"/>
      <c r="G51" s="1208"/>
      <c r="H51" s="1208"/>
      <c r="I51" s="1208"/>
      <c r="J51" s="1208"/>
      <c r="K51" s="1208"/>
      <c r="L51" s="1208"/>
      <c r="M51" s="1208"/>
      <c r="N51" s="1208"/>
      <c r="O51" s="1266">
        <f t="shared" si="6"/>
        <v>0</v>
      </c>
      <c r="P51" s="1208"/>
      <c r="Q51" s="1208"/>
      <c r="R51" s="1208"/>
      <c r="S51" s="1208"/>
      <c r="T51" s="1208"/>
      <c r="U51" s="1208"/>
      <c r="V51" s="1208"/>
      <c r="W51" s="1208"/>
      <c r="X51" s="1195"/>
      <c r="Y51" s="1195"/>
      <c r="Z51" s="1195"/>
      <c r="AA51" s="1195"/>
      <c r="AB51" s="1195"/>
      <c r="AC51" s="1195"/>
    </row>
    <row r="52" spans="1:29" s="31" customFormat="1" ht="14.25" hidden="1" customHeight="1" x14ac:dyDescent="0.25">
      <c r="A52" s="1291" t="s">
        <v>116</v>
      </c>
      <c r="B52" s="1207"/>
      <c r="C52" s="1209"/>
      <c r="D52" s="1208"/>
      <c r="E52" s="1208"/>
      <c r="F52" s="1208"/>
      <c r="G52" s="1208"/>
      <c r="H52" s="1208"/>
      <c r="I52" s="1208"/>
      <c r="J52" s="1208"/>
      <c r="K52" s="1208"/>
      <c r="L52" s="1208"/>
      <c r="M52" s="1208"/>
      <c r="N52" s="1208"/>
      <c r="O52" s="1266">
        <f t="shared" si="6"/>
        <v>0</v>
      </c>
      <c r="P52" s="1208"/>
      <c r="Q52" s="1208"/>
      <c r="R52" s="1208"/>
      <c r="S52" s="1208"/>
      <c r="T52" s="1208"/>
      <c r="U52" s="1208"/>
      <c r="V52" s="1208"/>
      <c r="W52" s="1208"/>
      <c r="X52" s="1195"/>
      <c r="Y52" s="1195"/>
      <c r="Z52" s="1195"/>
      <c r="AA52" s="1195"/>
      <c r="AB52" s="1195"/>
      <c r="AC52" s="1195"/>
    </row>
    <row r="53" spans="1:29" s="31" customFormat="1" ht="14.25" hidden="1" customHeight="1" x14ac:dyDescent="0.25">
      <c r="A53" s="1291" t="s">
        <v>117</v>
      </c>
      <c r="B53" s="1225"/>
      <c r="C53" s="1224"/>
      <c r="D53" s="1208"/>
      <c r="E53" s="1208"/>
      <c r="F53" s="1208"/>
      <c r="G53" s="1208"/>
      <c r="H53" s="1208"/>
      <c r="I53" s="1208"/>
      <c r="J53" s="1208"/>
      <c r="K53" s="1208"/>
      <c r="L53" s="1208"/>
      <c r="M53" s="1208"/>
      <c r="N53" s="1208"/>
      <c r="O53" s="1266">
        <f t="shared" si="6"/>
        <v>0</v>
      </c>
      <c r="P53" s="1208"/>
      <c r="Q53" s="1208"/>
      <c r="R53" s="1208"/>
      <c r="S53" s="1208"/>
      <c r="T53" s="1208"/>
      <c r="U53" s="1208"/>
      <c r="V53" s="1208"/>
      <c r="W53" s="1208"/>
      <c r="X53" s="1195"/>
      <c r="Y53" s="1195"/>
      <c r="Z53" s="1195"/>
      <c r="AA53" s="1195"/>
      <c r="AB53" s="1195"/>
      <c r="AC53" s="1195"/>
    </row>
    <row r="54" spans="1:29" s="31" customFormat="1" ht="14.25" hidden="1" customHeight="1" x14ac:dyDescent="0.25">
      <c r="A54" s="1291" t="s">
        <v>120</v>
      </c>
      <c r="B54" s="1207"/>
      <c r="C54" s="1209"/>
      <c r="D54" s="1208"/>
      <c r="E54" s="1208"/>
      <c r="F54" s="1208"/>
      <c r="G54" s="1208"/>
      <c r="H54" s="1208"/>
      <c r="I54" s="1208"/>
      <c r="J54" s="1208"/>
      <c r="K54" s="1208"/>
      <c r="L54" s="1208"/>
      <c r="M54" s="1208"/>
      <c r="N54" s="1208"/>
      <c r="O54" s="1266">
        <f t="shared" si="6"/>
        <v>0</v>
      </c>
      <c r="P54" s="1208"/>
      <c r="Q54" s="1208"/>
      <c r="R54" s="1208"/>
      <c r="S54" s="1208"/>
      <c r="T54" s="1208"/>
      <c r="U54" s="1208"/>
      <c r="V54" s="1208"/>
      <c r="W54" s="1208"/>
      <c r="X54" s="1195"/>
      <c r="Y54" s="1195"/>
      <c r="Z54" s="1195"/>
      <c r="AA54" s="1195"/>
      <c r="AB54" s="1195"/>
      <c r="AC54" s="1195"/>
    </row>
    <row r="55" spans="1:29" s="31" customFormat="1" ht="14.25" hidden="1" customHeight="1" x14ac:dyDescent="0.25">
      <c r="A55" s="1291" t="s">
        <v>123</v>
      </c>
      <c r="B55" s="1207"/>
      <c r="C55" s="1209"/>
      <c r="D55" s="1208"/>
      <c r="E55" s="1208"/>
      <c r="F55" s="1208"/>
      <c r="G55" s="1208"/>
      <c r="H55" s="1208"/>
      <c r="I55" s="1208"/>
      <c r="J55" s="1208"/>
      <c r="K55" s="1208"/>
      <c r="L55" s="1208"/>
      <c r="M55" s="1208"/>
      <c r="N55" s="1208"/>
      <c r="O55" s="1266">
        <f t="shared" si="6"/>
        <v>0</v>
      </c>
      <c r="P55" s="1208"/>
      <c r="Q55" s="1208"/>
      <c r="R55" s="1208"/>
      <c r="S55" s="1208"/>
      <c r="T55" s="1208"/>
      <c r="U55" s="1208"/>
      <c r="V55" s="1208"/>
      <c r="W55" s="1208"/>
      <c r="X55" s="1195"/>
      <c r="Y55" s="1195"/>
      <c r="Z55" s="1195"/>
      <c r="AA55" s="1195"/>
      <c r="AB55" s="1195"/>
      <c r="AC55" s="1195"/>
    </row>
    <row r="56" spans="1:29" s="31" customFormat="1" ht="14.45" hidden="1" customHeight="1" x14ac:dyDescent="0.25">
      <c r="A56" s="1291" t="s">
        <v>124</v>
      </c>
      <c r="B56" s="1225"/>
      <c r="C56" s="1224"/>
      <c r="D56" s="1208"/>
      <c r="E56" s="1208"/>
      <c r="F56" s="1208"/>
      <c r="G56" s="1208"/>
      <c r="H56" s="1208"/>
      <c r="I56" s="1208"/>
      <c r="J56" s="1208"/>
      <c r="K56" s="1208"/>
      <c r="L56" s="1208"/>
      <c r="M56" s="1208"/>
      <c r="N56" s="1208"/>
      <c r="O56" s="1266">
        <f t="shared" si="6"/>
        <v>0</v>
      </c>
      <c r="P56" s="1208"/>
      <c r="Q56" s="1208"/>
      <c r="R56" s="1208"/>
      <c r="S56" s="1208"/>
      <c r="T56" s="1208"/>
      <c r="U56" s="1208"/>
      <c r="V56" s="1208"/>
      <c r="W56" s="1208"/>
      <c r="X56" s="1195"/>
      <c r="Y56" s="1195"/>
      <c r="Z56" s="1195"/>
      <c r="AA56" s="1195"/>
      <c r="AB56" s="1195"/>
      <c r="AC56" s="1195"/>
    </row>
    <row r="57" spans="1:29" s="31" customFormat="1" ht="14.45" hidden="1" customHeight="1" x14ac:dyDescent="0.25">
      <c r="A57" s="1291" t="s">
        <v>125</v>
      </c>
      <c r="B57" s="1207"/>
      <c r="C57" s="1209"/>
      <c r="D57" s="1208"/>
      <c r="E57" s="1208"/>
      <c r="F57" s="1208"/>
      <c r="G57" s="1208"/>
      <c r="H57" s="1208"/>
      <c r="I57" s="1208"/>
      <c r="J57" s="1208"/>
      <c r="K57" s="1208"/>
      <c r="L57" s="1208"/>
      <c r="M57" s="1208"/>
      <c r="N57" s="1208"/>
      <c r="O57" s="1266">
        <f t="shared" si="6"/>
        <v>0</v>
      </c>
      <c r="P57" s="1208"/>
      <c r="Q57" s="1208"/>
      <c r="R57" s="1208"/>
      <c r="S57" s="1208"/>
      <c r="T57" s="1208"/>
      <c r="U57" s="1208"/>
      <c r="V57" s="1208"/>
      <c r="W57" s="1208"/>
      <c r="X57" s="1195"/>
      <c r="Y57" s="1195"/>
      <c r="Z57" s="1195"/>
      <c r="AA57" s="1195"/>
      <c r="AB57" s="1195"/>
      <c r="AC57" s="1195"/>
    </row>
    <row r="58" spans="1:29" s="31" customFormat="1" ht="14.45" hidden="1" customHeight="1" x14ac:dyDescent="0.25">
      <c r="A58" s="1291" t="s">
        <v>126</v>
      </c>
      <c r="B58" s="1207"/>
      <c r="C58" s="1209"/>
      <c r="D58" s="1208"/>
      <c r="E58" s="1208"/>
      <c r="F58" s="1208"/>
      <c r="G58" s="1208"/>
      <c r="H58" s="1208"/>
      <c r="I58" s="1208"/>
      <c r="J58" s="1208"/>
      <c r="K58" s="1208"/>
      <c r="L58" s="1208"/>
      <c r="M58" s="1208"/>
      <c r="N58" s="1208"/>
      <c r="O58" s="1266">
        <f t="shared" si="6"/>
        <v>0</v>
      </c>
      <c r="P58" s="1208"/>
      <c r="Q58" s="1208"/>
      <c r="R58" s="1208"/>
      <c r="S58" s="1208"/>
      <c r="T58" s="1208"/>
      <c r="U58" s="1208"/>
      <c r="V58" s="1208"/>
      <c r="W58" s="1208"/>
      <c r="X58" s="1195"/>
      <c r="Y58" s="1195"/>
      <c r="Z58" s="1195"/>
      <c r="AA58" s="1195"/>
      <c r="AB58" s="1195"/>
      <c r="AC58" s="1195"/>
    </row>
    <row r="59" spans="1:29" s="31" customFormat="1" ht="14.45" hidden="1" customHeight="1" x14ac:dyDescent="0.25">
      <c r="A59" s="1291" t="s">
        <v>129</v>
      </c>
      <c r="B59" s="1207"/>
      <c r="C59" s="1209"/>
      <c r="D59" s="1208"/>
      <c r="E59" s="1208"/>
      <c r="F59" s="1208"/>
      <c r="G59" s="1208"/>
      <c r="H59" s="1208"/>
      <c r="I59" s="1208"/>
      <c r="J59" s="1208"/>
      <c r="K59" s="1208"/>
      <c r="L59" s="1208"/>
      <c r="M59" s="1208"/>
      <c r="N59" s="1208"/>
      <c r="O59" s="1266">
        <f t="shared" si="6"/>
        <v>0</v>
      </c>
      <c r="P59" s="1208"/>
      <c r="Q59" s="1208"/>
      <c r="R59" s="1208"/>
      <c r="S59" s="1208"/>
      <c r="T59" s="1208"/>
      <c r="U59" s="1208"/>
      <c r="V59" s="1208"/>
      <c r="W59" s="1208"/>
      <c r="X59" s="1195"/>
      <c r="Y59" s="1195"/>
      <c r="Z59" s="1195"/>
      <c r="AA59" s="1195"/>
      <c r="AB59" s="1195"/>
      <c r="AC59" s="1195"/>
    </row>
    <row r="60" spans="1:29" s="31" customFormat="1" ht="14.45" hidden="1" customHeight="1" x14ac:dyDescent="0.25">
      <c r="A60" s="1291" t="s">
        <v>132</v>
      </c>
      <c r="B60" s="1193"/>
      <c r="C60" s="1194"/>
      <c r="D60" s="1210"/>
      <c r="E60" s="1210"/>
      <c r="F60" s="1210"/>
      <c r="G60" s="1210"/>
      <c r="H60" s="1210"/>
      <c r="I60" s="1210"/>
      <c r="J60" s="1208"/>
      <c r="K60" s="1208"/>
      <c r="L60" s="1208"/>
      <c r="M60" s="1195"/>
      <c r="N60" s="1195"/>
      <c r="O60" s="1266">
        <f t="shared" si="6"/>
        <v>0</v>
      </c>
      <c r="P60" s="1195"/>
      <c r="Q60" s="1195"/>
      <c r="R60" s="1195"/>
      <c r="S60" s="1195"/>
      <c r="T60" s="1195"/>
      <c r="U60" s="1195"/>
      <c r="V60" s="1195"/>
      <c r="W60" s="1195"/>
      <c r="X60" s="1195"/>
      <c r="Y60" s="1226"/>
      <c r="Z60" s="1226"/>
      <c r="AA60" s="1226"/>
      <c r="AB60" s="1226"/>
      <c r="AC60" s="1195"/>
    </row>
    <row r="61" spans="1:29" s="31" customFormat="1" ht="14.45" customHeight="1" x14ac:dyDescent="0.25">
      <c r="A61" s="1291"/>
      <c r="B61" s="1227"/>
      <c r="C61" s="1228"/>
      <c r="D61" s="1214"/>
      <c r="E61" s="1214"/>
      <c r="F61" s="1214"/>
      <c r="G61" s="1214"/>
      <c r="H61" s="1214"/>
      <c r="I61" s="1214"/>
      <c r="J61" s="1229"/>
      <c r="K61" s="1229"/>
      <c r="L61" s="1229"/>
      <c r="M61" s="1215"/>
      <c r="N61" s="1220"/>
      <c r="O61" s="1317"/>
      <c r="P61" s="1215"/>
      <c r="Q61" s="1215"/>
      <c r="R61" s="1215"/>
      <c r="S61" s="1215"/>
      <c r="T61" s="1215"/>
      <c r="U61" s="1215"/>
      <c r="V61" s="1215"/>
      <c r="W61" s="1215"/>
      <c r="X61" s="1215"/>
      <c r="Y61" s="1230"/>
      <c r="Z61" s="1230"/>
      <c r="AA61" s="1230"/>
      <c r="AB61" s="1230"/>
      <c r="AC61" s="1215"/>
    </row>
    <row r="62" spans="1:29" s="31" customFormat="1" ht="14.45" customHeight="1" x14ac:dyDescent="0.25">
      <c r="A62" s="1291"/>
      <c r="B62" s="1231"/>
      <c r="C62" s="1222"/>
      <c r="D62" s="1200"/>
      <c r="E62" s="1200"/>
      <c r="F62" s="1200"/>
      <c r="G62" s="1200"/>
      <c r="H62" s="1200"/>
      <c r="I62" s="1200"/>
      <c r="J62" s="1216"/>
      <c r="K62" s="1216"/>
      <c r="L62" s="1216"/>
      <c r="M62" s="1201"/>
      <c r="N62" s="1201"/>
      <c r="O62" s="1316"/>
      <c r="P62" s="1315"/>
      <c r="Q62" s="1201"/>
      <c r="R62" s="1201"/>
      <c r="S62" s="1201"/>
      <c r="T62" s="1201"/>
      <c r="U62" s="1201"/>
      <c r="V62" s="1201"/>
      <c r="W62" s="1201"/>
      <c r="X62" s="1201"/>
      <c r="Y62" s="1232"/>
      <c r="Z62" s="1232"/>
      <c r="AA62" s="1232"/>
      <c r="AB62" s="1232"/>
      <c r="AC62" s="1201"/>
    </row>
    <row r="63" spans="1:29" s="31" customFormat="1" ht="14.45" customHeight="1" x14ac:dyDescent="0.25">
      <c r="A63" s="1291"/>
      <c r="B63" s="1231"/>
      <c r="C63" s="1222"/>
      <c r="D63" s="1200"/>
      <c r="E63" s="1200"/>
      <c r="F63" s="1200"/>
      <c r="G63" s="1200"/>
      <c r="H63" s="1200"/>
      <c r="I63" s="1200"/>
      <c r="J63" s="1216"/>
      <c r="K63" s="1216"/>
      <c r="L63" s="1216"/>
      <c r="M63" s="1201"/>
      <c r="N63" s="1201"/>
      <c r="O63" s="1201"/>
      <c r="P63" s="1201"/>
      <c r="Q63" s="1201"/>
      <c r="R63" s="1201"/>
      <c r="S63" s="1201"/>
      <c r="T63" s="1201"/>
      <c r="U63" s="1201"/>
      <c r="V63" s="1201"/>
      <c r="W63" s="1201"/>
      <c r="X63" s="1201"/>
      <c r="Y63" s="1232"/>
      <c r="Z63" s="1232"/>
      <c r="AA63" s="1232"/>
      <c r="AB63" s="1232"/>
      <c r="AC63" s="1201"/>
    </row>
    <row r="64" spans="1:29" s="31" customFormat="1" ht="14.45" customHeight="1" x14ac:dyDescent="0.25">
      <c r="A64" s="1291" t="s">
        <v>553</v>
      </c>
      <c r="B64" s="33" t="s">
        <v>675</v>
      </c>
      <c r="C64" s="1222"/>
      <c r="D64" s="1200"/>
      <c r="E64" s="1200"/>
      <c r="F64" s="1200"/>
      <c r="G64" s="1200"/>
      <c r="H64" s="1200"/>
      <c r="I64" s="1200"/>
      <c r="J64" s="1216"/>
      <c r="K64" s="1216"/>
      <c r="L64" s="1216"/>
      <c r="M64" s="1201"/>
      <c r="N64" s="1201"/>
      <c r="O64" s="1201"/>
      <c r="P64" s="1201"/>
      <c r="Q64" s="1201"/>
      <c r="R64" s="1201"/>
      <c r="S64" s="1201"/>
      <c r="T64" s="1201"/>
      <c r="U64" s="1201"/>
      <c r="V64" s="1201"/>
      <c r="W64" s="1201"/>
      <c r="X64" s="1201"/>
      <c r="Y64" s="1232"/>
      <c r="Z64" s="1232"/>
      <c r="AA64" s="1232"/>
      <c r="AB64" s="1232"/>
      <c r="AC64" s="1201"/>
    </row>
    <row r="65" spans="1:30" s="31" customFormat="1" ht="14.45" customHeight="1" x14ac:dyDescent="0.25">
      <c r="A65" s="1291" t="s">
        <v>554</v>
      </c>
      <c r="B65" s="1363" t="s">
        <v>1334</v>
      </c>
      <c r="C65" s="1235"/>
      <c r="D65" s="1236"/>
      <c r="E65" s="1236"/>
      <c r="F65" s="1236"/>
      <c r="G65" s="1236"/>
      <c r="H65" s="1236"/>
      <c r="I65" s="1236"/>
      <c r="J65" s="1237"/>
      <c r="K65" s="1237"/>
      <c r="L65" s="1237"/>
      <c r="M65" s="1304">
        <v>1</v>
      </c>
      <c r="N65" s="1304"/>
      <c r="O65" s="1304">
        <f>M65</f>
        <v>1</v>
      </c>
      <c r="P65" s="1304"/>
      <c r="Q65" s="1304"/>
      <c r="R65" s="1304">
        <v>1</v>
      </c>
      <c r="S65" s="1304"/>
      <c r="T65" s="1304"/>
      <c r="U65" s="1304"/>
      <c r="V65" s="1304">
        <v>1</v>
      </c>
      <c r="W65" s="1304"/>
      <c r="X65" s="1304"/>
      <c r="Y65" s="1364">
        <v>1</v>
      </c>
      <c r="Z65" s="1365"/>
      <c r="AA65" s="1365"/>
      <c r="AB65" s="1365"/>
      <c r="AC65" s="1366">
        <v>1</v>
      </c>
    </row>
    <row r="66" spans="1:30" s="31" customFormat="1" ht="27" customHeight="1" x14ac:dyDescent="0.25">
      <c r="A66" s="1383" t="s">
        <v>555</v>
      </c>
      <c r="B66" s="1357" t="s">
        <v>1306</v>
      </c>
      <c r="C66" s="1358"/>
      <c r="D66" s="1359"/>
      <c r="E66" s="1359"/>
      <c r="F66" s="1359"/>
      <c r="G66" s="1359"/>
      <c r="H66" s="1359"/>
      <c r="I66" s="1359"/>
      <c r="J66" s="1360"/>
      <c r="K66" s="1360"/>
      <c r="L66" s="1360"/>
      <c r="M66" s="1361"/>
      <c r="N66" s="1361"/>
      <c r="O66" s="1361"/>
      <c r="P66" s="1361"/>
      <c r="Q66" s="1361"/>
      <c r="R66" s="1361"/>
      <c r="S66" s="1361"/>
      <c r="T66" s="1361"/>
      <c r="U66" s="1361"/>
      <c r="V66" s="1361"/>
      <c r="W66" s="1361"/>
      <c r="X66" s="1361"/>
      <c r="Y66" s="1362"/>
      <c r="Z66" s="1362"/>
      <c r="AA66" s="1362"/>
      <c r="AB66" s="1362"/>
      <c r="AC66" s="1367"/>
    </row>
    <row r="67" spans="1:30" s="31" customFormat="1" ht="14.45" customHeight="1" x14ac:dyDescent="0.25">
      <c r="A67" s="1291" t="s">
        <v>556</v>
      </c>
      <c r="B67" s="1321" t="s">
        <v>1335</v>
      </c>
      <c r="C67" s="1301"/>
      <c r="D67" s="1302"/>
      <c r="E67" s="1302"/>
      <c r="F67" s="1302"/>
      <c r="G67" s="1302"/>
      <c r="H67" s="1302"/>
      <c r="I67" s="1302"/>
      <c r="J67" s="1303"/>
      <c r="K67" s="1303"/>
      <c r="L67" s="1303"/>
      <c r="M67" s="1304">
        <v>1</v>
      </c>
      <c r="N67" s="1304"/>
      <c r="O67" s="1304">
        <f t="shared" ref="O67:O78" si="7">M67</f>
        <v>1</v>
      </c>
      <c r="P67" s="1304"/>
      <c r="Q67" s="1304"/>
      <c r="R67" s="1304">
        <v>1</v>
      </c>
      <c r="S67" s="1304"/>
      <c r="T67" s="1304"/>
      <c r="U67" s="1304"/>
      <c r="V67" s="1304">
        <f t="shared" ref="V67:V73" si="8">D67+J67+O67</f>
        <v>1</v>
      </c>
      <c r="W67" s="1304"/>
      <c r="X67" s="1304"/>
      <c r="Y67" s="1320">
        <f>R67+W67/2</f>
        <v>1</v>
      </c>
      <c r="Z67" s="1320"/>
      <c r="AA67" s="1320"/>
      <c r="AB67" s="1320"/>
      <c r="AC67" s="1366">
        <f t="shared" ref="AC67:AC80" si="9">V67+X67/2</f>
        <v>1</v>
      </c>
    </row>
    <row r="68" spans="1:30" s="31" customFormat="1" ht="14.25" customHeight="1" x14ac:dyDescent="0.25">
      <c r="A68" s="1291" t="s">
        <v>557</v>
      </c>
      <c r="B68" s="1370" t="s">
        <v>1352</v>
      </c>
      <c r="C68" s="1301"/>
      <c r="D68" s="1302"/>
      <c r="E68" s="1302"/>
      <c r="F68" s="1302"/>
      <c r="G68" s="1302"/>
      <c r="H68" s="1302"/>
      <c r="I68" s="1302"/>
      <c r="J68" s="1303"/>
      <c r="K68" s="1303"/>
      <c r="L68" s="1303"/>
      <c r="M68" s="1304">
        <v>1</v>
      </c>
      <c r="N68" s="1304"/>
      <c r="O68" s="1304">
        <f t="shared" si="7"/>
        <v>1</v>
      </c>
      <c r="P68" s="1304"/>
      <c r="Q68" s="1304"/>
      <c r="R68" s="1304">
        <v>1</v>
      </c>
      <c r="S68" s="1304"/>
      <c r="T68" s="1304"/>
      <c r="U68" s="1304"/>
      <c r="V68" s="1304">
        <f t="shared" si="8"/>
        <v>1</v>
      </c>
      <c r="W68" s="1304"/>
      <c r="X68" s="1304"/>
      <c r="Y68" s="1320">
        <f>R68+W68/2</f>
        <v>1</v>
      </c>
      <c r="Z68" s="1320"/>
      <c r="AA68" s="1320"/>
      <c r="AB68" s="1320"/>
      <c r="AC68" s="1366">
        <f t="shared" si="9"/>
        <v>1</v>
      </c>
    </row>
    <row r="69" spans="1:30" s="31" customFormat="1" ht="14.45" customHeight="1" x14ac:dyDescent="0.25">
      <c r="A69" s="1291" t="s">
        <v>558</v>
      </c>
      <c r="B69" s="1321" t="s">
        <v>1336</v>
      </c>
      <c r="C69" s="1301"/>
      <c r="D69" s="1302"/>
      <c r="E69" s="1302"/>
      <c r="F69" s="1302"/>
      <c r="G69" s="1302"/>
      <c r="H69" s="1302"/>
      <c r="I69" s="1302"/>
      <c r="J69" s="1303"/>
      <c r="K69" s="1303"/>
      <c r="L69" s="1303"/>
      <c r="M69" s="1304">
        <v>1</v>
      </c>
      <c r="N69" s="1304"/>
      <c r="O69" s="1304">
        <f t="shared" si="7"/>
        <v>1</v>
      </c>
      <c r="P69" s="1304"/>
      <c r="Q69" s="1304"/>
      <c r="R69" s="1304">
        <v>1</v>
      </c>
      <c r="S69" s="1304"/>
      <c r="T69" s="1304"/>
      <c r="U69" s="1304"/>
      <c r="V69" s="1304">
        <f t="shared" si="8"/>
        <v>1</v>
      </c>
      <c r="W69" s="1304"/>
      <c r="X69" s="1304"/>
      <c r="Y69" s="1320">
        <v>1</v>
      </c>
      <c r="Z69" s="1320"/>
      <c r="AA69" s="1320"/>
      <c r="AB69" s="1320"/>
      <c r="AC69" s="1366">
        <f t="shared" si="9"/>
        <v>1</v>
      </c>
    </row>
    <row r="70" spans="1:30" s="31" customFormat="1" ht="14.45" customHeight="1" x14ac:dyDescent="0.25">
      <c r="A70" s="1291" t="s">
        <v>559</v>
      </c>
      <c r="B70" s="1321" t="s">
        <v>1337</v>
      </c>
      <c r="C70" s="1301"/>
      <c r="D70" s="1302"/>
      <c r="E70" s="1302"/>
      <c r="F70" s="1302"/>
      <c r="G70" s="1302"/>
      <c r="H70" s="1302"/>
      <c r="I70" s="1302"/>
      <c r="J70" s="1303"/>
      <c r="K70" s="1303"/>
      <c r="L70" s="1303"/>
      <c r="M70" s="1304">
        <v>1</v>
      </c>
      <c r="N70" s="1304"/>
      <c r="O70" s="1304">
        <f t="shared" si="7"/>
        <v>1</v>
      </c>
      <c r="P70" s="1304"/>
      <c r="Q70" s="1304"/>
      <c r="R70" s="1304">
        <v>1</v>
      </c>
      <c r="S70" s="1304"/>
      <c r="T70" s="1304"/>
      <c r="U70" s="1304"/>
      <c r="V70" s="1304">
        <f t="shared" si="8"/>
        <v>1</v>
      </c>
      <c r="W70" s="1304"/>
      <c r="X70" s="1304"/>
      <c r="Y70" s="1320">
        <f>R70+W70/2</f>
        <v>1</v>
      </c>
      <c r="Z70" s="1320"/>
      <c r="AA70" s="1320"/>
      <c r="AB70" s="1320"/>
      <c r="AC70" s="1366">
        <f t="shared" si="9"/>
        <v>1</v>
      </c>
    </row>
    <row r="71" spans="1:30" s="31" customFormat="1" ht="14.45" customHeight="1" x14ac:dyDescent="0.25">
      <c r="A71" s="1291" t="s">
        <v>560</v>
      </c>
      <c r="B71" s="1370" t="s">
        <v>1339</v>
      </c>
      <c r="C71" s="1301"/>
      <c r="D71" s="1302"/>
      <c r="E71" s="1302"/>
      <c r="F71" s="1302"/>
      <c r="G71" s="1302"/>
      <c r="H71" s="1302"/>
      <c r="I71" s="1302"/>
      <c r="J71" s="1303"/>
      <c r="K71" s="1303"/>
      <c r="L71" s="1303"/>
      <c r="M71" s="1304">
        <v>1</v>
      </c>
      <c r="N71" s="1304"/>
      <c r="O71" s="1304">
        <f t="shared" si="7"/>
        <v>1</v>
      </c>
      <c r="P71" s="1304"/>
      <c r="Q71" s="1304"/>
      <c r="R71" s="1304">
        <v>1</v>
      </c>
      <c r="S71" s="1304"/>
      <c r="T71" s="1304"/>
      <c r="U71" s="1304"/>
      <c r="V71" s="1304">
        <f t="shared" si="8"/>
        <v>1</v>
      </c>
      <c r="W71" s="1304"/>
      <c r="X71" s="1304"/>
      <c r="Y71" s="1320">
        <v>1</v>
      </c>
      <c r="Z71" s="1320"/>
      <c r="AA71" s="1320"/>
      <c r="AB71" s="1320"/>
      <c r="AC71" s="1366">
        <f t="shared" si="9"/>
        <v>1</v>
      </c>
    </row>
    <row r="72" spans="1:30" s="31" customFormat="1" ht="14.45" customHeight="1" x14ac:dyDescent="0.25">
      <c r="A72" s="1291" t="s">
        <v>612</v>
      </c>
      <c r="B72" s="1321" t="s">
        <v>1338</v>
      </c>
      <c r="C72" s="1301"/>
      <c r="D72" s="1302"/>
      <c r="E72" s="1302"/>
      <c r="F72" s="1302"/>
      <c r="G72" s="1302"/>
      <c r="H72" s="1302"/>
      <c r="I72" s="1302"/>
      <c r="J72" s="1303"/>
      <c r="K72" s="1303"/>
      <c r="L72" s="1303"/>
      <c r="M72" s="1304">
        <v>1</v>
      </c>
      <c r="N72" s="1304"/>
      <c r="O72" s="1304">
        <f t="shared" si="7"/>
        <v>1</v>
      </c>
      <c r="P72" s="1304"/>
      <c r="Q72" s="1304"/>
      <c r="R72" s="1304">
        <v>1</v>
      </c>
      <c r="S72" s="1304"/>
      <c r="T72" s="1304"/>
      <c r="U72" s="1304"/>
      <c r="V72" s="1304">
        <f t="shared" si="8"/>
        <v>1</v>
      </c>
      <c r="W72" s="1304"/>
      <c r="X72" s="1304"/>
      <c r="Y72" s="1320">
        <v>1</v>
      </c>
      <c r="Z72" s="1320"/>
      <c r="AA72" s="1320"/>
      <c r="AB72" s="1320"/>
      <c r="AC72" s="1366">
        <f t="shared" si="9"/>
        <v>1</v>
      </c>
    </row>
    <row r="73" spans="1:30" s="31" customFormat="1" ht="14.45" customHeight="1" x14ac:dyDescent="0.25">
      <c r="A73" s="1291" t="s">
        <v>613</v>
      </c>
      <c r="B73" s="1321" t="s">
        <v>1309</v>
      </c>
      <c r="C73" s="1301"/>
      <c r="D73" s="1302"/>
      <c r="E73" s="1302"/>
      <c r="F73" s="1302"/>
      <c r="G73" s="1302"/>
      <c r="H73" s="1302"/>
      <c r="I73" s="1302"/>
      <c r="J73" s="1303"/>
      <c r="K73" s="1303"/>
      <c r="L73" s="1303"/>
      <c r="M73" s="1304">
        <v>1</v>
      </c>
      <c r="N73" s="1304"/>
      <c r="O73" s="1304">
        <f t="shared" si="7"/>
        <v>1</v>
      </c>
      <c r="P73" s="1304"/>
      <c r="Q73" s="1304"/>
      <c r="R73" s="1304">
        <v>1</v>
      </c>
      <c r="S73" s="1304"/>
      <c r="T73" s="1304"/>
      <c r="U73" s="1304"/>
      <c r="V73" s="1304">
        <f t="shared" si="8"/>
        <v>1</v>
      </c>
      <c r="W73" s="1304"/>
      <c r="X73" s="1304"/>
      <c r="Y73" s="1320">
        <v>1</v>
      </c>
      <c r="Z73" s="1320"/>
      <c r="AA73" s="1320"/>
      <c r="AB73" s="1320"/>
      <c r="AC73" s="1366">
        <f t="shared" si="9"/>
        <v>1</v>
      </c>
    </row>
    <row r="74" spans="1:30" s="31" customFormat="1" ht="14.45" customHeight="1" x14ac:dyDescent="0.25">
      <c r="A74" s="1291" t="s">
        <v>614</v>
      </c>
      <c r="B74" s="1321" t="s">
        <v>1340</v>
      </c>
      <c r="C74" s="1301"/>
      <c r="D74" s="1302"/>
      <c r="E74" s="1302"/>
      <c r="F74" s="1302"/>
      <c r="G74" s="1302"/>
      <c r="H74" s="1302"/>
      <c r="I74" s="1302"/>
      <c r="J74" s="1303"/>
      <c r="K74" s="1303"/>
      <c r="L74" s="1303"/>
      <c r="M74" s="1304"/>
      <c r="N74" s="1304"/>
      <c r="O74" s="1304"/>
      <c r="P74" s="1304">
        <v>1</v>
      </c>
      <c r="Q74" s="1304">
        <v>1</v>
      </c>
      <c r="R74" s="1304"/>
      <c r="S74" s="1304"/>
      <c r="T74" s="1304"/>
      <c r="U74" s="1304"/>
      <c r="V74" s="1304"/>
      <c r="W74" s="1304">
        <v>1</v>
      </c>
      <c r="X74" s="1304">
        <v>1</v>
      </c>
      <c r="Y74" s="1366">
        <v>0.25</v>
      </c>
      <c r="Z74" s="1320"/>
      <c r="AA74" s="1320"/>
      <c r="AB74" s="1320"/>
      <c r="AC74" s="1366">
        <v>0.25</v>
      </c>
    </row>
    <row r="75" spans="1:30" s="31" customFormat="1" ht="14.45" customHeight="1" x14ac:dyDescent="0.25">
      <c r="A75" s="1291" t="s">
        <v>615</v>
      </c>
      <c r="B75" s="1321" t="s">
        <v>1341</v>
      </c>
      <c r="C75" s="1301"/>
      <c r="D75" s="1302"/>
      <c r="E75" s="1302"/>
      <c r="F75" s="1302"/>
      <c r="G75" s="1302"/>
      <c r="H75" s="1302"/>
      <c r="I75" s="1302"/>
      <c r="J75" s="1303"/>
      <c r="K75" s="1303"/>
      <c r="L75" s="1303"/>
      <c r="M75" s="1304">
        <v>2</v>
      </c>
      <c r="N75" s="1304"/>
      <c r="O75" s="1304">
        <v>2</v>
      </c>
      <c r="P75" s="1304"/>
      <c r="Q75" s="1304"/>
      <c r="R75" s="1304">
        <v>2</v>
      </c>
      <c r="S75" s="1304"/>
      <c r="T75" s="1304"/>
      <c r="U75" s="1304"/>
      <c r="V75" s="1304">
        <v>2</v>
      </c>
      <c r="W75" s="1304"/>
      <c r="X75" s="1304"/>
      <c r="Y75" s="1320">
        <v>2</v>
      </c>
      <c r="Z75" s="1320"/>
      <c r="AA75" s="1320"/>
      <c r="AB75" s="1320"/>
      <c r="AC75" s="1366">
        <v>2</v>
      </c>
    </row>
    <row r="76" spans="1:30" s="31" customFormat="1" ht="14.45" customHeight="1" x14ac:dyDescent="0.25">
      <c r="A76" s="1291" t="s">
        <v>112</v>
      </c>
      <c r="B76" s="1321" t="s">
        <v>1304</v>
      </c>
      <c r="C76" s="1301"/>
      <c r="D76" s="1302"/>
      <c r="E76" s="1302"/>
      <c r="F76" s="1302"/>
      <c r="G76" s="1302"/>
      <c r="H76" s="1302"/>
      <c r="I76" s="1302"/>
      <c r="J76" s="1303"/>
      <c r="K76" s="1303"/>
      <c r="L76" s="1303"/>
      <c r="M76" s="1304">
        <v>2</v>
      </c>
      <c r="N76" s="1304"/>
      <c r="O76" s="1304">
        <v>2</v>
      </c>
      <c r="P76" s="1304"/>
      <c r="Q76" s="1304"/>
      <c r="R76" s="1304">
        <v>2</v>
      </c>
      <c r="S76" s="1304"/>
      <c r="T76" s="1304"/>
      <c r="U76" s="1304"/>
      <c r="V76" s="1304">
        <v>2</v>
      </c>
      <c r="W76" s="1304"/>
      <c r="X76" s="1304"/>
      <c r="Y76" s="1320">
        <v>2</v>
      </c>
      <c r="Z76" s="1320"/>
      <c r="AA76" s="1320"/>
      <c r="AB76" s="1320"/>
      <c r="AC76" s="1366">
        <v>2</v>
      </c>
    </row>
    <row r="77" spans="1:30" s="31" customFormat="1" ht="14.45" customHeight="1" x14ac:dyDescent="0.25">
      <c r="A77" s="1291" t="s">
        <v>640</v>
      </c>
      <c r="B77" s="1319" t="s">
        <v>1305</v>
      </c>
      <c r="C77" s="1301"/>
      <c r="D77" s="1302"/>
      <c r="E77" s="1302"/>
      <c r="F77" s="1302"/>
      <c r="G77" s="1302"/>
      <c r="H77" s="1302"/>
      <c r="I77" s="1302"/>
      <c r="J77" s="1303"/>
      <c r="K77" s="1303"/>
      <c r="L77" s="1303"/>
      <c r="M77" s="1304"/>
      <c r="N77" s="1304"/>
      <c r="O77" s="1304"/>
      <c r="P77" s="1304"/>
      <c r="Q77" s="1304"/>
      <c r="R77" s="1304"/>
      <c r="S77" s="1304"/>
      <c r="T77" s="1304"/>
      <c r="U77" s="1304"/>
      <c r="V77" s="1304"/>
      <c r="W77" s="1304"/>
      <c r="X77" s="1304"/>
      <c r="Y77" s="1320"/>
      <c r="Z77" s="1320"/>
      <c r="AA77" s="1320"/>
      <c r="AB77" s="1320"/>
      <c r="AC77" s="1366"/>
    </row>
    <row r="78" spans="1:30" s="31" customFormat="1" ht="17.25" customHeight="1" x14ac:dyDescent="0.25">
      <c r="A78" s="1291" t="s">
        <v>641</v>
      </c>
      <c r="B78" s="1321" t="s">
        <v>1307</v>
      </c>
      <c r="C78" s="1301"/>
      <c r="D78" s="1302"/>
      <c r="E78" s="1302"/>
      <c r="F78" s="1302"/>
      <c r="G78" s="1302"/>
      <c r="H78" s="1302"/>
      <c r="I78" s="1302"/>
      <c r="J78" s="1303"/>
      <c r="K78" s="1303"/>
      <c r="L78" s="1303"/>
      <c r="M78" s="1325">
        <v>1</v>
      </c>
      <c r="N78" s="1325"/>
      <c r="O78" s="1325">
        <f t="shared" si="7"/>
        <v>1</v>
      </c>
      <c r="P78" s="1325"/>
      <c r="Q78" s="1325"/>
      <c r="R78" s="1325">
        <v>1</v>
      </c>
      <c r="S78" s="1325"/>
      <c r="T78" s="1325"/>
      <c r="U78" s="1325"/>
      <c r="V78" s="1325">
        <f>D78+J78+O78</f>
        <v>1</v>
      </c>
      <c r="W78" s="1325"/>
      <c r="X78" s="1325"/>
      <c r="Y78" s="1326">
        <f>R78+W78/2</f>
        <v>1</v>
      </c>
      <c r="Z78" s="1326"/>
      <c r="AA78" s="1326"/>
      <c r="AB78" s="1326"/>
      <c r="AC78" s="1369">
        <f t="shared" si="9"/>
        <v>1</v>
      </c>
      <c r="AD78" s="1318"/>
    </row>
    <row r="79" spans="1:30" s="31" customFormat="1" ht="14.45" customHeight="1" x14ac:dyDescent="0.25">
      <c r="A79" s="1291" t="s">
        <v>115</v>
      </c>
      <c r="B79" s="1321" t="s">
        <v>1342</v>
      </c>
      <c r="C79" s="1301"/>
      <c r="D79" s="1302"/>
      <c r="E79" s="1302"/>
      <c r="F79" s="1302"/>
      <c r="G79" s="1302"/>
      <c r="H79" s="1302"/>
      <c r="I79" s="1302"/>
      <c r="J79" s="1303"/>
      <c r="K79" s="1303"/>
      <c r="L79" s="1303"/>
      <c r="M79" s="1304">
        <v>1</v>
      </c>
      <c r="N79" s="1304"/>
      <c r="O79" s="1304">
        <v>1</v>
      </c>
      <c r="P79" s="1304"/>
      <c r="Q79" s="1304"/>
      <c r="R79" s="1304">
        <v>1</v>
      </c>
      <c r="S79" s="1304"/>
      <c r="T79" s="1304"/>
      <c r="U79" s="1304"/>
      <c r="V79" s="1304">
        <f>D79+J79+O79</f>
        <v>1</v>
      </c>
      <c r="W79" s="1304"/>
      <c r="X79" s="1304"/>
      <c r="Y79" s="1320">
        <f>R79+W79/2</f>
        <v>1</v>
      </c>
      <c r="Z79" s="1320"/>
      <c r="AA79" s="1320"/>
      <c r="AB79" s="1320"/>
      <c r="AC79" s="1366">
        <f t="shared" si="9"/>
        <v>1</v>
      </c>
    </row>
    <row r="80" spans="1:30" s="31" customFormat="1" ht="14.45" customHeight="1" x14ac:dyDescent="0.25">
      <c r="A80" s="1291" t="s">
        <v>116</v>
      </c>
      <c r="B80" s="1321" t="s">
        <v>1344</v>
      </c>
      <c r="C80" s="1301"/>
      <c r="D80" s="1302"/>
      <c r="E80" s="1302"/>
      <c r="F80" s="1302"/>
      <c r="G80" s="1302"/>
      <c r="H80" s="1302"/>
      <c r="I80" s="1302"/>
      <c r="J80" s="1303"/>
      <c r="K80" s="1303"/>
      <c r="L80" s="1303"/>
      <c r="M80" s="1304">
        <v>1</v>
      </c>
      <c r="N80" s="1304"/>
      <c r="O80" s="1304">
        <v>1</v>
      </c>
      <c r="P80" s="1304"/>
      <c r="Q80" s="1304"/>
      <c r="R80" s="1304">
        <v>1</v>
      </c>
      <c r="S80" s="1304"/>
      <c r="T80" s="1304"/>
      <c r="U80" s="1304"/>
      <c r="V80" s="1304">
        <f>D80+J80+O80</f>
        <v>1</v>
      </c>
      <c r="W80" s="1304"/>
      <c r="X80" s="1304"/>
      <c r="Y80" s="1320">
        <f>R80+W80/2</f>
        <v>1</v>
      </c>
      <c r="Z80" s="1320"/>
      <c r="AA80" s="1320"/>
      <c r="AB80" s="1320"/>
      <c r="AC80" s="1366">
        <f t="shared" si="9"/>
        <v>1</v>
      </c>
    </row>
    <row r="81" spans="1:29" s="31" customFormat="1" ht="14.45" customHeight="1" x14ac:dyDescent="0.25">
      <c r="A81" s="1291" t="s">
        <v>117</v>
      </c>
      <c r="B81" s="1370" t="s">
        <v>1343</v>
      </c>
      <c r="C81" s="1301"/>
      <c r="D81" s="1302"/>
      <c r="E81" s="1302"/>
      <c r="F81" s="1302"/>
      <c r="G81" s="1302"/>
      <c r="H81" s="1302"/>
      <c r="I81" s="1302"/>
      <c r="J81" s="1303"/>
      <c r="K81" s="1303"/>
      <c r="L81" s="1303"/>
      <c r="M81" s="1304">
        <v>1</v>
      </c>
      <c r="N81" s="1304"/>
      <c r="O81" s="1304">
        <v>1</v>
      </c>
      <c r="P81" s="1304"/>
      <c r="Q81" s="1304"/>
      <c r="R81" s="1304">
        <v>1</v>
      </c>
      <c r="S81" s="1304"/>
      <c r="T81" s="1304"/>
      <c r="U81" s="1304"/>
      <c r="V81" s="1304">
        <v>1</v>
      </c>
      <c r="W81" s="1304"/>
      <c r="X81" s="1304"/>
      <c r="Y81" s="1320">
        <v>1</v>
      </c>
      <c r="Z81" s="1320"/>
      <c r="AA81" s="1320"/>
      <c r="AB81" s="1320"/>
      <c r="AC81" s="1366">
        <v>1</v>
      </c>
    </row>
    <row r="82" spans="1:29" s="31" customFormat="1" ht="14.45" customHeight="1" x14ac:dyDescent="0.25">
      <c r="A82" s="1291" t="s">
        <v>120</v>
      </c>
      <c r="B82" s="1321" t="s">
        <v>1345</v>
      </c>
      <c r="C82" s="1322"/>
      <c r="D82" s="1323"/>
      <c r="E82" s="1323"/>
      <c r="F82" s="1323"/>
      <c r="G82" s="1323"/>
      <c r="H82" s="1323"/>
      <c r="I82" s="1323"/>
      <c r="J82" s="1324"/>
      <c r="K82" s="1324"/>
      <c r="L82" s="1324"/>
      <c r="M82" s="1304">
        <v>1</v>
      </c>
      <c r="N82" s="1304"/>
      <c r="O82" s="1304">
        <v>1</v>
      </c>
      <c r="P82" s="1304"/>
      <c r="Q82" s="1304"/>
      <c r="R82" s="1304">
        <v>1</v>
      </c>
      <c r="S82" s="1304"/>
      <c r="T82" s="1304"/>
      <c r="U82" s="1304"/>
      <c r="V82" s="1304">
        <v>1</v>
      </c>
      <c r="W82" s="1304"/>
      <c r="X82" s="1304"/>
      <c r="Y82" s="1320">
        <v>1</v>
      </c>
      <c r="Z82" s="1308"/>
      <c r="AA82" s="1308"/>
      <c r="AB82" s="1308"/>
      <c r="AC82" s="1366">
        <v>1</v>
      </c>
    </row>
    <row r="83" spans="1:29" s="31" customFormat="1" ht="14.45" customHeight="1" x14ac:dyDescent="0.25">
      <c r="A83" s="1291" t="s">
        <v>123</v>
      </c>
      <c r="B83" s="1319" t="s">
        <v>1308</v>
      </c>
      <c r="C83" s="1301"/>
      <c r="D83" s="1302"/>
      <c r="E83" s="1302"/>
      <c r="F83" s="1302"/>
      <c r="G83" s="1302"/>
      <c r="H83" s="1302"/>
      <c r="I83" s="1302"/>
      <c r="J83" s="1303"/>
      <c r="K83" s="1303"/>
      <c r="L83" s="1303"/>
      <c r="M83" s="1304"/>
      <c r="N83" s="1304"/>
      <c r="O83" s="1304"/>
      <c r="P83" s="1304"/>
      <c r="Q83" s="1304"/>
      <c r="R83" s="1304"/>
      <c r="S83" s="1304"/>
      <c r="T83" s="1304"/>
      <c r="U83" s="1304"/>
      <c r="V83" s="1304"/>
      <c r="W83" s="1304"/>
      <c r="X83" s="1304"/>
      <c r="Y83" s="1320"/>
      <c r="Z83" s="1320"/>
      <c r="AA83" s="1320"/>
      <c r="AB83" s="1320"/>
      <c r="AC83" s="1366"/>
    </row>
    <row r="84" spans="1:29" s="31" customFormat="1" ht="14.45" customHeight="1" x14ac:dyDescent="0.25">
      <c r="A84" s="1291" t="s">
        <v>124</v>
      </c>
      <c r="B84" s="1321" t="s">
        <v>1346</v>
      </c>
      <c r="C84" s="1301"/>
      <c r="D84" s="1302"/>
      <c r="E84" s="1302"/>
      <c r="F84" s="1302"/>
      <c r="G84" s="1302"/>
      <c r="H84" s="1302"/>
      <c r="I84" s="1302"/>
      <c r="J84" s="1303"/>
      <c r="K84" s="1303"/>
      <c r="L84" s="1303"/>
      <c r="M84" s="1304">
        <v>1</v>
      </c>
      <c r="N84" s="1304"/>
      <c r="O84" s="1304">
        <f t="shared" ref="O84:O88" si="10">M84</f>
        <v>1</v>
      </c>
      <c r="P84" s="1304"/>
      <c r="Q84" s="1304"/>
      <c r="R84" s="1304">
        <v>1</v>
      </c>
      <c r="S84" s="1304"/>
      <c r="T84" s="1304"/>
      <c r="U84" s="1304"/>
      <c r="V84" s="1304">
        <f>D84+J84+O84</f>
        <v>1</v>
      </c>
      <c r="W84" s="1304"/>
      <c r="X84" s="1304"/>
      <c r="Y84" s="1320">
        <f>R84+W84/2</f>
        <v>1</v>
      </c>
      <c r="Z84" s="1320"/>
      <c r="AA84" s="1320"/>
      <c r="AB84" s="1320"/>
      <c r="AC84" s="1366">
        <f t="shared" ref="AC84:AC88" si="11">V84+X84/2</f>
        <v>1</v>
      </c>
    </row>
    <row r="85" spans="1:29" s="31" customFormat="1" ht="29.25" customHeight="1" x14ac:dyDescent="0.25">
      <c r="A85" s="1383" t="s">
        <v>125</v>
      </c>
      <c r="B85" s="1370" t="s">
        <v>1347</v>
      </c>
      <c r="C85" s="1301"/>
      <c r="D85" s="1302"/>
      <c r="E85" s="1302"/>
      <c r="F85" s="1302"/>
      <c r="G85" s="1302"/>
      <c r="H85" s="1302"/>
      <c r="I85" s="1302"/>
      <c r="J85" s="1303"/>
      <c r="K85" s="1303"/>
      <c r="L85" s="1303"/>
      <c r="M85" s="1304">
        <v>1</v>
      </c>
      <c r="N85" s="1304"/>
      <c r="O85" s="1304">
        <f t="shared" si="10"/>
        <v>1</v>
      </c>
      <c r="P85" s="1304"/>
      <c r="Q85" s="1304"/>
      <c r="R85" s="1304">
        <v>1</v>
      </c>
      <c r="S85" s="1304"/>
      <c r="T85" s="1304"/>
      <c r="U85" s="1304"/>
      <c r="V85" s="1304">
        <f>D85+J85+O85</f>
        <v>1</v>
      </c>
      <c r="W85" s="1304"/>
      <c r="X85" s="1304"/>
      <c r="Y85" s="1320">
        <f>R85+W85/2</f>
        <v>1</v>
      </c>
      <c r="Z85" s="1320"/>
      <c r="AA85" s="1320"/>
      <c r="AB85" s="1320"/>
      <c r="AC85" s="1366">
        <f t="shared" si="11"/>
        <v>1</v>
      </c>
    </row>
    <row r="86" spans="1:29" s="31" customFormat="1" ht="14.45" customHeight="1" x14ac:dyDescent="0.25">
      <c r="A86" s="1291" t="s">
        <v>126</v>
      </c>
      <c r="B86" s="1321" t="s">
        <v>1351</v>
      </c>
      <c r="C86" s="1301"/>
      <c r="D86" s="1302"/>
      <c r="E86" s="1302"/>
      <c r="F86" s="1302"/>
      <c r="G86" s="1302"/>
      <c r="H86" s="1302"/>
      <c r="I86" s="1302"/>
      <c r="J86" s="1303"/>
      <c r="K86" s="1303"/>
      <c r="L86" s="1303"/>
      <c r="M86" s="1304"/>
      <c r="N86" s="1304"/>
      <c r="O86" s="1304"/>
      <c r="P86" s="1304">
        <v>1</v>
      </c>
      <c r="Q86" s="1304">
        <v>1</v>
      </c>
      <c r="R86" s="1304"/>
      <c r="S86" s="1304"/>
      <c r="T86" s="1304"/>
      <c r="U86" s="1304"/>
      <c r="V86" s="1304"/>
      <c r="W86" s="1304">
        <v>1</v>
      </c>
      <c r="X86" s="1304">
        <v>1</v>
      </c>
      <c r="Y86" s="1308">
        <v>0.5</v>
      </c>
      <c r="Z86" s="1320"/>
      <c r="AA86" s="1320"/>
      <c r="AB86" s="1320"/>
      <c r="AC86" s="1366">
        <f>Y86</f>
        <v>0.5</v>
      </c>
    </row>
    <row r="87" spans="1:29" s="31" customFormat="1" ht="14.45" customHeight="1" x14ac:dyDescent="0.25">
      <c r="A87" s="1291" t="s">
        <v>129</v>
      </c>
      <c r="B87" s="1319" t="s">
        <v>1348</v>
      </c>
      <c r="C87" s="1235"/>
      <c r="D87" s="1236"/>
      <c r="E87" s="1236"/>
      <c r="F87" s="1236"/>
      <c r="G87" s="1236"/>
      <c r="H87" s="1236"/>
      <c r="I87" s="1236"/>
      <c r="J87" s="1237"/>
      <c r="K87" s="1237"/>
      <c r="L87" s="1237"/>
      <c r="M87" s="1238"/>
      <c r="N87" s="1238"/>
      <c r="O87" s="1238"/>
      <c r="P87" s="1238"/>
      <c r="Q87" s="1238"/>
      <c r="R87" s="1238"/>
      <c r="S87" s="1238"/>
      <c r="T87" s="1238"/>
      <c r="U87" s="1238"/>
      <c r="V87" s="1238"/>
      <c r="W87" s="1238"/>
      <c r="X87" s="1238"/>
      <c r="Y87" s="1239"/>
      <c r="Z87" s="1239"/>
      <c r="AA87" s="1239"/>
      <c r="AB87" s="1239"/>
      <c r="AC87" s="1368"/>
    </row>
    <row r="88" spans="1:29" s="31" customFormat="1" ht="16.5" customHeight="1" x14ac:dyDescent="0.25">
      <c r="A88" s="1291" t="s">
        <v>132</v>
      </c>
      <c r="B88" s="1321" t="s">
        <v>1349</v>
      </c>
      <c r="C88" s="1301"/>
      <c r="D88" s="1302"/>
      <c r="E88" s="1302"/>
      <c r="F88" s="1302"/>
      <c r="G88" s="1302"/>
      <c r="H88" s="1302"/>
      <c r="I88" s="1302"/>
      <c r="J88" s="1303"/>
      <c r="K88" s="1303"/>
      <c r="L88" s="1303"/>
      <c r="M88" s="1304">
        <v>3</v>
      </c>
      <c r="N88" s="1304"/>
      <c r="O88" s="1304">
        <f t="shared" si="10"/>
        <v>3</v>
      </c>
      <c r="P88" s="1304"/>
      <c r="Q88" s="1304"/>
      <c r="R88" s="1304">
        <v>3</v>
      </c>
      <c r="S88" s="1304"/>
      <c r="T88" s="1304"/>
      <c r="U88" s="1304"/>
      <c r="V88" s="1304">
        <f>D88+J88+O88</f>
        <v>3</v>
      </c>
      <c r="W88" s="1304"/>
      <c r="X88" s="1304"/>
      <c r="Y88" s="1320">
        <f>R88+W88/2</f>
        <v>3</v>
      </c>
      <c r="Z88" s="1320"/>
      <c r="AA88" s="1320"/>
      <c r="AB88" s="1320"/>
      <c r="AC88" s="1366">
        <f t="shared" si="11"/>
        <v>3</v>
      </c>
    </row>
    <row r="89" spans="1:29" s="31" customFormat="1" ht="14.45" customHeight="1" x14ac:dyDescent="0.25">
      <c r="A89" s="1291" t="s">
        <v>135</v>
      </c>
      <c r="B89" s="1321" t="s">
        <v>1350</v>
      </c>
      <c r="C89" s="1235"/>
      <c r="D89" s="1236"/>
      <c r="E89" s="1236"/>
      <c r="F89" s="1236"/>
      <c r="G89" s="1236"/>
      <c r="H89" s="1236"/>
      <c r="I89" s="1236"/>
      <c r="J89" s="1237"/>
      <c r="K89" s="1237"/>
      <c r="L89" s="1237"/>
      <c r="M89" s="1304">
        <v>1</v>
      </c>
      <c r="N89" s="1304"/>
      <c r="O89" s="1304">
        <f>M89</f>
        <v>1</v>
      </c>
      <c r="P89" s="1238"/>
      <c r="Q89" s="1238"/>
      <c r="R89" s="1304">
        <f>M89+P89</f>
        <v>1</v>
      </c>
      <c r="S89" s="1238"/>
      <c r="T89" s="1238"/>
      <c r="U89" s="1238"/>
      <c r="V89" s="1304">
        <f>D89+J89+O89</f>
        <v>1</v>
      </c>
      <c r="W89" s="1238"/>
      <c r="X89" s="1238"/>
      <c r="Y89" s="1364">
        <f>R89+W89</f>
        <v>1</v>
      </c>
      <c r="Z89" s="1241"/>
      <c r="AA89" s="1241"/>
      <c r="AB89" s="1241"/>
      <c r="AC89" s="1366">
        <f>V89+X89/2</f>
        <v>1</v>
      </c>
    </row>
    <row r="90" spans="1:29" s="31" customFormat="1" ht="14.45" customHeight="1" x14ac:dyDescent="0.25">
      <c r="A90" s="1291" t="s">
        <v>136</v>
      </c>
      <c r="B90" s="1327" t="s">
        <v>696</v>
      </c>
      <c r="C90" s="1301"/>
      <c r="D90" s="1302"/>
      <c r="E90" s="1302"/>
      <c r="F90" s="1302"/>
      <c r="G90" s="1302"/>
      <c r="H90" s="1302"/>
      <c r="I90" s="1302"/>
      <c r="J90" s="1303"/>
      <c r="K90" s="1303"/>
      <c r="L90" s="1303"/>
      <c r="M90" s="1304">
        <f>SUM(M65:M89)</f>
        <v>23</v>
      </c>
      <c r="N90" s="1304"/>
      <c r="O90" s="1304">
        <f t="shared" ref="O90:AC90" si="12">SUM(O65:O89)</f>
        <v>23</v>
      </c>
      <c r="P90" s="1304">
        <f t="shared" si="12"/>
        <v>2</v>
      </c>
      <c r="Q90" s="1304">
        <f t="shared" si="12"/>
        <v>2</v>
      </c>
      <c r="R90" s="1304">
        <f t="shared" si="12"/>
        <v>23</v>
      </c>
      <c r="S90" s="1304">
        <f t="shared" si="12"/>
        <v>0</v>
      </c>
      <c r="T90" s="1304"/>
      <c r="U90" s="1304">
        <f t="shared" si="12"/>
        <v>0</v>
      </c>
      <c r="V90" s="1304">
        <f t="shared" si="12"/>
        <v>23</v>
      </c>
      <c r="W90" s="1304">
        <f t="shared" si="12"/>
        <v>2</v>
      </c>
      <c r="X90" s="1304">
        <f t="shared" si="12"/>
        <v>2</v>
      </c>
      <c r="Y90" s="1304">
        <f t="shared" si="12"/>
        <v>23.75</v>
      </c>
      <c r="Z90" s="1304">
        <f t="shared" si="12"/>
        <v>0</v>
      </c>
      <c r="AA90" s="1304"/>
      <c r="AB90" s="1304">
        <f t="shared" si="12"/>
        <v>0</v>
      </c>
      <c r="AC90" s="1304">
        <f t="shared" si="12"/>
        <v>23.75</v>
      </c>
    </row>
    <row r="91" spans="1:29" s="31" customFormat="1" ht="14.45" customHeight="1" x14ac:dyDescent="0.25">
      <c r="A91" s="1291"/>
      <c r="B91" s="1227"/>
      <c r="C91" s="1244"/>
      <c r="D91" s="1245"/>
      <c r="E91" s="1245"/>
      <c r="F91" s="1245"/>
      <c r="G91" s="1245"/>
      <c r="H91" s="1245"/>
      <c r="I91" s="1245"/>
      <c r="J91" s="1246"/>
      <c r="K91" s="1246"/>
      <c r="L91" s="1246"/>
      <c r="M91" s="1247"/>
      <c r="N91" s="1247"/>
      <c r="O91" s="1247"/>
      <c r="P91" s="1247"/>
      <c r="Q91" s="1247"/>
      <c r="R91" s="1247"/>
      <c r="S91" s="1247"/>
      <c r="T91" s="1247"/>
      <c r="U91" s="1247"/>
      <c r="V91" s="1247"/>
      <c r="W91" s="1247"/>
      <c r="X91" s="1247"/>
      <c r="Y91" s="1248"/>
      <c r="Z91" s="1248"/>
      <c r="AA91" s="1248"/>
      <c r="AB91" s="1248"/>
      <c r="AC91" s="1247"/>
    </row>
    <row r="92" spans="1:29" s="31" customFormat="1" ht="14.45" customHeight="1" x14ac:dyDescent="0.25">
      <c r="A92" s="1291"/>
      <c r="B92" s="1231"/>
      <c r="C92" s="1222"/>
      <c r="D92" s="1200"/>
      <c r="E92" s="1200"/>
      <c r="F92" s="1200"/>
      <c r="G92" s="1200"/>
      <c r="H92" s="1200"/>
      <c r="I92" s="1200"/>
      <c r="J92" s="1216"/>
      <c r="K92" s="1216"/>
      <c r="L92" s="1216"/>
      <c r="M92" s="1201"/>
      <c r="N92" s="1201"/>
      <c r="O92" s="1201"/>
      <c r="P92" s="1201"/>
      <c r="Q92" s="1201"/>
      <c r="R92" s="1201"/>
      <c r="S92" s="1201"/>
      <c r="T92" s="1201"/>
      <c r="U92" s="1201"/>
      <c r="V92" s="1201"/>
      <c r="W92" s="1201"/>
      <c r="X92" s="1201"/>
      <c r="Y92" s="1232"/>
      <c r="Z92" s="1232"/>
      <c r="AA92" s="1232"/>
      <c r="AB92" s="1232"/>
      <c r="AC92" s="1201"/>
    </row>
    <row r="93" spans="1:29" s="31" customFormat="1" ht="14.45" customHeight="1" x14ac:dyDescent="0.25">
      <c r="A93" s="1291"/>
      <c r="B93" s="1231"/>
      <c r="C93" s="1222"/>
      <c r="D93" s="1200"/>
      <c r="E93" s="1200"/>
      <c r="F93" s="1200"/>
      <c r="G93" s="1200"/>
      <c r="H93" s="1200"/>
      <c r="I93" s="1200"/>
      <c r="J93" s="1216"/>
      <c r="K93" s="1216"/>
      <c r="L93" s="1216"/>
      <c r="M93" s="1201"/>
      <c r="N93" s="1201"/>
      <c r="O93" s="1201"/>
      <c r="P93" s="1201"/>
      <c r="Q93" s="1201"/>
      <c r="R93" s="1201"/>
      <c r="S93" s="1201"/>
      <c r="T93" s="1201"/>
      <c r="U93" s="1201"/>
      <c r="V93" s="1201"/>
      <c r="W93" s="1201"/>
      <c r="X93" s="1201"/>
      <c r="Y93" s="1232"/>
      <c r="Z93" s="1232"/>
      <c r="AA93" s="1232"/>
      <c r="AB93" s="1232"/>
      <c r="AC93" s="1201"/>
    </row>
    <row r="94" spans="1:29" s="31" customFormat="1" ht="14.45" customHeight="1" x14ac:dyDescent="0.25">
      <c r="A94" s="1294" t="s">
        <v>139</v>
      </c>
      <c r="B94" s="1295" t="s">
        <v>506</v>
      </c>
      <c r="C94" s="1296"/>
      <c r="D94" s="1297"/>
      <c r="E94" s="1297"/>
      <c r="F94" s="1297"/>
      <c r="G94" s="1297"/>
      <c r="H94" s="1297"/>
      <c r="I94" s="1297"/>
      <c r="J94" s="1298"/>
      <c r="K94" s="1298"/>
      <c r="L94" s="1298"/>
      <c r="M94" s="1281"/>
      <c r="N94" s="1281"/>
      <c r="O94" s="1281"/>
      <c r="P94" s="1281"/>
      <c r="Q94" s="1281"/>
      <c r="R94" s="1281"/>
      <c r="S94" s="1281"/>
      <c r="T94" s="1281"/>
      <c r="U94" s="1281"/>
      <c r="V94" s="1281"/>
      <c r="W94" s="1281"/>
      <c r="X94" s="1281"/>
      <c r="Y94" s="1299"/>
      <c r="Z94" s="1299"/>
      <c r="AA94" s="1299"/>
      <c r="AB94" s="1299"/>
      <c r="AC94" s="1281"/>
    </row>
    <row r="95" spans="1:29" s="31" customFormat="1" ht="14.45" customHeight="1" x14ac:dyDescent="0.25">
      <c r="A95" s="1294" t="s">
        <v>140</v>
      </c>
      <c r="B95" s="1300" t="s">
        <v>507</v>
      </c>
      <c r="C95" s="1301"/>
      <c r="D95" s="1302"/>
      <c r="E95" s="1302"/>
      <c r="F95" s="1302"/>
      <c r="G95" s="1302"/>
      <c r="H95" s="1302"/>
      <c r="I95" s="1302"/>
      <c r="J95" s="1303"/>
      <c r="K95" s="1303"/>
      <c r="L95" s="1303"/>
      <c r="M95" s="1303">
        <v>13</v>
      </c>
      <c r="N95" s="1303"/>
      <c r="O95" s="1303">
        <f>M95</f>
        <v>13</v>
      </c>
      <c r="P95" s="1304"/>
      <c r="Q95" s="1304"/>
      <c r="R95" s="1303">
        <f>M95</f>
        <v>13</v>
      </c>
      <c r="S95" s="1303"/>
      <c r="T95" s="1303"/>
      <c r="U95" s="1303"/>
      <c r="V95" s="1304">
        <f>O95+J95+D95</f>
        <v>13</v>
      </c>
      <c r="W95" s="1304"/>
      <c r="X95" s="1304"/>
      <c r="Y95" s="1303">
        <f>R95+W95/2</f>
        <v>13</v>
      </c>
      <c r="Z95" s="1303"/>
      <c r="AA95" s="1303"/>
      <c r="AB95" s="1303"/>
      <c r="AC95" s="1304">
        <f t="shared" ref="AC95:AC98" si="13">V95+X95/2</f>
        <v>13</v>
      </c>
    </row>
    <row r="96" spans="1:29" s="31" customFormat="1" ht="14.45" customHeight="1" x14ac:dyDescent="0.25">
      <c r="A96" s="1294" t="s">
        <v>141</v>
      </c>
      <c r="B96" s="1300" t="s">
        <v>1301</v>
      </c>
      <c r="C96" s="1301"/>
      <c r="D96" s="1302"/>
      <c r="E96" s="1302"/>
      <c r="F96" s="1302"/>
      <c r="G96" s="1302"/>
      <c r="H96" s="1302"/>
      <c r="I96" s="1302"/>
      <c r="J96" s="1303"/>
      <c r="K96" s="1303"/>
      <c r="L96" s="1303"/>
      <c r="M96" s="1303">
        <v>8</v>
      </c>
      <c r="N96" s="1303"/>
      <c r="O96" s="1303">
        <f>M96</f>
        <v>8</v>
      </c>
      <c r="P96" s="1304"/>
      <c r="Q96" s="1304"/>
      <c r="R96" s="1303">
        <f>M96</f>
        <v>8</v>
      </c>
      <c r="S96" s="1303"/>
      <c r="T96" s="1303"/>
      <c r="U96" s="1303"/>
      <c r="V96" s="1304">
        <f>R96</f>
        <v>8</v>
      </c>
      <c r="W96" s="1304"/>
      <c r="X96" s="1304"/>
      <c r="Y96" s="1303">
        <f>R96+W96/2</f>
        <v>8</v>
      </c>
      <c r="Z96" s="1303"/>
      <c r="AA96" s="1303"/>
      <c r="AB96" s="1303"/>
      <c r="AC96" s="1304">
        <f t="shared" si="13"/>
        <v>8</v>
      </c>
    </row>
    <row r="97" spans="1:247" s="31" customFormat="1" ht="14.45" customHeight="1" x14ac:dyDescent="0.25">
      <c r="A97" s="1294" t="s">
        <v>142</v>
      </c>
      <c r="B97" s="1300" t="s">
        <v>1302</v>
      </c>
      <c r="C97" s="1301"/>
      <c r="D97" s="1302"/>
      <c r="E97" s="1302"/>
      <c r="F97" s="1302"/>
      <c r="G97" s="1302"/>
      <c r="H97" s="1302"/>
      <c r="I97" s="1302"/>
      <c r="J97" s="1303"/>
      <c r="K97" s="1303"/>
      <c r="L97" s="1303"/>
      <c r="M97" s="1303">
        <v>2</v>
      </c>
      <c r="N97" s="1303"/>
      <c r="O97" s="1303">
        <f>M97</f>
        <v>2</v>
      </c>
      <c r="P97" s="1304"/>
      <c r="Q97" s="1304"/>
      <c r="R97" s="1303">
        <f>M97</f>
        <v>2</v>
      </c>
      <c r="S97" s="1303"/>
      <c r="T97" s="1303"/>
      <c r="U97" s="1303"/>
      <c r="V97" s="1304">
        <f>R97</f>
        <v>2</v>
      </c>
      <c r="W97" s="1304"/>
      <c r="X97" s="1304"/>
      <c r="Y97" s="1303">
        <f>R97+W97/2</f>
        <v>2</v>
      </c>
      <c r="Z97" s="1303"/>
      <c r="AA97" s="1303"/>
      <c r="AB97" s="1303"/>
      <c r="AC97" s="1304">
        <f t="shared" si="13"/>
        <v>2</v>
      </c>
    </row>
    <row r="98" spans="1:247" s="31" customFormat="1" ht="14.45" customHeight="1" x14ac:dyDescent="0.25">
      <c r="A98" s="1294" t="s">
        <v>143</v>
      </c>
      <c r="B98" s="1300" t="s">
        <v>1303</v>
      </c>
      <c r="C98" s="1301"/>
      <c r="D98" s="1302"/>
      <c r="E98" s="1302"/>
      <c r="F98" s="1302"/>
      <c r="G98" s="1302"/>
      <c r="H98" s="1302"/>
      <c r="I98" s="1302"/>
      <c r="J98" s="1303"/>
      <c r="K98" s="1303"/>
      <c r="L98" s="1303"/>
      <c r="M98" s="1303">
        <v>1</v>
      </c>
      <c r="N98" s="1303"/>
      <c r="O98" s="1303">
        <f>M98</f>
        <v>1</v>
      </c>
      <c r="P98" s="1304"/>
      <c r="Q98" s="1304"/>
      <c r="R98" s="1303">
        <f>M98</f>
        <v>1</v>
      </c>
      <c r="S98" s="1303"/>
      <c r="T98" s="1303"/>
      <c r="U98" s="1303"/>
      <c r="V98" s="1304">
        <f>R98</f>
        <v>1</v>
      </c>
      <c r="W98" s="1304"/>
      <c r="X98" s="1304"/>
      <c r="Y98" s="1303">
        <f>R98+W98/2</f>
        <v>1</v>
      </c>
      <c r="Z98" s="1303"/>
      <c r="AA98" s="1303"/>
      <c r="AB98" s="1303"/>
      <c r="AC98" s="1304">
        <f t="shared" si="13"/>
        <v>1</v>
      </c>
    </row>
    <row r="99" spans="1:247" s="31" customFormat="1" ht="14.45" customHeight="1" x14ac:dyDescent="0.25">
      <c r="A99" s="1294" t="s">
        <v>145</v>
      </c>
      <c r="B99" s="1305" t="s">
        <v>1051</v>
      </c>
      <c r="C99" s="1306"/>
      <c r="D99" s="1307"/>
      <c r="E99" s="1307"/>
      <c r="F99" s="1307"/>
      <c r="G99" s="1307"/>
      <c r="H99" s="1307"/>
      <c r="I99" s="1307"/>
      <c r="J99" s="1303"/>
      <c r="K99" s="1303"/>
      <c r="L99" s="1303"/>
      <c r="M99" s="1304">
        <f>M95+M96+M98+M97</f>
        <v>24</v>
      </c>
      <c r="N99" s="1304"/>
      <c r="O99" s="1304">
        <f t="shared" ref="O99:AC99" si="14">O95+O96+O98+O97</f>
        <v>24</v>
      </c>
      <c r="P99" s="1304">
        <f t="shared" si="14"/>
        <v>0</v>
      </c>
      <c r="Q99" s="1304">
        <f t="shared" si="14"/>
        <v>0</v>
      </c>
      <c r="R99" s="1304">
        <f t="shared" si="14"/>
        <v>24</v>
      </c>
      <c r="S99" s="1304"/>
      <c r="T99" s="1304"/>
      <c r="U99" s="1304"/>
      <c r="V99" s="1304">
        <f t="shared" si="14"/>
        <v>24</v>
      </c>
      <c r="W99" s="1304">
        <f t="shared" si="14"/>
        <v>0</v>
      </c>
      <c r="X99" s="1304">
        <f t="shared" si="14"/>
        <v>0</v>
      </c>
      <c r="Y99" s="1308">
        <f t="shared" si="14"/>
        <v>24</v>
      </c>
      <c r="Z99" s="1308"/>
      <c r="AA99" s="1308"/>
      <c r="AB99" s="1308"/>
      <c r="AC99" s="1308">
        <f t="shared" si="14"/>
        <v>24</v>
      </c>
    </row>
    <row r="100" spans="1:247" ht="15.75" customHeight="1" x14ac:dyDescent="0.25">
      <c r="A100" s="1294"/>
      <c r="B100" s="1309"/>
      <c r="C100" s="1310"/>
      <c r="D100" s="1311"/>
      <c r="E100" s="1311"/>
      <c r="F100" s="1311"/>
      <c r="G100" s="1311"/>
      <c r="H100" s="1311"/>
      <c r="I100" s="1311"/>
      <c r="J100" s="1312"/>
      <c r="K100" s="1312"/>
      <c r="L100" s="1312"/>
      <c r="M100" s="1313"/>
      <c r="N100" s="1313"/>
      <c r="O100" s="1313"/>
      <c r="P100" s="1313"/>
      <c r="Q100" s="1313"/>
      <c r="R100" s="1313"/>
      <c r="S100" s="1313"/>
      <c r="T100" s="1313"/>
      <c r="U100" s="1313"/>
      <c r="V100" s="1313"/>
      <c r="W100" s="1313"/>
      <c r="X100" s="1313"/>
      <c r="Y100" s="1313"/>
      <c r="Z100" s="1313"/>
      <c r="AA100" s="1313"/>
      <c r="AB100" s="1313"/>
      <c r="AC100" s="1314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</row>
    <row r="101" spans="1:247" s="31" customFormat="1" ht="14.45" customHeight="1" x14ac:dyDescent="0.25">
      <c r="A101" s="1294"/>
      <c r="B101" s="1198"/>
      <c r="C101" s="1199"/>
      <c r="D101" s="1200"/>
      <c r="E101" s="1200"/>
      <c r="F101" s="1200"/>
      <c r="G101" s="1200"/>
      <c r="H101" s="1200"/>
      <c r="I101" s="1200"/>
      <c r="J101" s="1216"/>
      <c r="K101" s="1216"/>
      <c r="L101" s="1216"/>
      <c r="M101" s="1216"/>
      <c r="N101" s="1216"/>
      <c r="O101" s="1216"/>
      <c r="P101" s="1216"/>
      <c r="Q101" s="1216"/>
      <c r="R101" s="1216"/>
      <c r="S101" s="1216"/>
      <c r="T101" s="1216"/>
      <c r="U101" s="1216"/>
      <c r="V101" s="1205"/>
      <c r="W101" s="1205"/>
      <c r="X101" s="1205"/>
      <c r="Y101" s="1205"/>
      <c r="Z101" s="1205"/>
      <c r="AA101" s="1205"/>
      <c r="AB101" s="1205"/>
      <c r="AC101" s="1205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</row>
    <row r="102" spans="1:247" s="31" customFormat="1" ht="15.75" customHeight="1" x14ac:dyDescent="0.25">
      <c r="A102" s="1294" t="s">
        <v>148</v>
      </c>
      <c r="B102" s="1264" t="s">
        <v>661</v>
      </c>
      <c r="C102" s="1265">
        <f>C21+C36+C60</f>
        <v>0</v>
      </c>
      <c r="D102" s="1265">
        <f>D21+D36+D60</f>
        <v>0</v>
      </c>
      <c r="E102" s="1265"/>
      <c r="F102" s="1265"/>
      <c r="G102" s="1265">
        <f>G21+G36+G60</f>
        <v>0</v>
      </c>
      <c r="H102" s="1265"/>
      <c r="I102" s="1265"/>
      <c r="J102" s="1265">
        <f>J21+J36+J60</f>
        <v>0</v>
      </c>
      <c r="K102" s="1265">
        <f>K21+K36+K60</f>
        <v>0</v>
      </c>
      <c r="L102" s="1265">
        <f>L21+L36+L60</f>
        <v>0</v>
      </c>
      <c r="M102" s="1265">
        <f>M21+M36+M99+M90</f>
        <v>188.5</v>
      </c>
      <c r="N102" s="1265"/>
      <c r="O102" s="1265">
        <f>O21+O36+O99+O90</f>
        <v>188</v>
      </c>
      <c r="P102" s="1265">
        <f>P21+P36+P99+P90</f>
        <v>2</v>
      </c>
      <c r="Q102" s="1265">
        <f>Q21+Q36+Q99+Q90</f>
        <v>2</v>
      </c>
      <c r="R102" s="1265">
        <f>R21+R36+R99+R90</f>
        <v>188.5</v>
      </c>
      <c r="S102" s="1265"/>
      <c r="T102" s="1265">
        <f>T21+T36+T90+T99</f>
        <v>-0.5</v>
      </c>
      <c r="U102" s="1265"/>
      <c r="V102" s="1265">
        <f>V21+V36+V99+V90</f>
        <v>188</v>
      </c>
      <c r="W102" s="1265">
        <f>W21+W36+W99+W90</f>
        <v>2</v>
      </c>
      <c r="X102" s="1265">
        <f>X21+X36+X99+X90</f>
        <v>2</v>
      </c>
      <c r="Y102" s="1373">
        <f>Y99+Y90+Y36+Y21</f>
        <v>189.25</v>
      </c>
      <c r="Z102" s="1373"/>
      <c r="AA102" s="1373">
        <f t="shared" ref="AA102" si="15">AA99+AA90+AA36+AA21</f>
        <v>-0.5</v>
      </c>
      <c r="AB102" s="1373"/>
      <c r="AC102" s="1373">
        <f t="shared" ref="AC102" si="16">AC21+AC36+AC99+AC90</f>
        <v>188.75</v>
      </c>
    </row>
    <row r="103" spans="1:247" s="31" customFormat="1" ht="14.45" customHeight="1" x14ac:dyDescent="0.25">
      <c r="A103" s="1294"/>
      <c r="B103" s="1203"/>
      <c r="C103" s="1279"/>
      <c r="D103" s="1280"/>
      <c r="E103" s="1280"/>
      <c r="F103" s="1280"/>
      <c r="G103" s="1280"/>
      <c r="H103" s="1280"/>
      <c r="I103" s="1280"/>
      <c r="J103" s="1292"/>
      <c r="K103" s="1292"/>
      <c r="L103" s="1292"/>
      <c r="M103" s="1206"/>
      <c r="N103" s="1206"/>
      <c r="O103" s="1205"/>
      <c r="P103" s="1205"/>
      <c r="Q103" s="1205"/>
      <c r="R103" s="1205"/>
      <c r="S103" s="1201"/>
      <c r="T103" s="1201"/>
      <c r="U103" s="1201"/>
      <c r="V103" s="1220"/>
      <c r="W103" s="1251"/>
      <c r="X103" s="1251"/>
      <c r="Y103" s="1252"/>
      <c r="Z103" s="1252"/>
      <c r="AA103" s="1252"/>
      <c r="AB103" s="1252"/>
      <c r="AC103" s="1252"/>
    </row>
    <row r="104" spans="1:247" ht="14.45" customHeight="1" x14ac:dyDescent="0.25">
      <c r="A104" s="1294" t="s">
        <v>150</v>
      </c>
      <c r="B104" s="1264" t="s">
        <v>585</v>
      </c>
      <c r="C104" s="1378">
        <f>C10+C12+C102</f>
        <v>7</v>
      </c>
      <c r="D104" s="1379">
        <f>D10+D12+D102</f>
        <v>7</v>
      </c>
      <c r="E104" s="1380">
        <f>E10++E12+E102</f>
        <v>0</v>
      </c>
      <c r="F104" s="1380">
        <f>F102+F12+F10</f>
        <v>0</v>
      </c>
      <c r="G104" s="1378">
        <f t="shared" ref="G104:L104" si="17">G10+G12+G102</f>
        <v>39</v>
      </c>
      <c r="H104" s="1378">
        <f t="shared" si="17"/>
        <v>1</v>
      </c>
      <c r="I104" s="1378">
        <f t="shared" si="17"/>
        <v>-1</v>
      </c>
      <c r="J104" s="1378">
        <f t="shared" si="17"/>
        <v>39</v>
      </c>
      <c r="K104" s="1378">
        <f t="shared" si="17"/>
        <v>0</v>
      </c>
      <c r="L104" s="1378">
        <f t="shared" si="17"/>
        <v>0</v>
      </c>
      <c r="M104" s="1381">
        <f>M102</f>
        <v>188.5</v>
      </c>
      <c r="N104" s="1381"/>
      <c r="O104" s="1381">
        <f>O10+O12+O102</f>
        <v>188</v>
      </c>
      <c r="P104" s="1381">
        <f>P10+P12+P102</f>
        <v>2</v>
      </c>
      <c r="Q104" s="1381">
        <f>Q10+Q12+Q102</f>
        <v>2</v>
      </c>
      <c r="R104" s="1267">
        <f>C104+G104+M104</f>
        <v>234.5</v>
      </c>
      <c r="S104" s="1267">
        <f>S10+S12+S102</f>
        <v>1</v>
      </c>
      <c r="T104" s="1267"/>
      <c r="U104" s="1267">
        <f t="shared" ref="U104" si="18">E104+I104+P104</f>
        <v>1</v>
      </c>
      <c r="V104" s="1288">
        <f>V102+V12+V10</f>
        <v>234</v>
      </c>
      <c r="W104" s="1371">
        <f>W10+W12+W102</f>
        <v>2</v>
      </c>
      <c r="X104" s="1372">
        <f>X10+X12+X102</f>
        <v>2</v>
      </c>
      <c r="Y104" s="1382">
        <f>Y10+Y12+Y102</f>
        <v>235.25</v>
      </c>
      <c r="Z104" s="1382">
        <f t="shared" ref="Z104:AC104" si="19">Z10+Z12+Z102</f>
        <v>1</v>
      </c>
      <c r="AA104" s="1382">
        <f>AA10+AA12+AA21+AA36+AA90</f>
        <v>-0.5</v>
      </c>
      <c r="AB104" s="1382">
        <f t="shared" si="19"/>
        <v>-1</v>
      </c>
      <c r="AC104" s="1382">
        <f t="shared" si="19"/>
        <v>234.75</v>
      </c>
      <c r="AD104" s="1402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</row>
    <row r="105" spans="1:247" ht="15.75" customHeight="1" x14ac:dyDescent="0.25">
      <c r="A105" s="1197"/>
      <c r="B105" s="1231"/>
      <c r="C105" s="1222"/>
      <c r="D105" s="1201"/>
      <c r="E105" s="1201"/>
      <c r="F105" s="1201"/>
      <c r="G105" s="1201"/>
      <c r="H105" s="1201"/>
      <c r="I105" s="1201"/>
      <c r="J105" s="1201"/>
      <c r="K105" s="1201"/>
      <c r="L105" s="1201"/>
      <c r="M105" s="1201"/>
      <c r="N105" s="1201"/>
      <c r="O105" s="1201"/>
      <c r="P105" s="1201"/>
      <c r="Q105" s="1201"/>
      <c r="R105" s="1260"/>
      <c r="S105" s="1260"/>
      <c r="T105" s="1260"/>
      <c r="U105" s="1260"/>
      <c r="V105" s="1260"/>
      <c r="W105" s="1261"/>
      <c r="X105" s="1261"/>
      <c r="Y105" s="1261"/>
      <c r="Z105" s="1261"/>
      <c r="AA105" s="1261"/>
      <c r="AB105" s="1261"/>
      <c r="AC105" s="1261"/>
    </row>
    <row r="106" spans="1:247" ht="18.75" customHeight="1" x14ac:dyDescent="0.25">
      <c r="A106" s="1197"/>
      <c r="B106" s="1633" t="s">
        <v>1325</v>
      </c>
      <c r="C106" s="1633"/>
      <c r="D106" s="1633"/>
      <c r="E106" s="1633"/>
      <c r="F106" s="1633"/>
      <c r="G106" s="1633"/>
      <c r="H106" s="1633"/>
      <c r="I106" s="1633"/>
      <c r="J106" s="1633"/>
      <c r="K106" s="1633"/>
      <c r="L106" s="1633"/>
      <c r="M106" s="1633"/>
      <c r="N106" s="1633"/>
      <c r="O106" s="1633"/>
      <c r="P106" s="1633"/>
      <c r="Q106" s="1633"/>
      <c r="R106" s="1633"/>
      <c r="S106" s="1633"/>
      <c r="T106" s="1633"/>
      <c r="U106" s="1633"/>
      <c r="V106" s="1633"/>
      <c r="W106" s="1633"/>
      <c r="X106" s="1633"/>
      <c r="Y106" s="1633"/>
      <c r="Z106" s="1633"/>
      <c r="AA106" s="1633"/>
      <c r="AB106" s="1633"/>
      <c r="AC106" s="1633"/>
      <c r="AD106" s="430"/>
    </row>
    <row r="107" spans="1:247" ht="29.25" customHeight="1" x14ac:dyDescent="0.25">
      <c r="A107" s="1197"/>
      <c r="B107" s="1634"/>
      <c r="C107" s="1634"/>
      <c r="D107" s="1634"/>
      <c r="E107" s="1634"/>
      <c r="F107" s="1634"/>
      <c r="G107" s="1634"/>
      <c r="H107" s="1634"/>
      <c r="I107" s="1634"/>
      <c r="J107" s="1634"/>
      <c r="K107" s="1634"/>
      <c r="L107" s="1634"/>
      <c r="M107" s="1634"/>
      <c r="N107" s="1634"/>
      <c r="O107" s="1634"/>
      <c r="P107" s="1634"/>
      <c r="Q107" s="1634"/>
      <c r="R107" s="1634"/>
      <c r="S107" s="1634"/>
      <c r="T107" s="1634"/>
      <c r="U107" s="1634"/>
      <c r="V107" s="1634"/>
      <c r="W107" s="1634"/>
      <c r="X107" s="1634"/>
      <c r="Y107" s="1634"/>
      <c r="Z107" s="1634"/>
      <c r="AA107" s="1634"/>
      <c r="AB107" s="1634"/>
      <c r="AC107" s="1634"/>
      <c r="AD107" s="430"/>
    </row>
    <row r="108" spans="1:247" ht="13.9" customHeight="1" x14ac:dyDescent="0.25">
      <c r="A108" s="1197"/>
      <c r="B108" s="1262" t="s">
        <v>274</v>
      </c>
      <c r="C108" s="1197"/>
      <c r="D108" s="1197"/>
      <c r="E108" s="1197"/>
      <c r="F108" s="1197"/>
      <c r="G108" s="1197"/>
      <c r="H108" s="1197"/>
      <c r="I108" s="1197"/>
      <c r="J108" s="1197"/>
      <c r="K108" s="1197"/>
      <c r="L108" s="1197"/>
      <c r="M108" s="1197"/>
      <c r="N108" s="1197"/>
      <c r="O108" s="1197"/>
      <c r="P108" s="1197"/>
      <c r="Q108" s="1197"/>
      <c r="R108" s="1197"/>
      <c r="S108" s="1197"/>
      <c r="T108" s="1197"/>
      <c r="U108" s="1197"/>
      <c r="V108" s="1197"/>
      <c r="W108" s="1197"/>
      <c r="X108" s="1197"/>
      <c r="Y108" s="1197"/>
      <c r="Z108" s="1197"/>
      <c r="AA108" s="1197"/>
      <c r="AB108" s="1197"/>
      <c r="AC108" s="1197"/>
    </row>
    <row r="109" spans="1:247" ht="13.9" customHeight="1" x14ac:dyDescent="0.25">
      <c r="A109" s="1197"/>
      <c r="B109" s="1262"/>
      <c r="C109" s="1197"/>
      <c r="D109" s="1197"/>
      <c r="E109" s="1197"/>
      <c r="F109" s="1197"/>
      <c r="G109" s="1197"/>
      <c r="H109" s="1197"/>
      <c r="I109" s="1197"/>
      <c r="J109" s="1197"/>
      <c r="K109" s="1197"/>
      <c r="L109" s="1197"/>
      <c r="M109" s="1197"/>
      <c r="N109" s="1197"/>
      <c r="O109" s="1197"/>
      <c r="P109" s="1197"/>
      <c r="Q109" s="1197"/>
      <c r="R109" s="1197"/>
      <c r="S109" s="1197"/>
      <c r="T109" s="1197"/>
      <c r="U109" s="1197"/>
      <c r="V109" s="1197"/>
      <c r="W109" s="1197"/>
      <c r="X109" s="1197"/>
      <c r="Y109" s="1197"/>
      <c r="Z109" s="1197"/>
      <c r="AA109" s="1197"/>
      <c r="AB109" s="1197"/>
      <c r="AC109" s="1197"/>
    </row>
  </sheetData>
  <mergeCells count="29">
    <mergeCell ref="A1:AC1"/>
    <mergeCell ref="A2:AC2"/>
    <mergeCell ref="A3:AC3"/>
    <mergeCell ref="A5:A8"/>
    <mergeCell ref="C5:D5"/>
    <mergeCell ref="E5:F5"/>
    <mergeCell ref="G5:J5"/>
    <mergeCell ref="K5:L5"/>
    <mergeCell ref="M5:O5"/>
    <mergeCell ref="P5:Q5"/>
    <mergeCell ref="R5:V5"/>
    <mergeCell ref="W5:X5"/>
    <mergeCell ref="Y5:AC5"/>
    <mergeCell ref="B6:B8"/>
    <mergeCell ref="C6:F6"/>
    <mergeCell ref="G6:L6"/>
    <mergeCell ref="M6:Q6"/>
    <mergeCell ref="R6:X6"/>
    <mergeCell ref="Y6:AC7"/>
    <mergeCell ref="C7:D7"/>
    <mergeCell ref="W7:X7"/>
    <mergeCell ref="B106:AC106"/>
    <mergeCell ref="B107:AC107"/>
    <mergeCell ref="E7:F7"/>
    <mergeCell ref="G7:J7"/>
    <mergeCell ref="K7:L7"/>
    <mergeCell ref="M7:O7"/>
    <mergeCell ref="P7:Q7"/>
    <mergeCell ref="R7:V7"/>
  </mergeCells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D108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activeCell="X25" sqref="X25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7" width="4" style="17" customWidth="1"/>
    <col min="8" max="8" width="5.7109375" style="17" customWidth="1"/>
    <col min="9" max="9" width="4" style="17" customWidth="1"/>
    <col min="10" max="10" width="5.7109375" style="17" customWidth="1"/>
    <col min="11" max="11" width="7.28515625" style="17" customWidth="1"/>
    <col min="12" max="12" width="6.7109375" style="17" customWidth="1"/>
    <col min="13" max="13" width="5.140625" style="17" customWidth="1"/>
    <col min="14" max="14" width="5.7109375" style="17" customWidth="1"/>
    <col min="15" max="16" width="6.7109375" style="17" customWidth="1"/>
    <col min="17" max="17" width="6.85546875" style="17" customWidth="1"/>
    <col min="18" max="18" width="6.5703125" style="17" customWidth="1"/>
    <col min="19" max="19" width="7.140625" style="17" customWidth="1"/>
    <col min="20" max="20" width="7.5703125" style="17" customWidth="1"/>
    <col min="21" max="16384" width="9.140625" style="16"/>
  </cols>
  <sheetData>
    <row r="1" spans="1:21" ht="15.75" customHeight="1" x14ac:dyDescent="0.25">
      <c r="A1" s="1640" t="s">
        <v>1107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0"/>
      <c r="S1" s="1640"/>
      <c r="T1" s="1640"/>
    </row>
    <row r="2" spans="1:21" ht="15.75" customHeight="1" x14ac:dyDescent="0.25">
      <c r="A2" s="1641" t="s">
        <v>54</v>
      </c>
      <c r="B2" s="1641"/>
      <c r="C2" s="1641"/>
      <c r="D2" s="1641"/>
      <c r="E2" s="1641"/>
      <c r="F2" s="1641"/>
      <c r="G2" s="1641"/>
      <c r="H2" s="1641"/>
      <c r="I2" s="1641"/>
      <c r="J2" s="1641"/>
      <c r="K2" s="1641"/>
      <c r="L2" s="1641"/>
      <c r="M2" s="1641"/>
      <c r="N2" s="1641"/>
      <c r="O2" s="1641"/>
      <c r="P2" s="1641"/>
      <c r="Q2" s="1641"/>
      <c r="R2" s="1641"/>
      <c r="S2" s="1641"/>
      <c r="T2" s="1641"/>
    </row>
    <row r="3" spans="1:21" ht="15.75" customHeight="1" x14ac:dyDescent="0.25">
      <c r="A3" s="1641" t="s">
        <v>1053</v>
      </c>
      <c r="B3" s="1641"/>
      <c r="C3" s="1641"/>
      <c r="D3" s="1641"/>
      <c r="E3" s="1641"/>
      <c r="F3" s="1641"/>
      <c r="G3" s="1641"/>
      <c r="H3" s="1641"/>
      <c r="I3" s="1641"/>
      <c r="J3" s="1641"/>
      <c r="K3" s="1641"/>
      <c r="L3" s="1641"/>
      <c r="M3" s="1641"/>
      <c r="N3" s="1641"/>
      <c r="O3" s="1641"/>
      <c r="P3" s="1641"/>
      <c r="Q3" s="1641"/>
      <c r="R3" s="1641"/>
      <c r="S3" s="1641"/>
      <c r="T3" s="1641"/>
    </row>
    <row r="4" spans="1:21" ht="15.75" customHeight="1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 t="s">
        <v>643</v>
      </c>
    </row>
    <row r="5" spans="1:21" ht="27.75" customHeight="1" x14ac:dyDescent="0.25">
      <c r="A5" s="1642" t="s">
        <v>70</v>
      </c>
      <c r="B5" s="41" t="s">
        <v>57</v>
      </c>
      <c r="C5" s="1643" t="s">
        <v>58</v>
      </c>
      <c r="D5" s="1643"/>
      <c r="E5" s="1643" t="s">
        <v>59</v>
      </c>
      <c r="F5" s="1643"/>
      <c r="G5" s="1643" t="s">
        <v>60</v>
      </c>
      <c r="H5" s="1643"/>
      <c r="I5" s="1644" t="s">
        <v>461</v>
      </c>
      <c r="J5" s="1644"/>
      <c r="K5" s="1643" t="s">
        <v>462</v>
      </c>
      <c r="L5" s="1643"/>
      <c r="M5" s="1643" t="s">
        <v>463</v>
      </c>
      <c r="N5" s="1644"/>
      <c r="O5" s="1645" t="s">
        <v>580</v>
      </c>
      <c r="P5" s="1645"/>
      <c r="Q5" s="1643" t="s">
        <v>588</v>
      </c>
      <c r="R5" s="1643"/>
      <c r="S5" s="1643" t="s">
        <v>589</v>
      </c>
      <c r="T5" s="1643"/>
    </row>
    <row r="6" spans="1:21" s="4" customFormat="1" ht="30.75" customHeight="1" x14ac:dyDescent="0.2">
      <c r="A6" s="1642"/>
      <c r="B6" s="1605" t="s">
        <v>644</v>
      </c>
      <c r="C6" s="1646" t="s">
        <v>645</v>
      </c>
      <c r="D6" s="1646"/>
      <c r="E6" s="1646"/>
      <c r="F6" s="1646"/>
      <c r="G6" s="1646" t="s">
        <v>646</v>
      </c>
      <c r="H6" s="1646"/>
      <c r="I6" s="1646"/>
      <c r="J6" s="1646"/>
      <c r="K6" s="1638" t="s">
        <v>647</v>
      </c>
      <c r="L6" s="1638"/>
      <c r="M6" s="1638"/>
      <c r="N6" s="1638"/>
      <c r="O6" s="1638" t="s">
        <v>518</v>
      </c>
      <c r="P6" s="1638"/>
      <c r="Q6" s="1638"/>
      <c r="R6" s="1638"/>
      <c r="S6" s="1639" t="s">
        <v>648</v>
      </c>
      <c r="T6" s="1639"/>
    </row>
    <row r="7" spans="1:21" s="4" customFormat="1" ht="40.5" customHeight="1" x14ac:dyDescent="0.2">
      <c r="A7" s="1642"/>
      <c r="B7" s="1605"/>
      <c r="C7" s="1635" t="s">
        <v>649</v>
      </c>
      <c r="D7" s="1635"/>
      <c r="E7" s="1413" t="s">
        <v>650</v>
      </c>
      <c r="F7" s="1413"/>
      <c r="G7" s="1635" t="s">
        <v>651</v>
      </c>
      <c r="H7" s="1635"/>
      <c r="I7" s="1635" t="s">
        <v>650</v>
      </c>
      <c r="J7" s="1635"/>
      <c r="K7" s="1636" t="s">
        <v>651</v>
      </c>
      <c r="L7" s="1636"/>
      <c r="M7" s="1635" t="s">
        <v>650</v>
      </c>
      <c r="N7" s="1637"/>
      <c r="O7" s="1636" t="s">
        <v>651</v>
      </c>
      <c r="P7" s="1636"/>
      <c r="Q7" s="1636" t="s">
        <v>652</v>
      </c>
      <c r="R7" s="1636"/>
      <c r="S7" s="1639"/>
      <c r="T7" s="1639"/>
    </row>
    <row r="8" spans="1:21" s="4" customFormat="1" ht="27" customHeight="1" x14ac:dyDescent="0.2">
      <c r="A8" s="1642"/>
      <c r="B8" s="1605"/>
      <c r="C8" s="42">
        <v>42736</v>
      </c>
      <c r="D8" s="42">
        <v>43100</v>
      </c>
      <c r="E8" s="42">
        <v>42736</v>
      </c>
      <c r="F8" s="42">
        <v>43100</v>
      </c>
      <c r="G8" s="42">
        <v>42736</v>
      </c>
      <c r="H8" s="42">
        <v>43100</v>
      </c>
      <c r="I8" s="42">
        <v>42736</v>
      </c>
      <c r="J8" s="42">
        <v>43100</v>
      </c>
      <c r="K8" s="42">
        <v>42736</v>
      </c>
      <c r="L8" s="42">
        <v>43100</v>
      </c>
      <c r="M8" s="42">
        <v>42736</v>
      </c>
      <c r="N8" s="42">
        <v>43100</v>
      </c>
      <c r="O8" s="42">
        <v>42736</v>
      </c>
      <c r="P8" s="42">
        <v>43100</v>
      </c>
      <c r="Q8" s="42">
        <v>42736</v>
      </c>
      <c r="R8" s="42">
        <v>43100</v>
      </c>
      <c r="S8" s="42">
        <v>42736</v>
      </c>
      <c r="T8" s="42">
        <v>43100</v>
      </c>
    </row>
    <row r="9" spans="1:21" s="4" customFormat="1" ht="13.9" customHeight="1" x14ac:dyDescent="0.25">
      <c r="A9" s="43"/>
      <c r="B9" s="3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1" s="4" customFormat="1" ht="13.9" customHeight="1" x14ac:dyDescent="0.25">
      <c r="A10" s="1184" t="s">
        <v>470</v>
      </c>
      <c r="B10" s="1185" t="s">
        <v>1075</v>
      </c>
      <c r="C10" s="1186">
        <v>6</v>
      </c>
      <c r="D10" s="1186">
        <f>C10</f>
        <v>6</v>
      </c>
      <c r="E10" s="1186"/>
      <c r="F10" s="1186">
        <f>+E10</f>
        <v>0</v>
      </c>
      <c r="G10" s="1187">
        <v>2</v>
      </c>
      <c r="H10" s="1187" t="s">
        <v>653</v>
      </c>
      <c r="I10" s="1187"/>
      <c r="J10" s="1187"/>
      <c r="K10" s="1187" t="s">
        <v>549</v>
      </c>
      <c r="L10" s="1187" t="s">
        <v>549</v>
      </c>
      <c r="M10" s="1187" t="s">
        <v>549</v>
      </c>
      <c r="N10" s="1187" t="s">
        <v>549</v>
      </c>
      <c r="O10" s="1186">
        <f>C10+G10</f>
        <v>8</v>
      </c>
      <c r="P10" s="1186">
        <f>D10+H10</f>
        <v>8</v>
      </c>
      <c r="Q10" s="1186">
        <v>0</v>
      </c>
      <c r="R10" s="1186">
        <f>Q10</f>
        <v>0</v>
      </c>
      <c r="S10" s="1188">
        <f>C10+E10/2+I10/2+M10/2+G10+K10</f>
        <v>8</v>
      </c>
      <c r="T10" s="1188">
        <f>S10</f>
        <v>8</v>
      </c>
    </row>
    <row r="11" spans="1:21" s="4" customFormat="1" ht="13.9" customHeight="1" x14ac:dyDescent="0.25">
      <c r="A11" s="1184"/>
      <c r="B11" s="1189"/>
      <c r="C11" s="1190"/>
      <c r="D11" s="1191"/>
      <c r="E11" s="1191"/>
      <c r="F11" s="1191"/>
      <c r="G11" s="1191"/>
      <c r="H11" s="1191"/>
      <c r="I11" s="1191"/>
      <c r="J11" s="1191"/>
      <c r="K11" s="1191"/>
      <c r="L11" s="1191"/>
      <c r="M11" s="1191"/>
      <c r="N11" s="1191"/>
      <c r="O11" s="1191"/>
      <c r="P11" s="1191"/>
      <c r="Q11" s="1191"/>
      <c r="R11" s="1191"/>
      <c r="S11" s="1191"/>
      <c r="T11" s="1188"/>
    </row>
    <row r="12" spans="1:21" s="17" customFormat="1" ht="14.45" customHeight="1" x14ac:dyDescent="0.25">
      <c r="A12" s="1192" t="s">
        <v>478</v>
      </c>
      <c r="B12" s="1264" t="s">
        <v>654</v>
      </c>
      <c r="C12" s="1265">
        <v>3</v>
      </c>
      <c r="D12" s="1266">
        <f>C12</f>
        <v>3</v>
      </c>
      <c r="E12" s="1266"/>
      <c r="F12" s="1266"/>
      <c r="G12" s="1266">
        <v>37</v>
      </c>
      <c r="H12" s="1266">
        <f>G12</f>
        <v>37</v>
      </c>
      <c r="I12" s="1266"/>
      <c r="J12" s="1266"/>
      <c r="K12" s="1266">
        <v>0</v>
      </c>
      <c r="L12" s="1266">
        <v>0</v>
      </c>
      <c r="M12" s="1266">
        <v>0</v>
      </c>
      <c r="N12" s="1266">
        <v>0</v>
      </c>
      <c r="O12" s="1266">
        <f>C12+G12+K12</f>
        <v>40</v>
      </c>
      <c r="P12" s="1266">
        <f>SUM(O12:O12)</f>
        <v>40</v>
      </c>
      <c r="Q12" s="1266">
        <v>0</v>
      </c>
      <c r="R12" s="1266">
        <v>0</v>
      </c>
      <c r="S12" s="1267">
        <f>O12</f>
        <v>40</v>
      </c>
      <c r="T12" s="1289">
        <f t="shared" ref="T12" si="0">S12</f>
        <v>40</v>
      </c>
    </row>
    <row r="13" spans="1:21" s="17" customFormat="1" ht="14.45" customHeight="1" x14ac:dyDescent="0.25">
      <c r="A13" s="1192"/>
      <c r="B13" s="1197"/>
      <c r="C13" s="1197"/>
      <c r="D13" s="1197"/>
      <c r="E13" s="1197"/>
      <c r="F13" s="1197"/>
      <c r="G13" s="1197"/>
      <c r="H13" s="1197"/>
      <c r="I13" s="1197"/>
      <c r="J13" s="1197"/>
      <c r="K13" s="1197"/>
      <c r="L13" s="1197"/>
      <c r="M13" s="1197"/>
      <c r="N13" s="1197"/>
      <c r="O13" s="1197"/>
      <c r="P13" s="1197"/>
      <c r="Q13" s="1197"/>
      <c r="R13" s="1197"/>
      <c r="S13" s="1197"/>
      <c r="T13" s="1197"/>
    </row>
    <row r="14" spans="1:21" ht="15.75" customHeight="1" x14ac:dyDescent="0.25">
      <c r="A14" s="1192"/>
      <c r="B14" s="1198"/>
      <c r="C14" s="1199"/>
      <c r="D14" s="1200"/>
      <c r="E14" s="1200"/>
      <c r="F14" s="1200"/>
      <c r="G14" s="1200"/>
      <c r="H14" s="1201"/>
      <c r="I14" s="1201"/>
      <c r="J14" s="1201"/>
      <c r="K14" s="1201"/>
      <c r="L14" s="1201"/>
      <c r="M14" s="1201"/>
      <c r="N14" s="1201"/>
      <c r="O14" s="1201"/>
      <c r="P14" s="1202"/>
      <c r="Q14" s="1202"/>
      <c r="R14" s="1202"/>
      <c r="S14" s="1202"/>
      <c r="T14" s="1202"/>
    </row>
    <row r="15" spans="1:21" s="17" customFormat="1" ht="14.45" customHeight="1" x14ac:dyDescent="0.25">
      <c r="A15" s="1291" t="s">
        <v>479</v>
      </c>
      <c r="B15" s="1278" t="s">
        <v>655</v>
      </c>
      <c r="C15" s="1279"/>
      <c r="D15" s="1280"/>
      <c r="E15" s="1280"/>
      <c r="F15" s="1280"/>
      <c r="G15" s="1280"/>
      <c r="H15" s="1292"/>
      <c r="I15" s="1292"/>
      <c r="J15" s="1292"/>
      <c r="K15" s="1292"/>
      <c r="L15" s="1292"/>
      <c r="M15" s="1292"/>
      <c r="N15" s="1292"/>
      <c r="O15" s="1292"/>
      <c r="P15" s="1293"/>
      <c r="Q15" s="1293"/>
      <c r="R15" s="1293"/>
      <c r="S15" s="1293"/>
      <c r="T15" s="1293"/>
    </row>
    <row r="16" spans="1:21" s="17" customFormat="1" ht="14.45" customHeight="1" x14ac:dyDescent="0.25">
      <c r="A16" s="1291" t="s">
        <v>480</v>
      </c>
      <c r="B16" s="1282" t="s">
        <v>1296</v>
      </c>
      <c r="C16" s="1290"/>
      <c r="D16" s="1284"/>
      <c r="E16" s="1284"/>
      <c r="F16" s="1284"/>
      <c r="G16" s="1284"/>
      <c r="H16" s="1284"/>
      <c r="I16" s="1284"/>
      <c r="J16" s="1284"/>
      <c r="K16" s="1284">
        <v>22.5</v>
      </c>
      <c r="L16" s="1266">
        <f>K16</f>
        <v>22.5</v>
      </c>
      <c r="M16" s="1284"/>
      <c r="N16" s="1284"/>
      <c r="O16" s="1266">
        <f t="shared" ref="O16:P20" si="1">C16+G16+K16</f>
        <v>22.5</v>
      </c>
      <c r="P16" s="1266">
        <f t="shared" si="1"/>
        <v>22.5</v>
      </c>
      <c r="Q16" s="1266"/>
      <c r="R16" s="1266"/>
      <c r="S16" s="1266">
        <f t="shared" ref="S16:T19" si="2">O16+Q16/2</f>
        <v>22.5</v>
      </c>
      <c r="T16" s="1266">
        <f t="shared" si="2"/>
        <v>22.5</v>
      </c>
      <c r="U16" s="799"/>
    </row>
    <row r="17" spans="1:23" s="17" customFormat="1" ht="14.45" customHeight="1" x14ac:dyDescent="0.25">
      <c r="A17" s="1291" t="s">
        <v>481</v>
      </c>
      <c r="B17" s="1282" t="s">
        <v>1298</v>
      </c>
      <c r="C17" s="1283"/>
      <c r="D17" s="1284"/>
      <c r="E17" s="1284"/>
      <c r="F17" s="1284"/>
      <c r="G17" s="1284"/>
      <c r="H17" s="1284"/>
      <c r="I17" s="1284"/>
      <c r="J17" s="1284"/>
      <c r="K17" s="1284">
        <v>26</v>
      </c>
      <c r="L17" s="1266">
        <f>K17</f>
        <v>26</v>
      </c>
      <c r="M17" s="1284"/>
      <c r="N17" s="1284"/>
      <c r="O17" s="1266">
        <f t="shared" si="1"/>
        <v>26</v>
      </c>
      <c r="P17" s="1266">
        <f t="shared" si="1"/>
        <v>26</v>
      </c>
      <c r="Q17" s="1266"/>
      <c r="R17" s="1266"/>
      <c r="S17" s="1266">
        <f t="shared" si="2"/>
        <v>26</v>
      </c>
      <c r="T17" s="1266">
        <f t="shared" si="2"/>
        <v>26</v>
      </c>
    </row>
    <row r="18" spans="1:23" s="17" customFormat="1" ht="14.45" customHeight="1" x14ac:dyDescent="0.25">
      <c r="A18" s="1291" t="s">
        <v>482</v>
      </c>
      <c r="B18" s="1282" t="s">
        <v>911</v>
      </c>
      <c r="C18" s="1283"/>
      <c r="D18" s="1284"/>
      <c r="E18" s="1284"/>
      <c r="F18" s="1284"/>
      <c r="G18" s="1284"/>
      <c r="H18" s="1284"/>
      <c r="I18" s="1284"/>
      <c r="J18" s="1284"/>
      <c r="K18" s="1284">
        <v>9</v>
      </c>
      <c r="L18" s="1266">
        <f>K18</f>
        <v>9</v>
      </c>
      <c r="M18" s="1284"/>
      <c r="N18" s="1284"/>
      <c r="O18" s="1266">
        <f t="shared" si="1"/>
        <v>9</v>
      </c>
      <c r="P18" s="1266">
        <f t="shared" si="1"/>
        <v>9</v>
      </c>
      <c r="Q18" s="1266"/>
      <c r="R18" s="1266"/>
      <c r="S18" s="1266">
        <f t="shared" si="2"/>
        <v>9</v>
      </c>
      <c r="T18" s="1266">
        <f t="shared" si="2"/>
        <v>9</v>
      </c>
    </row>
    <row r="19" spans="1:23" s="17" customFormat="1" ht="14.45" customHeight="1" x14ac:dyDescent="0.25">
      <c r="A19" s="1291" t="s">
        <v>483</v>
      </c>
      <c r="B19" s="1282" t="s">
        <v>1297</v>
      </c>
      <c r="C19" s="1283"/>
      <c r="D19" s="1284"/>
      <c r="E19" s="1284"/>
      <c r="F19" s="1284"/>
      <c r="G19" s="1284"/>
      <c r="H19" s="1284"/>
      <c r="I19" s="1284"/>
      <c r="J19" s="1284"/>
      <c r="K19" s="1284">
        <v>11</v>
      </c>
      <c r="L19" s="1266">
        <f>K19</f>
        <v>11</v>
      </c>
      <c r="M19" s="1284"/>
      <c r="N19" s="1284"/>
      <c r="O19" s="1266">
        <f t="shared" si="1"/>
        <v>11</v>
      </c>
      <c r="P19" s="1266">
        <f t="shared" si="1"/>
        <v>11</v>
      </c>
      <c r="Q19" s="1266"/>
      <c r="R19" s="1266"/>
      <c r="S19" s="1266">
        <f t="shared" si="2"/>
        <v>11</v>
      </c>
      <c r="T19" s="1266">
        <f t="shared" si="2"/>
        <v>11</v>
      </c>
    </row>
    <row r="20" spans="1:23" s="17" customFormat="1" ht="14.45" customHeight="1" x14ac:dyDescent="0.25">
      <c r="A20" s="1291" t="s">
        <v>520</v>
      </c>
      <c r="B20" s="1282" t="s">
        <v>1299</v>
      </c>
      <c r="C20" s="1283"/>
      <c r="D20" s="1284"/>
      <c r="E20" s="1284"/>
      <c r="F20" s="1284"/>
      <c r="G20" s="1284"/>
      <c r="H20" s="1284"/>
      <c r="I20" s="1284"/>
      <c r="J20" s="1284"/>
      <c r="K20" s="1284">
        <v>7</v>
      </c>
      <c r="L20" s="1266">
        <f>K20</f>
        <v>7</v>
      </c>
      <c r="M20" s="1284"/>
      <c r="N20" s="1284"/>
      <c r="O20" s="1266">
        <f t="shared" si="1"/>
        <v>7</v>
      </c>
      <c r="P20" s="1266">
        <f t="shared" si="1"/>
        <v>7</v>
      </c>
      <c r="Q20" s="1266"/>
      <c r="R20" s="1266"/>
      <c r="S20" s="1266">
        <v>3</v>
      </c>
      <c r="T20" s="1266">
        <f>P20+R20/2</f>
        <v>7</v>
      </c>
    </row>
    <row r="21" spans="1:23" s="17" customFormat="1" ht="14.45" customHeight="1" x14ac:dyDescent="0.25">
      <c r="A21" s="1291" t="s">
        <v>522</v>
      </c>
      <c r="B21" s="1264" t="s">
        <v>656</v>
      </c>
      <c r="C21" s="1265"/>
      <c r="D21" s="1287"/>
      <c r="E21" s="1287"/>
      <c r="F21" s="1287"/>
      <c r="G21" s="1287"/>
      <c r="H21" s="1284"/>
      <c r="I21" s="1284"/>
      <c r="J21" s="1284"/>
      <c r="K21" s="1266">
        <f>SUM(K16:K20)</f>
        <v>75.5</v>
      </c>
      <c r="L21" s="1266">
        <f>SUM(L16:L20)</f>
        <v>75.5</v>
      </c>
      <c r="M21" s="1266">
        <v>0</v>
      </c>
      <c r="N21" s="1266">
        <v>0</v>
      </c>
      <c r="O21" s="1266">
        <f>C21+G21+K21</f>
        <v>75.5</v>
      </c>
      <c r="P21" s="1266">
        <f>SUM(P16:P20)</f>
        <v>75.5</v>
      </c>
      <c r="Q21" s="1266">
        <v>0</v>
      </c>
      <c r="R21" s="1266">
        <v>0</v>
      </c>
      <c r="S21" s="1288">
        <f>O21+Q21/2</f>
        <v>75.5</v>
      </c>
      <c r="T21" s="1266">
        <f>SUM(T16:T20)</f>
        <v>75.5</v>
      </c>
      <c r="U21" s="676"/>
    </row>
    <row r="22" spans="1:23" s="17" customFormat="1" ht="13.5" customHeight="1" x14ac:dyDescent="0.25">
      <c r="A22" s="1192"/>
      <c r="B22" s="1212"/>
      <c r="C22" s="1213"/>
      <c r="D22" s="1214"/>
      <c r="E22" s="1214"/>
      <c r="F22" s="1214"/>
      <c r="G22" s="1214"/>
      <c r="H22" s="1215"/>
      <c r="I22" s="1215"/>
      <c r="J22" s="1215"/>
      <c r="K22" s="1215"/>
      <c r="L22" s="1215"/>
      <c r="M22" s="1215"/>
      <c r="N22" s="1215"/>
      <c r="O22" s="1215"/>
      <c r="P22" s="1215"/>
      <c r="Q22" s="1215"/>
      <c r="R22" s="1215"/>
      <c r="S22" s="1215"/>
      <c r="T22" s="1215"/>
    </row>
    <row r="23" spans="1:23" ht="12.75" customHeight="1" x14ac:dyDescent="0.25">
      <c r="A23" s="1192"/>
      <c r="B23" s="1198"/>
      <c r="C23" s="1199"/>
      <c r="D23" s="1200"/>
      <c r="E23" s="1200"/>
      <c r="F23" s="1200"/>
      <c r="G23" s="1200"/>
      <c r="H23" s="1216"/>
      <c r="I23" s="1216"/>
      <c r="J23" s="1216"/>
      <c r="K23" s="1216"/>
      <c r="L23" s="1201"/>
      <c r="M23" s="1201"/>
      <c r="N23" s="1201"/>
      <c r="O23" s="1201"/>
      <c r="P23" s="1201"/>
      <c r="Q23" s="1201"/>
      <c r="R23" s="1201"/>
      <c r="S23" s="1201"/>
      <c r="T23" s="1201"/>
    </row>
    <row r="24" spans="1:23" s="17" customFormat="1" ht="27" customHeight="1" x14ac:dyDescent="0.25">
      <c r="A24" s="1192" t="s">
        <v>523</v>
      </c>
      <c r="B24" s="1278" t="s">
        <v>1300</v>
      </c>
      <c r="C24" s="1279"/>
      <c r="D24" s="1280"/>
      <c r="E24" s="1280"/>
      <c r="F24" s="1280"/>
      <c r="G24" s="1280"/>
      <c r="H24" s="1280"/>
      <c r="I24" s="1280"/>
      <c r="J24" s="1280"/>
      <c r="K24" s="1280"/>
      <c r="L24" s="1280"/>
      <c r="M24" s="1280"/>
      <c r="N24" s="1280"/>
      <c r="O24" s="1281"/>
      <c r="P24" s="1281"/>
      <c r="Q24" s="1281"/>
      <c r="R24" s="1281"/>
      <c r="S24" s="1281"/>
      <c r="T24" s="1280"/>
    </row>
    <row r="25" spans="1:23" s="17" customFormat="1" ht="27.75" customHeight="1" x14ac:dyDescent="0.25">
      <c r="A25" s="1192" t="s">
        <v>524</v>
      </c>
      <c r="B25" s="1282" t="s">
        <v>1087</v>
      </c>
      <c r="C25" s="1283"/>
      <c r="D25" s="1284"/>
      <c r="E25" s="1284"/>
      <c r="F25" s="1284"/>
      <c r="G25" s="1284"/>
      <c r="H25" s="1266"/>
      <c r="I25" s="1266"/>
      <c r="J25" s="1266"/>
      <c r="K25" s="1284">
        <v>8</v>
      </c>
      <c r="L25" s="1266">
        <f>K25</f>
        <v>8</v>
      </c>
      <c r="M25" s="1284"/>
      <c r="N25" s="1284"/>
      <c r="O25" s="1266">
        <f>C25+G25+K25</f>
        <v>8</v>
      </c>
      <c r="P25" s="1266">
        <f>D25+H25+L25</f>
        <v>8</v>
      </c>
      <c r="Q25" s="1266"/>
      <c r="R25" s="1266"/>
      <c r="S25" s="1266">
        <f t="shared" ref="S25:S36" si="3">C25+G25+K25+M25/2</f>
        <v>8</v>
      </c>
      <c r="T25" s="1266">
        <f t="shared" ref="T25:T36" si="4">D25+H25+L25+N25/2</f>
        <v>8</v>
      </c>
      <c r="U25" s="28"/>
    </row>
    <row r="26" spans="1:23" s="17" customFormat="1" ht="14.45" customHeight="1" x14ac:dyDescent="0.25">
      <c r="A26" s="1192" t="s">
        <v>525</v>
      </c>
      <c r="B26" s="1282" t="s">
        <v>657</v>
      </c>
      <c r="C26" s="1283"/>
      <c r="D26" s="1284"/>
      <c r="E26" s="1284"/>
      <c r="F26" s="1284"/>
      <c r="G26" s="1284"/>
      <c r="H26" s="1284"/>
      <c r="I26" s="1284"/>
      <c r="J26" s="1284"/>
      <c r="K26" s="1284">
        <v>1</v>
      </c>
      <c r="L26" s="1266">
        <f t="shared" ref="L26:L60" si="5">K26</f>
        <v>1</v>
      </c>
      <c r="M26" s="1284"/>
      <c r="N26" s="1284"/>
      <c r="O26" s="1266">
        <f>C26+G26+K26</f>
        <v>1</v>
      </c>
      <c r="P26" s="1266">
        <f t="shared" ref="P26:P36" si="6">D26+H26+L26</f>
        <v>1</v>
      </c>
      <c r="Q26" s="1266"/>
      <c r="R26" s="1266"/>
      <c r="S26" s="1266">
        <f t="shared" si="3"/>
        <v>1</v>
      </c>
      <c r="T26" s="1266">
        <f t="shared" si="4"/>
        <v>1</v>
      </c>
      <c r="U26" s="28"/>
    </row>
    <row r="27" spans="1:23" s="17" customFormat="1" ht="14.25" customHeight="1" x14ac:dyDescent="0.25">
      <c r="A27" s="1192" t="s">
        <v>526</v>
      </c>
      <c r="B27" s="1282" t="s">
        <v>1081</v>
      </c>
      <c r="C27" s="1283"/>
      <c r="D27" s="1284"/>
      <c r="E27" s="1284"/>
      <c r="F27" s="1284"/>
      <c r="G27" s="1284"/>
      <c r="H27" s="1284"/>
      <c r="I27" s="1284"/>
      <c r="J27" s="1284"/>
      <c r="K27" s="1284">
        <v>31</v>
      </c>
      <c r="L27" s="1266">
        <f t="shared" si="5"/>
        <v>31</v>
      </c>
      <c r="M27" s="1284"/>
      <c r="N27" s="1284"/>
      <c r="O27" s="1266">
        <v>31</v>
      </c>
      <c r="P27" s="1266">
        <f t="shared" si="6"/>
        <v>31</v>
      </c>
      <c r="Q27" s="1266"/>
      <c r="R27" s="1266"/>
      <c r="S27" s="1266">
        <f t="shared" si="3"/>
        <v>31</v>
      </c>
      <c r="T27" s="1266">
        <f t="shared" si="4"/>
        <v>31</v>
      </c>
      <c r="U27" s="28"/>
    </row>
    <row r="28" spans="1:23" s="17" customFormat="1" ht="29.25" customHeight="1" x14ac:dyDescent="0.25">
      <c r="A28" s="1192" t="s">
        <v>528</v>
      </c>
      <c r="B28" s="1282" t="s">
        <v>1082</v>
      </c>
      <c r="C28" s="1283"/>
      <c r="D28" s="1284"/>
      <c r="E28" s="1284"/>
      <c r="F28" s="1284"/>
      <c r="G28" s="1284"/>
      <c r="H28" s="1284"/>
      <c r="I28" s="1284"/>
      <c r="J28" s="1284"/>
      <c r="K28" s="1285">
        <v>2</v>
      </c>
      <c r="L28" s="1266">
        <f t="shared" si="5"/>
        <v>2</v>
      </c>
      <c r="M28" s="1285"/>
      <c r="N28" s="1285"/>
      <c r="O28" s="1286">
        <f>C28+G28+K28</f>
        <v>2</v>
      </c>
      <c r="P28" s="1266">
        <f t="shared" si="6"/>
        <v>2</v>
      </c>
      <c r="Q28" s="1286"/>
      <c r="R28" s="1286"/>
      <c r="S28" s="1286">
        <f t="shared" si="3"/>
        <v>2</v>
      </c>
      <c r="T28" s="1266">
        <f t="shared" si="4"/>
        <v>2</v>
      </c>
      <c r="U28" s="28"/>
    </row>
    <row r="29" spans="1:23" s="17" customFormat="1" ht="14.45" customHeight="1" x14ac:dyDescent="0.25">
      <c r="A29" s="1192" t="s">
        <v>529</v>
      </c>
      <c r="B29" s="1282" t="s">
        <v>672</v>
      </c>
      <c r="C29" s="1283"/>
      <c r="D29" s="1284"/>
      <c r="E29" s="1284"/>
      <c r="F29" s="1284"/>
      <c r="G29" s="1284"/>
      <c r="H29" s="1284"/>
      <c r="I29" s="1284"/>
      <c r="J29" s="1284"/>
      <c r="K29" s="1284">
        <v>2</v>
      </c>
      <c r="L29" s="1266">
        <f t="shared" si="5"/>
        <v>2</v>
      </c>
      <c r="M29" s="1284"/>
      <c r="N29" s="1284"/>
      <c r="O29" s="1266">
        <f>C29+G29+K29</f>
        <v>2</v>
      </c>
      <c r="P29" s="1266">
        <f t="shared" si="6"/>
        <v>2</v>
      </c>
      <c r="Q29" s="1266"/>
      <c r="R29" s="1266"/>
      <c r="S29" s="1266">
        <f t="shared" si="3"/>
        <v>2</v>
      </c>
      <c r="T29" s="1266">
        <f t="shared" si="4"/>
        <v>2</v>
      </c>
      <c r="U29" s="28"/>
    </row>
    <row r="30" spans="1:23" s="17" customFormat="1" ht="14.45" customHeight="1" x14ac:dyDescent="0.25">
      <c r="A30" s="1192" t="s">
        <v>530</v>
      </c>
      <c r="B30" s="1282" t="s">
        <v>658</v>
      </c>
      <c r="C30" s="1283"/>
      <c r="D30" s="1284"/>
      <c r="E30" s="1284"/>
      <c r="F30" s="1284"/>
      <c r="G30" s="1284"/>
      <c r="H30" s="1284"/>
      <c r="I30" s="1284"/>
      <c r="J30" s="1284"/>
      <c r="K30" s="1284">
        <v>3</v>
      </c>
      <c r="L30" s="1266">
        <f t="shared" si="5"/>
        <v>3</v>
      </c>
      <c r="M30" s="1284"/>
      <c r="N30" s="1284"/>
      <c r="O30" s="1266">
        <v>3</v>
      </c>
      <c r="P30" s="1266">
        <f t="shared" si="6"/>
        <v>3</v>
      </c>
      <c r="Q30" s="1266"/>
      <c r="R30" s="1266"/>
      <c r="S30" s="1266">
        <f t="shared" si="3"/>
        <v>3</v>
      </c>
      <c r="T30" s="1266">
        <f t="shared" si="4"/>
        <v>3</v>
      </c>
      <c r="U30" s="28"/>
      <c r="W30" s="499"/>
    </row>
    <row r="31" spans="1:23" s="17" customFormat="1" ht="14.45" customHeight="1" x14ac:dyDescent="0.25">
      <c r="A31" s="1192" t="s">
        <v>531</v>
      </c>
      <c r="B31" s="1282" t="s">
        <v>659</v>
      </c>
      <c r="C31" s="1283"/>
      <c r="D31" s="1284"/>
      <c r="E31" s="1284"/>
      <c r="F31" s="1284"/>
      <c r="G31" s="1284"/>
      <c r="H31" s="1284"/>
      <c r="I31" s="1284"/>
      <c r="J31" s="1284"/>
      <c r="K31" s="1284">
        <v>5</v>
      </c>
      <c r="L31" s="1266">
        <f t="shared" si="5"/>
        <v>5</v>
      </c>
      <c r="M31" s="1284"/>
      <c r="N31" s="1284"/>
      <c r="O31" s="1266">
        <f>K31+M31</f>
        <v>5</v>
      </c>
      <c r="P31" s="1266">
        <f t="shared" si="6"/>
        <v>5</v>
      </c>
      <c r="Q31" s="1266"/>
      <c r="R31" s="1266"/>
      <c r="S31" s="1266">
        <f t="shared" si="3"/>
        <v>5</v>
      </c>
      <c r="T31" s="1266">
        <f t="shared" si="4"/>
        <v>5</v>
      </c>
      <c r="U31" s="28"/>
    </row>
    <row r="32" spans="1:23" s="17" customFormat="1" ht="29.25" customHeight="1" x14ac:dyDescent="0.25">
      <c r="A32" s="1192" t="s">
        <v>532</v>
      </c>
      <c r="B32" s="1282" t="s">
        <v>1086</v>
      </c>
      <c r="C32" s="1283"/>
      <c r="D32" s="1284"/>
      <c r="E32" s="1284"/>
      <c r="F32" s="1284"/>
      <c r="G32" s="1284"/>
      <c r="H32" s="1284"/>
      <c r="I32" s="1284"/>
      <c r="J32" s="1284"/>
      <c r="K32" s="1284">
        <v>5</v>
      </c>
      <c r="L32" s="1266">
        <f t="shared" si="5"/>
        <v>5</v>
      </c>
      <c r="M32" s="1284"/>
      <c r="N32" s="1284"/>
      <c r="O32" s="1266">
        <v>5</v>
      </c>
      <c r="P32" s="1266">
        <f t="shared" si="6"/>
        <v>5</v>
      </c>
      <c r="Q32" s="1266"/>
      <c r="R32" s="1266"/>
      <c r="S32" s="1266">
        <f t="shared" si="3"/>
        <v>5</v>
      </c>
      <c r="T32" s="1266">
        <f t="shared" si="4"/>
        <v>5</v>
      </c>
    </row>
    <row r="33" spans="1:21" s="17" customFormat="1" ht="42.75" customHeight="1" x14ac:dyDescent="0.25">
      <c r="A33" s="1192" t="s">
        <v>534</v>
      </c>
      <c r="B33" s="1282" t="s">
        <v>1084</v>
      </c>
      <c r="C33" s="1283"/>
      <c r="D33" s="1284"/>
      <c r="E33" s="1284"/>
      <c r="F33" s="1284"/>
      <c r="G33" s="1284"/>
      <c r="H33" s="1284"/>
      <c r="I33" s="1284"/>
      <c r="J33" s="1284"/>
      <c r="K33" s="1284">
        <v>5</v>
      </c>
      <c r="L33" s="1266">
        <f t="shared" si="5"/>
        <v>5</v>
      </c>
      <c r="M33" s="1284"/>
      <c r="N33" s="1284"/>
      <c r="O33" s="1266">
        <v>5</v>
      </c>
      <c r="P33" s="1266">
        <f t="shared" si="6"/>
        <v>5</v>
      </c>
      <c r="Q33" s="1266"/>
      <c r="R33" s="1266"/>
      <c r="S33" s="1266">
        <f t="shared" si="3"/>
        <v>5</v>
      </c>
      <c r="T33" s="1266">
        <f t="shared" si="4"/>
        <v>5</v>
      </c>
    </row>
    <row r="34" spans="1:21" s="17" customFormat="1" ht="14.25" customHeight="1" x14ac:dyDescent="0.25">
      <c r="A34" s="1192" t="s">
        <v>535</v>
      </c>
      <c r="B34" s="1282" t="s">
        <v>1083</v>
      </c>
      <c r="C34" s="1283"/>
      <c r="D34" s="1284"/>
      <c r="E34" s="1284"/>
      <c r="F34" s="1284"/>
      <c r="G34" s="1284"/>
      <c r="H34" s="1284"/>
      <c r="I34" s="1284"/>
      <c r="J34" s="1284"/>
      <c r="K34" s="1284">
        <v>3</v>
      </c>
      <c r="L34" s="1266">
        <f t="shared" si="5"/>
        <v>3</v>
      </c>
      <c r="M34" s="1284"/>
      <c r="N34" s="1284"/>
      <c r="O34" s="1266">
        <v>3</v>
      </c>
      <c r="P34" s="1266">
        <f t="shared" si="6"/>
        <v>3</v>
      </c>
      <c r="Q34" s="1266"/>
      <c r="R34" s="1266"/>
      <c r="S34" s="1266">
        <f t="shared" si="3"/>
        <v>3</v>
      </c>
      <c r="T34" s="1266">
        <f t="shared" si="4"/>
        <v>3</v>
      </c>
    </row>
    <row r="35" spans="1:21" s="17" customFormat="1" ht="27.75" customHeight="1" x14ac:dyDescent="0.25">
      <c r="A35" s="1192" t="s">
        <v>552</v>
      </c>
      <c r="B35" s="1282" t="s">
        <v>1085</v>
      </c>
      <c r="C35" s="1283"/>
      <c r="D35" s="1284"/>
      <c r="E35" s="1284"/>
      <c r="F35" s="1284"/>
      <c r="G35" s="1284"/>
      <c r="H35" s="1284"/>
      <c r="I35" s="1284"/>
      <c r="J35" s="1284"/>
      <c r="K35" s="1284">
        <v>1</v>
      </c>
      <c r="L35" s="1266">
        <f t="shared" si="5"/>
        <v>1</v>
      </c>
      <c r="M35" s="1284"/>
      <c r="N35" s="1284"/>
      <c r="O35" s="1266">
        <f>K35</f>
        <v>1</v>
      </c>
      <c r="P35" s="1266">
        <f t="shared" si="6"/>
        <v>1</v>
      </c>
      <c r="Q35" s="1266"/>
      <c r="R35" s="1266"/>
      <c r="S35" s="1266">
        <f t="shared" si="3"/>
        <v>1</v>
      </c>
      <c r="T35" s="1266">
        <f t="shared" si="4"/>
        <v>1</v>
      </c>
    </row>
    <row r="36" spans="1:21" s="17" customFormat="1" ht="14.25" customHeight="1" x14ac:dyDescent="0.25">
      <c r="A36" s="1192" t="s">
        <v>553</v>
      </c>
      <c r="B36" s="1264" t="s">
        <v>660</v>
      </c>
      <c r="C36" s="1265"/>
      <c r="D36" s="1287"/>
      <c r="E36" s="1287"/>
      <c r="F36" s="1287"/>
      <c r="G36" s="1287"/>
      <c r="H36" s="1266"/>
      <c r="I36" s="1266"/>
      <c r="J36" s="1266"/>
      <c r="K36" s="1266">
        <f>SUM(K25:K35)</f>
        <v>66</v>
      </c>
      <c r="L36" s="1266">
        <f t="shared" si="5"/>
        <v>66</v>
      </c>
      <c r="M36" s="1266">
        <f>SUM(M25:M34)</f>
        <v>0</v>
      </c>
      <c r="N36" s="1266">
        <f>SUM(N25:N34)</f>
        <v>0</v>
      </c>
      <c r="O36" s="1266">
        <f>SUM(O25:O35)</f>
        <v>66</v>
      </c>
      <c r="P36" s="1266">
        <f t="shared" si="6"/>
        <v>66</v>
      </c>
      <c r="Q36" s="1266">
        <f>M36+I36+E36</f>
        <v>0</v>
      </c>
      <c r="R36" s="1266">
        <f>F36+J36+N36</f>
        <v>0</v>
      </c>
      <c r="S36" s="1288">
        <f t="shared" si="3"/>
        <v>66</v>
      </c>
      <c r="T36" s="1288">
        <f t="shared" si="4"/>
        <v>66</v>
      </c>
    </row>
    <row r="37" spans="1:21" ht="12.75" hidden="1" customHeight="1" x14ac:dyDescent="0.25">
      <c r="A37" s="1192" t="s">
        <v>554</v>
      </c>
      <c r="B37" s="1217"/>
      <c r="C37" s="1218"/>
      <c r="D37" s="1219"/>
      <c r="E37" s="1219"/>
      <c r="F37" s="1219"/>
      <c r="G37" s="1219"/>
      <c r="H37" s="1220"/>
      <c r="I37" s="1220"/>
      <c r="J37" s="1220"/>
      <c r="K37" s="1220"/>
      <c r="L37" s="1266">
        <f t="shared" si="5"/>
        <v>0</v>
      </c>
      <c r="M37" s="1220">
        <f>SUM(M25:M36)</f>
        <v>0</v>
      </c>
      <c r="N37" s="1220"/>
      <c r="O37" s="1220"/>
      <c r="P37" s="1220"/>
      <c r="Q37" s="1201"/>
      <c r="R37" s="1201"/>
      <c r="S37" s="1201"/>
      <c r="T37" s="1221"/>
      <c r="U37" s="430"/>
    </row>
    <row r="38" spans="1:21" s="31" customFormat="1" ht="14.25" hidden="1" customHeight="1" x14ac:dyDescent="0.25">
      <c r="A38" s="1192" t="s">
        <v>555</v>
      </c>
      <c r="B38" s="1203"/>
      <c r="C38" s="1222"/>
      <c r="D38" s="1201"/>
      <c r="E38" s="1201"/>
      <c r="F38" s="1201"/>
      <c r="G38" s="1201"/>
      <c r="H38" s="1216"/>
      <c r="I38" s="1216"/>
      <c r="J38" s="1216"/>
      <c r="K38" s="1216"/>
      <c r="L38" s="1266">
        <f t="shared" si="5"/>
        <v>0</v>
      </c>
      <c r="M38" s="1201"/>
      <c r="N38" s="1201"/>
      <c r="O38" s="1201"/>
      <c r="P38" s="1216"/>
      <c r="Q38" s="1216"/>
      <c r="R38" s="1201"/>
      <c r="S38" s="1201"/>
      <c r="T38" s="1201"/>
    </row>
    <row r="39" spans="1:21" s="31" customFormat="1" ht="14.45" hidden="1" customHeight="1" x14ac:dyDescent="0.25">
      <c r="A39" s="1192" t="s">
        <v>556</v>
      </c>
      <c r="B39" s="1223"/>
      <c r="C39" s="1224"/>
      <c r="D39" s="1195"/>
      <c r="E39" s="1195"/>
      <c r="F39" s="1195"/>
      <c r="G39" s="1195"/>
      <c r="H39" s="1208"/>
      <c r="I39" s="1208"/>
      <c r="J39" s="1208"/>
      <c r="K39" s="1208"/>
      <c r="L39" s="1266">
        <f t="shared" si="5"/>
        <v>0</v>
      </c>
      <c r="M39" s="1195"/>
      <c r="N39" s="1195"/>
      <c r="O39" s="1195"/>
      <c r="P39" s="1208"/>
      <c r="Q39" s="1208"/>
      <c r="R39" s="1195"/>
      <c r="S39" s="1195"/>
      <c r="T39" s="1195"/>
    </row>
    <row r="40" spans="1:21" s="31" customFormat="1" ht="14.25" hidden="1" customHeight="1" x14ac:dyDescent="0.25">
      <c r="A40" s="1192" t="s">
        <v>557</v>
      </c>
      <c r="B40" s="1207"/>
      <c r="C40" s="1209"/>
      <c r="D40" s="1208"/>
      <c r="E40" s="1208"/>
      <c r="F40" s="1208"/>
      <c r="G40" s="1208"/>
      <c r="H40" s="1208"/>
      <c r="I40" s="1208"/>
      <c r="J40" s="1208"/>
      <c r="K40" s="1208"/>
      <c r="L40" s="1266">
        <f t="shared" si="5"/>
        <v>0</v>
      </c>
      <c r="M40" s="1208"/>
      <c r="N40" s="1208"/>
      <c r="O40" s="1208"/>
      <c r="P40" s="1208"/>
      <c r="Q40" s="1208"/>
      <c r="R40" s="1195"/>
      <c r="S40" s="1195"/>
      <c r="T40" s="1195"/>
    </row>
    <row r="41" spans="1:21" s="31" customFormat="1" ht="14.25" hidden="1" customHeight="1" x14ac:dyDescent="0.25">
      <c r="A41" s="1192" t="s">
        <v>558</v>
      </c>
      <c r="B41" s="1207"/>
      <c r="C41" s="1209"/>
      <c r="D41" s="1208"/>
      <c r="E41" s="1208"/>
      <c r="F41" s="1208"/>
      <c r="G41" s="1208"/>
      <c r="H41" s="1208"/>
      <c r="I41" s="1208"/>
      <c r="J41" s="1208"/>
      <c r="K41" s="1208"/>
      <c r="L41" s="1266">
        <f t="shared" si="5"/>
        <v>0</v>
      </c>
      <c r="M41" s="1208"/>
      <c r="N41" s="1208"/>
      <c r="O41" s="1208"/>
      <c r="P41" s="1208"/>
      <c r="Q41" s="1208"/>
      <c r="R41" s="1195"/>
      <c r="S41" s="1195"/>
      <c r="T41" s="1195"/>
    </row>
    <row r="42" spans="1:21" s="31" customFormat="1" ht="14.25" hidden="1" customHeight="1" x14ac:dyDescent="0.25">
      <c r="A42" s="1192" t="s">
        <v>559</v>
      </c>
      <c r="B42" s="1207"/>
      <c r="C42" s="1209"/>
      <c r="D42" s="1208"/>
      <c r="E42" s="1208"/>
      <c r="F42" s="1208"/>
      <c r="G42" s="1208"/>
      <c r="H42" s="1208"/>
      <c r="I42" s="1208"/>
      <c r="J42" s="1208"/>
      <c r="K42" s="1208"/>
      <c r="L42" s="1266">
        <f t="shared" si="5"/>
        <v>0</v>
      </c>
      <c r="M42" s="1208"/>
      <c r="N42" s="1208"/>
      <c r="O42" s="1208"/>
      <c r="P42" s="1208"/>
      <c r="Q42" s="1208"/>
      <c r="R42" s="1195"/>
      <c r="S42" s="1195"/>
      <c r="T42" s="1195"/>
    </row>
    <row r="43" spans="1:21" s="31" customFormat="1" ht="14.25" hidden="1" customHeight="1" x14ac:dyDescent="0.25">
      <c r="A43" s="1192" t="s">
        <v>560</v>
      </c>
      <c r="B43" s="1207"/>
      <c r="C43" s="1209"/>
      <c r="D43" s="1208"/>
      <c r="E43" s="1208"/>
      <c r="F43" s="1208"/>
      <c r="G43" s="1208"/>
      <c r="H43" s="1208"/>
      <c r="I43" s="1208"/>
      <c r="J43" s="1208"/>
      <c r="K43" s="1208"/>
      <c r="L43" s="1266">
        <f t="shared" si="5"/>
        <v>0</v>
      </c>
      <c r="M43" s="1208"/>
      <c r="N43" s="1208"/>
      <c r="O43" s="1208"/>
      <c r="P43" s="1208"/>
      <c r="Q43" s="1208"/>
      <c r="R43" s="1195"/>
      <c r="S43" s="1195"/>
      <c r="T43" s="1195"/>
    </row>
    <row r="44" spans="1:21" s="31" customFormat="1" ht="14.25" hidden="1" customHeight="1" x14ac:dyDescent="0.25">
      <c r="A44" s="1192" t="s">
        <v>612</v>
      </c>
      <c r="B44" s="1207"/>
      <c r="C44" s="1209"/>
      <c r="D44" s="1208"/>
      <c r="E44" s="1208"/>
      <c r="F44" s="1208"/>
      <c r="G44" s="1208"/>
      <c r="H44" s="1208"/>
      <c r="I44" s="1208"/>
      <c r="J44" s="1208"/>
      <c r="K44" s="1208"/>
      <c r="L44" s="1266">
        <f t="shared" si="5"/>
        <v>0</v>
      </c>
      <c r="M44" s="1208"/>
      <c r="N44" s="1208"/>
      <c r="O44" s="1208"/>
      <c r="P44" s="1208"/>
      <c r="Q44" s="1208"/>
      <c r="R44" s="1195"/>
      <c r="S44" s="1195"/>
      <c r="T44" s="1195"/>
    </row>
    <row r="45" spans="1:21" s="31" customFormat="1" ht="14.25" hidden="1" customHeight="1" x14ac:dyDescent="0.25">
      <c r="A45" s="1192" t="s">
        <v>613</v>
      </c>
      <c r="B45" s="1207"/>
      <c r="C45" s="1209"/>
      <c r="D45" s="1208"/>
      <c r="E45" s="1208"/>
      <c r="F45" s="1208"/>
      <c r="G45" s="1208"/>
      <c r="H45" s="1208"/>
      <c r="I45" s="1208"/>
      <c r="J45" s="1208"/>
      <c r="K45" s="1208"/>
      <c r="L45" s="1266">
        <f t="shared" si="5"/>
        <v>0</v>
      </c>
      <c r="M45" s="1208"/>
      <c r="N45" s="1208"/>
      <c r="O45" s="1208"/>
      <c r="P45" s="1208"/>
      <c r="Q45" s="1208"/>
      <c r="R45" s="1195"/>
      <c r="S45" s="1195"/>
      <c r="T45" s="1195"/>
    </row>
    <row r="46" spans="1:21" s="31" customFormat="1" ht="14.25" hidden="1" customHeight="1" x14ac:dyDescent="0.25">
      <c r="A46" s="1192" t="s">
        <v>614</v>
      </c>
      <c r="B46" s="1207"/>
      <c r="C46" s="1209"/>
      <c r="D46" s="1208"/>
      <c r="E46" s="1208"/>
      <c r="F46" s="1208"/>
      <c r="G46" s="1208"/>
      <c r="H46" s="1208"/>
      <c r="I46" s="1208"/>
      <c r="J46" s="1208"/>
      <c r="K46" s="1208"/>
      <c r="L46" s="1266">
        <f t="shared" si="5"/>
        <v>0</v>
      </c>
      <c r="M46" s="1208"/>
      <c r="N46" s="1208"/>
      <c r="O46" s="1208"/>
      <c r="P46" s="1208"/>
      <c r="Q46" s="1208"/>
      <c r="R46" s="1208"/>
      <c r="S46" s="1195"/>
      <c r="T46" s="1195"/>
    </row>
    <row r="47" spans="1:21" s="31" customFormat="1" ht="14.25" hidden="1" customHeight="1" x14ac:dyDescent="0.25">
      <c r="A47" s="1192" t="s">
        <v>615</v>
      </c>
      <c r="B47" s="1207"/>
      <c r="C47" s="1209"/>
      <c r="D47" s="1208"/>
      <c r="E47" s="1208"/>
      <c r="F47" s="1208"/>
      <c r="G47" s="1208"/>
      <c r="H47" s="1208"/>
      <c r="I47" s="1208"/>
      <c r="J47" s="1208"/>
      <c r="K47" s="1208"/>
      <c r="L47" s="1266">
        <f t="shared" si="5"/>
        <v>0</v>
      </c>
      <c r="M47" s="1208"/>
      <c r="N47" s="1208"/>
      <c r="O47" s="1208"/>
      <c r="P47" s="1208"/>
      <c r="Q47" s="1208"/>
      <c r="R47" s="1208"/>
      <c r="S47" s="1195"/>
      <c r="T47" s="1195"/>
    </row>
    <row r="48" spans="1:21" s="31" customFormat="1" ht="14.25" hidden="1" customHeight="1" x14ac:dyDescent="0.25">
      <c r="A48" s="1192" t="s">
        <v>112</v>
      </c>
      <c r="B48" s="1207"/>
      <c r="C48" s="1209"/>
      <c r="D48" s="1208"/>
      <c r="E48" s="1208"/>
      <c r="F48" s="1208"/>
      <c r="G48" s="1208"/>
      <c r="H48" s="1208"/>
      <c r="I48" s="1208"/>
      <c r="J48" s="1208"/>
      <c r="K48" s="1208"/>
      <c r="L48" s="1266">
        <f t="shared" si="5"/>
        <v>0</v>
      </c>
      <c r="M48" s="1208"/>
      <c r="N48" s="1208"/>
      <c r="O48" s="1208"/>
      <c r="P48" s="1208"/>
      <c r="Q48" s="1208"/>
      <c r="R48" s="1208"/>
      <c r="S48" s="1195"/>
      <c r="T48" s="1195"/>
    </row>
    <row r="49" spans="1:20" s="31" customFormat="1" ht="14.25" hidden="1" customHeight="1" x14ac:dyDescent="0.25">
      <c r="A49" s="1192" t="s">
        <v>640</v>
      </c>
      <c r="B49" s="1225"/>
      <c r="C49" s="1224"/>
      <c r="D49" s="1208"/>
      <c r="E49" s="1208"/>
      <c r="F49" s="1208"/>
      <c r="G49" s="1208"/>
      <c r="H49" s="1208"/>
      <c r="I49" s="1208"/>
      <c r="J49" s="1208"/>
      <c r="K49" s="1208"/>
      <c r="L49" s="1266">
        <f t="shared" si="5"/>
        <v>0</v>
      </c>
      <c r="M49" s="1208"/>
      <c r="N49" s="1208"/>
      <c r="O49" s="1208"/>
      <c r="P49" s="1208"/>
      <c r="Q49" s="1208"/>
      <c r="R49" s="1195"/>
      <c r="S49" s="1195"/>
      <c r="T49" s="1195"/>
    </row>
    <row r="50" spans="1:20" s="31" customFormat="1" ht="14.25" hidden="1" customHeight="1" x14ac:dyDescent="0.25">
      <c r="A50" s="1192" t="s">
        <v>641</v>
      </c>
      <c r="B50" s="1207"/>
      <c r="C50" s="1209"/>
      <c r="D50" s="1208"/>
      <c r="E50" s="1208"/>
      <c r="F50" s="1208"/>
      <c r="G50" s="1208"/>
      <c r="H50" s="1208"/>
      <c r="I50" s="1208"/>
      <c r="J50" s="1208"/>
      <c r="K50" s="1208"/>
      <c r="L50" s="1266">
        <f t="shared" si="5"/>
        <v>0</v>
      </c>
      <c r="M50" s="1208"/>
      <c r="N50" s="1208"/>
      <c r="O50" s="1208"/>
      <c r="P50" s="1208"/>
      <c r="Q50" s="1208"/>
      <c r="R50" s="1195"/>
      <c r="S50" s="1195"/>
      <c r="T50" s="1195"/>
    </row>
    <row r="51" spans="1:20" s="31" customFormat="1" ht="14.25" hidden="1" customHeight="1" x14ac:dyDescent="0.25">
      <c r="A51" s="1192" t="s">
        <v>115</v>
      </c>
      <c r="B51" s="1207"/>
      <c r="C51" s="1209"/>
      <c r="D51" s="1208"/>
      <c r="E51" s="1208"/>
      <c r="F51" s="1208"/>
      <c r="G51" s="1208"/>
      <c r="H51" s="1208"/>
      <c r="I51" s="1208"/>
      <c r="J51" s="1208"/>
      <c r="K51" s="1208"/>
      <c r="L51" s="1266">
        <f t="shared" si="5"/>
        <v>0</v>
      </c>
      <c r="M51" s="1208"/>
      <c r="N51" s="1208"/>
      <c r="O51" s="1208"/>
      <c r="P51" s="1208"/>
      <c r="Q51" s="1208"/>
      <c r="R51" s="1195"/>
      <c r="S51" s="1195"/>
      <c r="T51" s="1195"/>
    </row>
    <row r="52" spans="1:20" s="31" customFormat="1" ht="14.25" hidden="1" customHeight="1" x14ac:dyDescent="0.25">
      <c r="A52" s="1192" t="s">
        <v>116</v>
      </c>
      <c r="B52" s="1207"/>
      <c r="C52" s="1209"/>
      <c r="D52" s="1208"/>
      <c r="E52" s="1208"/>
      <c r="F52" s="1208"/>
      <c r="G52" s="1208"/>
      <c r="H52" s="1208"/>
      <c r="I52" s="1208"/>
      <c r="J52" s="1208"/>
      <c r="K52" s="1208"/>
      <c r="L52" s="1266">
        <f t="shared" si="5"/>
        <v>0</v>
      </c>
      <c r="M52" s="1208"/>
      <c r="N52" s="1208"/>
      <c r="O52" s="1208"/>
      <c r="P52" s="1208"/>
      <c r="Q52" s="1208"/>
      <c r="R52" s="1195"/>
      <c r="S52" s="1195"/>
      <c r="T52" s="1195"/>
    </row>
    <row r="53" spans="1:20" s="31" customFormat="1" ht="14.25" hidden="1" customHeight="1" x14ac:dyDescent="0.25">
      <c r="A53" s="1192" t="s">
        <v>117</v>
      </c>
      <c r="B53" s="1225"/>
      <c r="C53" s="1224"/>
      <c r="D53" s="1208"/>
      <c r="E53" s="1208"/>
      <c r="F53" s="1208"/>
      <c r="G53" s="1208"/>
      <c r="H53" s="1208"/>
      <c r="I53" s="1208"/>
      <c r="J53" s="1208"/>
      <c r="K53" s="1208"/>
      <c r="L53" s="1266">
        <f t="shared" si="5"/>
        <v>0</v>
      </c>
      <c r="M53" s="1208"/>
      <c r="N53" s="1208"/>
      <c r="O53" s="1208"/>
      <c r="P53" s="1208"/>
      <c r="Q53" s="1208"/>
      <c r="R53" s="1195"/>
      <c r="S53" s="1195"/>
      <c r="T53" s="1195"/>
    </row>
    <row r="54" spans="1:20" s="31" customFormat="1" ht="14.25" hidden="1" customHeight="1" x14ac:dyDescent="0.25">
      <c r="A54" s="1192" t="s">
        <v>120</v>
      </c>
      <c r="B54" s="1207"/>
      <c r="C54" s="1209"/>
      <c r="D54" s="1208"/>
      <c r="E54" s="1208"/>
      <c r="F54" s="1208"/>
      <c r="G54" s="1208"/>
      <c r="H54" s="1208"/>
      <c r="I54" s="1208"/>
      <c r="J54" s="1208"/>
      <c r="K54" s="1208"/>
      <c r="L54" s="1266">
        <f t="shared" si="5"/>
        <v>0</v>
      </c>
      <c r="M54" s="1208"/>
      <c r="N54" s="1208"/>
      <c r="O54" s="1208"/>
      <c r="P54" s="1208"/>
      <c r="Q54" s="1208"/>
      <c r="R54" s="1195"/>
      <c r="S54" s="1195"/>
      <c r="T54" s="1195"/>
    </row>
    <row r="55" spans="1:20" s="31" customFormat="1" ht="14.25" hidden="1" customHeight="1" x14ac:dyDescent="0.25">
      <c r="A55" s="1192" t="s">
        <v>123</v>
      </c>
      <c r="B55" s="1207"/>
      <c r="C55" s="1209"/>
      <c r="D55" s="1208"/>
      <c r="E55" s="1208"/>
      <c r="F55" s="1208"/>
      <c r="G55" s="1208"/>
      <c r="H55" s="1208"/>
      <c r="I55" s="1208"/>
      <c r="J55" s="1208"/>
      <c r="K55" s="1208"/>
      <c r="L55" s="1266">
        <f t="shared" si="5"/>
        <v>0</v>
      </c>
      <c r="M55" s="1208"/>
      <c r="N55" s="1208"/>
      <c r="O55" s="1208"/>
      <c r="P55" s="1208"/>
      <c r="Q55" s="1208"/>
      <c r="R55" s="1195"/>
      <c r="S55" s="1195"/>
      <c r="T55" s="1195"/>
    </row>
    <row r="56" spans="1:20" s="31" customFormat="1" ht="14.45" hidden="1" customHeight="1" x14ac:dyDescent="0.25">
      <c r="A56" s="1192" t="s">
        <v>124</v>
      </c>
      <c r="B56" s="1225"/>
      <c r="C56" s="1224"/>
      <c r="D56" s="1208"/>
      <c r="E56" s="1208"/>
      <c r="F56" s="1208"/>
      <c r="G56" s="1208"/>
      <c r="H56" s="1208"/>
      <c r="I56" s="1208"/>
      <c r="J56" s="1208"/>
      <c r="K56" s="1208"/>
      <c r="L56" s="1266">
        <f t="shared" si="5"/>
        <v>0</v>
      </c>
      <c r="M56" s="1208"/>
      <c r="N56" s="1208"/>
      <c r="O56" s="1208"/>
      <c r="P56" s="1208"/>
      <c r="Q56" s="1208"/>
      <c r="R56" s="1195"/>
      <c r="S56" s="1195"/>
      <c r="T56" s="1195"/>
    </row>
    <row r="57" spans="1:20" s="31" customFormat="1" ht="14.45" hidden="1" customHeight="1" x14ac:dyDescent="0.25">
      <c r="A57" s="1192" t="s">
        <v>125</v>
      </c>
      <c r="B57" s="1207"/>
      <c r="C57" s="1209"/>
      <c r="D57" s="1208"/>
      <c r="E57" s="1208"/>
      <c r="F57" s="1208"/>
      <c r="G57" s="1208"/>
      <c r="H57" s="1208"/>
      <c r="I57" s="1208"/>
      <c r="J57" s="1208"/>
      <c r="K57" s="1208"/>
      <c r="L57" s="1266">
        <f t="shared" si="5"/>
        <v>0</v>
      </c>
      <c r="M57" s="1208"/>
      <c r="N57" s="1208"/>
      <c r="O57" s="1208"/>
      <c r="P57" s="1208"/>
      <c r="Q57" s="1208"/>
      <c r="R57" s="1195"/>
      <c r="S57" s="1195"/>
      <c r="T57" s="1195"/>
    </row>
    <row r="58" spans="1:20" s="31" customFormat="1" ht="14.45" hidden="1" customHeight="1" x14ac:dyDescent="0.25">
      <c r="A58" s="1192" t="s">
        <v>126</v>
      </c>
      <c r="B58" s="1207"/>
      <c r="C58" s="1209"/>
      <c r="D58" s="1208"/>
      <c r="E58" s="1208"/>
      <c r="F58" s="1208"/>
      <c r="G58" s="1208"/>
      <c r="H58" s="1208"/>
      <c r="I58" s="1208"/>
      <c r="J58" s="1208"/>
      <c r="K58" s="1208"/>
      <c r="L58" s="1266">
        <f t="shared" si="5"/>
        <v>0</v>
      </c>
      <c r="M58" s="1208"/>
      <c r="N58" s="1208"/>
      <c r="O58" s="1208"/>
      <c r="P58" s="1208"/>
      <c r="Q58" s="1208"/>
      <c r="R58" s="1195"/>
      <c r="S58" s="1195"/>
      <c r="T58" s="1195"/>
    </row>
    <row r="59" spans="1:20" s="31" customFormat="1" ht="14.45" hidden="1" customHeight="1" x14ac:dyDescent="0.25">
      <c r="A59" s="1192" t="s">
        <v>129</v>
      </c>
      <c r="B59" s="1207"/>
      <c r="C59" s="1209"/>
      <c r="D59" s="1208"/>
      <c r="E59" s="1208"/>
      <c r="F59" s="1208"/>
      <c r="G59" s="1208"/>
      <c r="H59" s="1208"/>
      <c r="I59" s="1208"/>
      <c r="J59" s="1208"/>
      <c r="K59" s="1208"/>
      <c r="L59" s="1266">
        <f t="shared" si="5"/>
        <v>0</v>
      </c>
      <c r="M59" s="1208"/>
      <c r="N59" s="1208"/>
      <c r="O59" s="1208"/>
      <c r="P59" s="1208"/>
      <c r="Q59" s="1208"/>
      <c r="R59" s="1195"/>
      <c r="S59" s="1195"/>
      <c r="T59" s="1195"/>
    </row>
    <row r="60" spans="1:20" s="31" customFormat="1" ht="14.45" hidden="1" customHeight="1" x14ac:dyDescent="0.25">
      <c r="A60" s="1192" t="s">
        <v>132</v>
      </c>
      <c r="B60" s="1193"/>
      <c r="C60" s="1194"/>
      <c r="D60" s="1210"/>
      <c r="E60" s="1210"/>
      <c r="F60" s="1210"/>
      <c r="G60" s="1210"/>
      <c r="H60" s="1208"/>
      <c r="I60" s="1208"/>
      <c r="J60" s="1208"/>
      <c r="K60" s="1195"/>
      <c r="L60" s="1266">
        <f t="shared" si="5"/>
        <v>0</v>
      </c>
      <c r="M60" s="1195"/>
      <c r="N60" s="1195"/>
      <c r="O60" s="1195"/>
      <c r="P60" s="1195"/>
      <c r="Q60" s="1195"/>
      <c r="R60" s="1195"/>
      <c r="S60" s="1226"/>
      <c r="T60" s="1195"/>
    </row>
    <row r="61" spans="1:20" s="31" customFormat="1" ht="14.45" customHeight="1" x14ac:dyDescent="0.25">
      <c r="A61" s="1192"/>
      <c r="B61" s="1227"/>
      <c r="C61" s="1228"/>
      <c r="D61" s="1214"/>
      <c r="E61" s="1214"/>
      <c r="F61" s="1214"/>
      <c r="G61" s="1214"/>
      <c r="H61" s="1229"/>
      <c r="I61" s="1229"/>
      <c r="J61" s="1229"/>
      <c r="K61" s="1215"/>
      <c r="L61" s="1317"/>
      <c r="M61" s="1215"/>
      <c r="N61" s="1215"/>
      <c r="O61" s="1215"/>
      <c r="P61" s="1215"/>
      <c r="Q61" s="1215"/>
      <c r="R61" s="1215"/>
      <c r="S61" s="1230"/>
      <c r="T61" s="1215"/>
    </row>
    <row r="62" spans="1:20" s="31" customFormat="1" ht="14.45" customHeight="1" x14ac:dyDescent="0.25">
      <c r="A62" s="1192"/>
      <c r="B62" s="1231"/>
      <c r="C62" s="1222"/>
      <c r="D62" s="1200"/>
      <c r="E62" s="1200"/>
      <c r="F62" s="1200"/>
      <c r="G62" s="1200"/>
      <c r="H62" s="1216"/>
      <c r="I62" s="1216"/>
      <c r="J62" s="1216"/>
      <c r="K62" s="1201"/>
      <c r="L62" s="1316"/>
      <c r="M62" s="1315"/>
      <c r="N62" s="1201"/>
      <c r="O62" s="1201"/>
      <c r="P62" s="1201"/>
      <c r="Q62" s="1201"/>
      <c r="R62" s="1201"/>
      <c r="S62" s="1232"/>
      <c r="T62" s="1201"/>
    </row>
    <row r="63" spans="1:20" s="31" customFormat="1" ht="14.45" customHeight="1" x14ac:dyDescent="0.25">
      <c r="A63" s="1192"/>
      <c r="B63" s="1231"/>
      <c r="C63" s="1222"/>
      <c r="D63" s="1200"/>
      <c r="E63" s="1200"/>
      <c r="F63" s="1200"/>
      <c r="G63" s="1200"/>
      <c r="H63" s="1216"/>
      <c r="I63" s="1216"/>
      <c r="J63" s="1216"/>
      <c r="K63" s="1201"/>
      <c r="L63" s="1201"/>
      <c r="M63" s="1201"/>
      <c r="N63" s="1201"/>
      <c r="O63" s="1201"/>
      <c r="P63" s="1201"/>
      <c r="Q63" s="1201"/>
      <c r="R63" s="1201"/>
      <c r="S63" s="1232"/>
      <c r="T63" s="1201"/>
    </row>
    <row r="64" spans="1:20" s="31" customFormat="1" ht="14.45" customHeight="1" x14ac:dyDescent="0.25">
      <c r="A64" s="1192" t="s">
        <v>554</v>
      </c>
      <c r="B64" s="1233" t="s">
        <v>675</v>
      </c>
      <c r="C64" s="1222"/>
      <c r="D64" s="1200"/>
      <c r="E64" s="1200"/>
      <c r="F64" s="1200"/>
      <c r="G64" s="1200"/>
      <c r="H64" s="1216"/>
      <c r="I64" s="1216"/>
      <c r="J64" s="1216"/>
      <c r="K64" s="1201"/>
      <c r="L64" s="1201"/>
      <c r="M64" s="1201"/>
      <c r="N64" s="1201"/>
      <c r="O64" s="1201"/>
      <c r="P64" s="1201"/>
      <c r="Q64" s="1201"/>
      <c r="R64" s="1201"/>
      <c r="S64" s="1232"/>
      <c r="T64" s="1201"/>
    </row>
    <row r="65" spans="1:20" s="31" customFormat="1" ht="14.45" customHeight="1" x14ac:dyDescent="0.25">
      <c r="A65" s="1192" t="s">
        <v>555</v>
      </c>
      <c r="B65" s="1234" t="s">
        <v>676</v>
      </c>
      <c r="C65" s="1235"/>
      <c r="D65" s="1236"/>
      <c r="E65" s="1236"/>
      <c r="F65" s="1236"/>
      <c r="G65" s="1236"/>
      <c r="H65" s="1237"/>
      <c r="I65" s="1237"/>
      <c r="J65" s="1237"/>
      <c r="K65" s="1238"/>
      <c r="L65" s="1238"/>
      <c r="M65" s="1238"/>
      <c r="N65" s="1238"/>
      <c r="O65" s="1238"/>
      <c r="P65" s="1238"/>
      <c r="Q65" s="1238"/>
      <c r="R65" s="1238"/>
      <c r="S65" s="1239"/>
      <c r="T65" s="1239"/>
    </row>
    <row r="66" spans="1:20" s="31" customFormat="1" ht="14.45" customHeight="1" x14ac:dyDescent="0.25">
      <c r="A66" s="1192" t="s">
        <v>556</v>
      </c>
      <c r="B66" s="1240" t="s">
        <v>677</v>
      </c>
      <c r="C66" s="1235"/>
      <c r="D66" s="1236"/>
      <c r="E66" s="1236"/>
      <c r="F66" s="1236"/>
      <c r="G66" s="1236"/>
      <c r="H66" s="1237"/>
      <c r="I66" s="1237"/>
      <c r="J66" s="1237"/>
      <c r="K66" s="1238">
        <v>1</v>
      </c>
      <c r="L66" s="1238">
        <f t="shared" ref="L66:L74" si="7">K66</f>
        <v>1</v>
      </c>
      <c r="M66" s="1238"/>
      <c r="N66" s="1238"/>
      <c r="O66" s="1238">
        <v>1</v>
      </c>
      <c r="P66" s="1238">
        <f t="shared" ref="P66:P74" si="8">D66+H66+L66</f>
        <v>1</v>
      </c>
      <c r="Q66" s="1238"/>
      <c r="R66" s="1238"/>
      <c r="S66" s="1239">
        <f t="shared" ref="S66:S74" si="9">O66+Q66/2</f>
        <v>1</v>
      </c>
      <c r="T66" s="1239">
        <f t="shared" ref="T66:T74" si="10">P66+R66/2</f>
        <v>1</v>
      </c>
    </row>
    <row r="67" spans="1:20" s="31" customFormat="1" ht="14.45" customHeight="1" x14ac:dyDescent="0.25">
      <c r="A67" s="1192" t="s">
        <v>557</v>
      </c>
      <c r="B67" s="1240" t="s">
        <v>678</v>
      </c>
      <c r="C67" s="1235"/>
      <c r="D67" s="1236"/>
      <c r="E67" s="1236"/>
      <c r="F67" s="1236"/>
      <c r="G67" s="1236"/>
      <c r="H67" s="1237"/>
      <c r="I67" s="1237"/>
      <c r="J67" s="1237"/>
      <c r="K67" s="1238">
        <v>1</v>
      </c>
      <c r="L67" s="1238">
        <f t="shared" si="7"/>
        <v>1</v>
      </c>
      <c r="M67" s="1238"/>
      <c r="N67" s="1238"/>
      <c r="O67" s="1238">
        <v>1</v>
      </c>
      <c r="P67" s="1238">
        <f t="shared" si="8"/>
        <v>1</v>
      </c>
      <c r="Q67" s="1238"/>
      <c r="R67" s="1238"/>
      <c r="S67" s="1239">
        <f t="shared" si="9"/>
        <v>1</v>
      </c>
      <c r="T67" s="1239">
        <f t="shared" si="10"/>
        <v>1</v>
      </c>
    </row>
    <row r="68" spans="1:20" s="31" customFormat="1" ht="14.45" customHeight="1" x14ac:dyDescent="0.25">
      <c r="A68" s="1192" t="s">
        <v>558</v>
      </c>
      <c r="B68" s="1240" t="s">
        <v>679</v>
      </c>
      <c r="C68" s="1235"/>
      <c r="D68" s="1236"/>
      <c r="E68" s="1236"/>
      <c r="F68" s="1236"/>
      <c r="G68" s="1236"/>
      <c r="H68" s="1237"/>
      <c r="I68" s="1237"/>
      <c r="J68" s="1237"/>
      <c r="K68" s="1238">
        <v>2</v>
      </c>
      <c r="L68" s="1238">
        <f t="shared" si="7"/>
        <v>2</v>
      </c>
      <c r="M68" s="1238"/>
      <c r="N68" s="1238"/>
      <c r="O68" s="1238">
        <v>2</v>
      </c>
      <c r="P68" s="1238">
        <f t="shared" si="8"/>
        <v>2</v>
      </c>
      <c r="Q68" s="1238"/>
      <c r="R68" s="1238"/>
      <c r="S68" s="1239">
        <f t="shared" si="9"/>
        <v>2</v>
      </c>
      <c r="T68" s="1239">
        <f t="shared" si="10"/>
        <v>2</v>
      </c>
    </row>
    <row r="69" spans="1:20" s="31" customFormat="1" ht="14.45" customHeight="1" x14ac:dyDescent="0.25">
      <c r="A69" s="1192" t="s">
        <v>559</v>
      </c>
      <c r="B69" s="1240" t="s">
        <v>680</v>
      </c>
      <c r="C69" s="1235"/>
      <c r="D69" s="1236"/>
      <c r="E69" s="1236"/>
      <c r="F69" s="1236"/>
      <c r="G69" s="1236"/>
      <c r="H69" s="1237"/>
      <c r="I69" s="1237"/>
      <c r="J69" s="1237"/>
      <c r="K69" s="1238">
        <v>1</v>
      </c>
      <c r="L69" s="1238">
        <f t="shared" si="7"/>
        <v>1</v>
      </c>
      <c r="M69" s="1238"/>
      <c r="N69" s="1238"/>
      <c r="O69" s="1238">
        <v>1</v>
      </c>
      <c r="P69" s="1238">
        <f t="shared" si="8"/>
        <v>1</v>
      </c>
      <c r="Q69" s="1238"/>
      <c r="R69" s="1238"/>
      <c r="S69" s="1239">
        <f t="shared" si="9"/>
        <v>1</v>
      </c>
      <c r="T69" s="1239">
        <f t="shared" si="10"/>
        <v>1</v>
      </c>
    </row>
    <row r="70" spans="1:20" s="31" customFormat="1" ht="14.45" customHeight="1" x14ac:dyDescent="0.25">
      <c r="A70" s="1192" t="s">
        <v>560</v>
      </c>
      <c r="B70" s="1240" t="s">
        <v>681</v>
      </c>
      <c r="C70" s="1235"/>
      <c r="D70" s="1236"/>
      <c r="E70" s="1236"/>
      <c r="F70" s="1236"/>
      <c r="G70" s="1236"/>
      <c r="H70" s="1237"/>
      <c r="I70" s="1237"/>
      <c r="J70" s="1237"/>
      <c r="K70" s="1238">
        <v>1</v>
      </c>
      <c r="L70" s="1238">
        <f t="shared" si="7"/>
        <v>1</v>
      </c>
      <c r="M70" s="1238"/>
      <c r="N70" s="1238"/>
      <c r="O70" s="1238">
        <v>1</v>
      </c>
      <c r="P70" s="1238">
        <f t="shared" si="8"/>
        <v>1</v>
      </c>
      <c r="Q70" s="1238"/>
      <c r="R70" s="1238"/>
      <c r="S70" s="1239">
        <f t="shared" si="9"/>
        <v>1</v>
      </c>
      <c r="T70" s="1239">
        <f t="shared" si="10"/>
        <v>1</v>
      </c>
    </row>
    <row r="71" spans="1:20" s="31" customFormat="1" ht="14.45" customHeight="1" x14ac:dyDescent="0.25">
      <c r="A71" s="1192" t="s">
        <v>612</v>
      </c>
      <c r="B71" s="1240" t="s">
        <v>985</v>
      </c>
      <c r="C71" s="1235"/>
      <c r="D71" s="1236"/>
      <c r="E71" s="1236"/>
      <c r="F71" s="1236"/>
      <c r="G71" s="1236"/>
      <c r="H71" s="1237"/>
      <c r="I71" s="1237"/>
      <c r="J71" s="1237"/>
      <c r="K71" s="1238">
        <v>1</v>
      </c>
      <c r="L71" s="1238">
        <f t="shared" si="7"/>
        <v>1</v>
      </c>
      <c r="M71" s="1238"/>
      <c r="N71" s="1238"/>
      <c r="O71" s="1238">
        <v>1</v>
      </c>
      <c r="P71" s="1238">
        <f t="shared" si="8"/>
        <v>1</v>
      </c>
      <c r="Q71" s="1238"/>
      <c r="R71" s="1238"/>
      <c r="S71" s="1239">
        <f t="shared" si="9"/>
        <v>1</v>
      </c>
      <c r="T71" s="1239">
        <f t="shared" si="10"/>
        <v>1</v>
      </c>
    </row>
    <row r="72" spans="1:20" s="31" customFormat="1" ht="14.45" customHeight="1" x14ac:dyDescent="0.25">
      <c r="A72" s="1192" t="s">
        <v>613</v>
      </c>
      <c r="B72" s="1240" t="s">
        <v>986</v>
      </c>
      <c r="C72" s="1235"/>
      <c r="D72" s="1236"/>
      <c r="E72" s="1236"/>
      <c r="F72" s="1236"/>
      <c r="G72" s="1236"/>
      <c r="H72" s="1237"/>
      <c r="I72" s="1237"/>
      <c r="J72" s="1237"/>
      <c r="K72" s="1238">
        <v>1</v>
      </c>
      <c r="L72" s="1238">
        <f t="shared" si="7"/>
        <v>1</v>
      </c>
      <c r="M72" s="1238"/>
      <c r="N72" s="1238"/>
      <c r="O72" s="1238">
        <v>1</v>
      </c>
      <c r="P72" s="1238">
        <f t="shared" si="8"/>
        <v>1</v>
      </c>
      <c r="Q72" s="1238"/>
      <c r="R72" s="1238"/>
      <c r="S72" s="1239">
        <f t="shared" si="9"/>
        <v>1</v>
      </c>
      <c r="T72" s="1239">
        <f t="shared" si="10"/>
        <v>1</v>
      </c>
    </row>
    <row r="73" spans="1:20" s="31" customFormat="1" ht="14.45" customHeight="1" x14ac:dyDescent="0.25">
      <c r="A73" s="1192" t="s">
        <v>614</v>
      </c>
      <c r="B73" s="1240" t="s">
        <v>682</v>
      </c>
      <c r="C73" s="1235"/>
      <c r="D73" s="1236"/>
      <c r="E73" s="1236"/>
      <c r="F73" s="1236"/>
      <c r="G73" s="1236"/>
      <c r="H73" s="1237"/>
      <c r="I73" s="1237"/>
      <c r="J73" s="1237"/>
      <c r="K73" s="1238">
        <v>1</v>
      </c>
      <c r="L73" s="1238">
        <f t="shared" si="7"/>
        <v>1</v>
      </c>
      <c r="M73" s="1238"/>
      <c r="N73" s="1238"/>
      <c r="O73" s="1238">
        <v>1</v>
      </c>
      <c r="P73" s="1238">
        <f t="shared" si="8"/>
        <v>1</v>
      </c>
      <c r="Q73" s="1238"/>
      <c r="R73" s="1238"/>
      <c r="S73" s="1239">
        <f t="shared" si="9"/>
        <v>1</v>
      </c>
      <c r="T73" s="1239">
        <f t="shared" si="10"/>
        <v>1</v>
      </c>
    </row>
    <row r="74" spans="1:20" s="31" customFormat="1" ht="14.45" customHeight="1" x14ac:dyDescent="0.25">
      <c r="A74" s="1192" t="s">
        <v>615</v>
      </c>
      <c r="B74" s="1240" t="s">
        <v>683</v>
      </c>
      <c r="C74" s="1235"/>
      <c r="D74" s="1236"/>
      <c r="E74" s="1236"/>
      <c r="F74" s="1236"/>
      <c r="G74" s="1236"/>
      <c r="H74" s="1237"/>
      <c r="I74" s="1237"/>
      <c r="J74" s="1237"/>
      <c r="K74" s="1238">
        <v>1</v>
      </c>
      <c r="L74" s="1238">
        <f t="shared" si="7"/>
        <v>1</v>
      </c>
      <c r="M74" s="1238"/>
      <c r="N74" s="1238"/>
      <c r="O74" s="1238">
        <v>1</v>
      </c>
      <c r="P74" s="1238">
        <f t="shared" si="8"/>
        <v>1</v>
      </c>
      <c r="Q74" s="1238"/>
      <c r="R74" s="1238"/>
      <c r="S74" s="1239">
        <f t="shared" si="9"/>
        <v>1</v>
      </c>
      <c r="T74" s="1239">
        <f t="shared" si="10"/>
        <v>1</v>
      </c>
    </row>
    <row r="75" spans="1:20" s="31" customFormat="1" ht="14.45" customHeight="1" x14ac:dyDescent="0.25">
      <c r="A75" s="1192" t="s">
        <v>112</v>
      </c>
      <c r="B75" s="1234" t="s">
        <v>684</v>
      </c>
      <c r="C75" s="1235"/>
      <c r="D75" s="1236"/>
      <c r="E75" s="1236"/>
      <c r="F75" s="1236"/>
      <c r="G75" s="1236"/>
      <c r="H75" s="1237"/>
      <c r="I75" s="1237"/>
      <c r="J75" s="1237"/>
      <c r="K75" s="1238"/>
      <c r="L75" s="1238"/>
      <c r="M75" s="1238"/>
      <c r="N75" s="1238"/>
      <c r="O75" s="1238"/>
      <c r="P75" s="1238"/>
      <c r="Q75" s="1238"/>
      <c r="R75" s="1238"/>
      <c r="S75" s="1239"/>
      <c r="T75" s="1239"/>
    </row>
    <row r="76" spans="1:20" s="31" customFormat="1" ht="14.45" customHeight="1" x14ac:dyDescent="0.25">
      <c r="A76" s="1192" t="s">
        <v>640</v>
      </c>
      <c r="B76" s="1240" t="s">
        <v>685</v>
      </c>
      <c r="C76" s="1235"/>
      <c r="D76" s="1236"/>
      <c r="E76" s="1236"/>
      <c r="F76" s="1236"/>
      <c r="G76" s="1236"/>
      <c r="H76" s="1237"/>
      <c r="I76" s="1237"/>
      <c r="J76" s="1237"/>
      <c r="K76" s="1238">
        <v>1</v>
      </c>
      <c r="L76" s="1238">
        <f t="shared" ref="L76:L83" si="11">K76</f>
        <v>1</v>
      </c>
      <c r="M76" s="1238"/>
      <c r="N76" s="1238"/>
      <c r="O76" s="1238">
        <v>1</v>
      </c>
      <c r="P76" s="1238">
        <f t="shared" ref="P76:P83" si="12">D76+H76+L76</f>
        <v>1</v>
      </c>
      <c r="Q76" s="1238"/>
      <c r="R76" s="1238"/>
      <c r="S76" s="1239">
        <f t="shared" ref="S76:T83" si="13">O76+Q76/2</f>
        <v>1</v>
      </c>
      <c r="T76" s="1239">
        <f t="shared" si="13"/>
        <v>1</v>
      </c>
    </row>
    <row r="77" spans="1:20" s="31" customFormat="1" ht="14.45" customHeight="1" x14ac:dyDescent="0.25">
      <c r="A77" s="1192" t="s">
        <v>641</v>
      </c>
      <c r="B77" s="1240" t="s">
        <v>686</v>
      </c>
      <c r="C77" s="1235"/>
      <c r="D77" s="1236"/>
      <c r="E77" s="1236"/>
      <c r="F77" s="1236"/>
      <c r="G77" s="1236"/>
      <c r="H77" s="1237"/>
      <c r="I77" s="1237"/>
      <c r="J77" s="1237"/>
      <c r="K77" s="1238">
        <v>1</v>
      </c>
      <c r="L77" s="1238">
        <f t="shared" si="11"/>
        <v>1</v>
      </c>
      <c r="M77" s="1238"/>
      <c r="N77" s="1238"/>
      <c r="O77" s="1238">
        <v>1</v>
      </c>
      <c r="P77" s="1238">
        <f t="shared" si="12"/>
        <v>1</v>
      </c>
      <c r="Q77" s="1238"/>
      <c r="R77" s="1238"/>
      <c r="S77" s="1239">
        <f t="shared" si="13"/>
        <v>1</v>
      </c>
      <c r="T77" s="1239">
        <f t="shared" si="13"/>
        <v>1</v>
      </c>
    </row>
    <row r="78" spans="1:20" s="31" customFormat="1" ht="14.45" customHeight="1" x14ac:dyDescent="0.25">
      <c r="A78" s="1192" t="s">
        <v>115</v>
      </c>
      <c r="B78" s="1240" t="s">
        <v>687</v>
      </c>
      <c r="C78" s="1235"/>
      <c r="D78" s="1236"/>
      <c r="E78" s="1236"/>
      <c r="F78" s="1236"/>
      <c r="G78" s="1236"/>
      <c r="H78" s="1237"/>
      <c r="I78" s="1237"/>
      <c r="J78" s="1237"/>
      <c r="K78" s="1238">
        <v>1</v>
      </c>
      <c r="L78" s="1238">
        <f t="shared" si="11"/>
        <v>1</v>
      </c>
      <c r="M78" s="1238"/>
      <c r="N78" s="1238"/>
      <c r="O78" s="1238">
        <v>1</v>
      </c>
      <c r="P78" s="1238">
        <f t="shared" si="12"/>
        <v>1</v>
      </c>
      <c r="Q78" s="1238"/>
      <c r="R78" s="1238"/>
      <c r="S78" s="1239">
        <f t="shared" si="13"/>
        <v>1</v>
      </c>
      <c r="T78" s="1239">
        <f t="shared" si="13"/>
        <v>1</v>
      </c>
    </row>
    <row r="79" spans="1:20" s="31" customFormat="1" ht="14.45" customHeight="1" x14ac:dyDescent="0.25">
      <c r="A79" s="1192" t="s">
        <v>116</v>
      </c>
      <c r="B79" s="1234" t="s">
        <v>688</v>
      </c>
      <c r="C79" s="1235"/>
      <c r="D79" s="1236"/>
      <c r="E79" s="1236"/>
      <c r="F79" s="1236"/>
      <c r="G79" s="1236"/>
      <c r="H79" s="1237"/>
      <c r="I79" s="1237"/>
      <c r="J79" s="1237"/>
      <c r="K79" s="1238"/>
      <c r="L79" s="1238">
        <f t="shared" si="11"/>
        <v>0</v>
      </c>
      <c r="M79" s="1238"/>
      <c r="N79" s="1238"/>
      <c r="O79" s="1238"/>
      <c r="P79" s="1238">
        <f t="shared" si="12"/>
        <v>0</v>
      </c>
      <c r="Q79" s="1238"/>
      <c r="R79" s="1238"/>
      <c r="S79" s="1239">
        <f t="shared" si="13"/>
        <v>0</v>
      </c>
      <c r="T79" s="1239">
        <f t="shared" si="13"/>
        <v>0</v>
      </c>
    </row>
    <row r="80" spans="1:20" s="31" customFormat="1" ht="14.45" customHeight="1" x14ac:dyDescent="0.25">
      <c r="A80" s="1192" t="s">
        <v>117</v>
      </c>
      <c r="B80" s="1240" t="s">
        <v>689</v>
      </c>
      <c r="C80" s="1235"/>
      <c r="D80" s="1236"/>
      <c r="E80" s="1236"/>
      <c r="F80" s="1236"/>
      <c r="G80" s="1236"/>
      <c r="H80" s="1237"/>
      <c r="I80" s="1237"/>
      <c r="J80" s="1237"/>
      <c r="K80" s="1238">
        <v>1</v>
      </c>
      <c r="L80" s="1238">
        <f t="shared" si="11"/>
        <v>1</v>
      </c>
      <c r="M80" s="1238"/>
      <c r="N80" s="1238"/>
      <c r="O80" s="1238">
        <v>1</v>
      </c>
      <c r="P80" s="1238">
        <f t="shared" si="12"/>
        <v>1</v>
      </c>
      <c r="Q80" s="1238"/>
      <c r="R80" s="1238"/>
      <c r="S80" s="1239">
        <f t="shared" si="13"/>
        <v>1</v>
      </c>
      <c r="T80" s="1239">
        <f t="shared" si="13"/>
        <v>1</v>
      </c>
    </row>
    <row r="81" spans="1:20" s="31" customFormat="1" ht="14.45" customHeight="1" x14ac:dyDescent="0.25">
      <c r="A81" s="1192" t="s">
        <v>120</v>
      </c>
      <c r="B81" s="1240" t="s">
        <v>690</v>
      </c>
      <c r="C81" s="1235"/>
      <c r="D81" s="1236"/>
      <c r="E81" s="1236"/>
      <c r="F81" s="1236"/>
      <c r="G81" s="1236"/>
      <c r="H81" s="1237"/>
      <c r="I81" s="1237"/>
      <c r="J81" s="1237"/>
      <c r="K81" s="1238">
        <v>1</v>
      </c>
      <c r="L81" s="1238">
        <f t="shared" si="11"/>
        <v>1</v>
      </c>
      <c r="M81" s="1238"/>
      <c r="N81" s="1238"/>
      <c r="O81" s="1238">
        <v>1</v>
      </c>
      <c r="P81" s="1238">
        <f t="shared" si="12"/>
        <v>1</v>
      </c>
      <c r="Q81" s="1238"/>
      <c r="R81" s="1238"/>
      <c r="S81" s="1239">
        <f t="shared" si="13"/>
        <v>1</v>
      </c>
      <c r="T81" s="1239">
        <f t="shared" si="13"/>
        <v>1</v>
      </c>
    </row>
    <row r="82" spans="1:20" s="31" customFormat="1" ht="14.45" customHeight="1" x14ac:dyDescent="0.25">
      <c r="A82" s="1192" t="s">
        <v>123</v>
      </c>
      <c r="B82" s="1240" t="s">
        <v>691</v>
      </c>
      <c r="C82" s="1235"/>
      <c r="D82" s="1236"/>
      <c r="E82" s="1236"/>
      <c r="F82" s="1236"/>
      <c r="G82" s="1236"/>
      <c r="H82" s="1237"/>
      <c r="I82" s="1237"/>
      <c r="J82" s="1237"/>
      <c r="K82" s="1238">
        <v>3</v>
      </c>
      <c r="L82" s="1238">
        <f t="shared" si="11"/>
        <v>3</v>
      </c>
      <c r="M82" s="1238"/>
      <c r="N82" s="1238"/>
      <c r="O82" s="1238">
        <v>3</v>
      </c>
      <c r="P82" s="1238">
        <f t="shared" si="12"/>
        <v>3</v>
      </c>
      <c r="Q82" s="1238"/>
      <c r="R82" s="1238"/>
      <c r="S82" s="1239">
        <f t="shared" si="13"/>
        <v>3</v>
      </c>
      <c r="T82" s="1239">
        <f t="shared" si="13"/>
        <v>3</v>
      </c>
    </row>
    <row r="83" spans="1:20" s="31" customFormat="1" ht="14.45" customHeight="1" x14ac:dyDescent="0.25">
      <c r="A83" s="1192" t="s">
        <v>124</v>
      </c>
      <c r="B83" s="1240" t="s">
        <v>873</v>
      </c>
      <c r="C83" s="1235"/>
      <c r="D83" s="1236"/>
      <c r="E83" s="1236"/>
      <c r="F83" s="1236"/>
      <c r="G83" s="1236"/>
      <c r="H83" s="1237"/>
      <c r="I83" s="1237"/>
      <c r="J83" s="1237"/>
      <c r="K83" s="1238">
        <v>1</v>
      </c>
      <c r="L83" s="1238">
        <f t="shared" si="11"/>
        <v>1</v>
      </c>
      <c r="M83" s="1238"/>
      <c r="N83" s="1238"/>
      <c r="O83" s="1238">
        <v>1</v>
      </c>
      <c r="P83" s="1238">
        <f t="shared" si="12"/>
        <v>1</v>
      </c>
      <c r="Q83" s="1238"/>
      <c r="R83" s="1238"/>
      <c r="S83" s="1239">
        <f t="shared" si="13"/>
        <v>1</v>
      </c>
      <c r="T83" s="1239">
        <f t="shared" si="13"/>
        <v>1</v>
      </c>
    </row>
    <row r="84" spans="1:20" s="31" customFormat="1" ht="14.45" customHeight="1" x14ac:dyDescent="0.25">
      <c r="A84" s="1192" t="s">
        <v>125</v>
      </c>
      <c r="B84" s="1234" t="s">
        <v>692</v>
      </c>
      <c r="C84" s="1235"/>
      <c r="D84" s="1236"/>
      <c r="E84" s="1236"/>
      <c r="F84" s="1236"/>
      <c r="G84" s="1236"/>
      <c r="H84" s="1237"/>
      <c r="I84" s="1237"/>
      <c r="J84" s="1237"/>
      <c r="K84" s="1238"/>
      <c r="L84" s="1238"/>
      <c r="M84" s="1238"/>
      <c r="N84" s="1238"/>
      <c r="O84" s="1238"/>
      <c r="P84" s="1238"/>
      <c r="Q84" s="1238"/>
      <c r="R84" s="1238"/>
      <c r="S84" s="1239"/>
      <c r="T84" s="1239"/>
    </row>
    <row r="85" spans="1:20" s="31" customFormat="1" ht="14.45" customHeight="1" x14ac:dyDescent="0.25">
      <c r="A85" s="1192" t="s">
        <v>126</v>
      </c>
      <c r="B85" s="1240" t="s">
        <v>693</v>
      </c>
      <c r="C85" s="1235"/>
      <c r="D85" s="1236"/>
      <c r="E85" s="1236"/>
      <c r="F85" s="1236"/>
      <c r="G85" s="1236"/>
      <c r="H85" s="1237"/>
      <c r="I85" s="1237"/>
      <c r="J85" s="1237"/>
      <c r="K85" s="1238">
        <v>1</v>
      </c>
      <c r="L85" s="1238">
        <f>K85</f>
        <v>1</v>
      </c>
      <c r="M85" s="1238"/>
      <c r="N85" s="1238"/>
      <c r="O85" s="1238">
        <v>1</v>
      </c>
      <c r="P85" s="1238">
        <f>D85+H85+L85</f>
        <v>1</v>
      </c>
      <c r="Q85" s="1238"/>
      <c r="R85" s="1238"/>
      <c r="S85" s="1239">
        <f t="shared" ref="S85:T87" si="14">O85+Q85/2</f>
        <v>1</v>
      </c>
      <c r="T85" s="1239">
        <f t="shared" si="14"/>
        <v>1</v>
      </c>
    </row>
    <row r="86" spans="1:20" s="31" customFormat="1" ht="14.45" customHeight="1" x14ac:dyDescent="0.25">
      <c r="A86" s="1192" t="s">
        <v>129</v>
      </c>
      <c r="B86" s="1240" t="s">
        <v>694</v>
      </c>
      <c r="C86" s="1235"/>
      <c r="D86" s="1236"/>
      <c r="E86" s="1236"/>
      <c r="F86" s="1236"/>
      <c r="G86" s="1236"/>
      <c r="H86" s="1237"/>
      <c r="I86" s="1237"/>
      <c r="J86" s="1237"/>
      <c r="K86" s="1238">
        <v>2</v>
      </c>
      <c r="L86" s="1238">
        <f>K86</f>
        <v>2</v>
      </c>
      <c r="M86" s="1238"/>
      <c r="N86" s="1238"/>
      <c r="O86" s="1238">
        <v>2</v>
      </c>
      <c r="P86" s="1238">
        <f>D86+H86+L86</f>
        <v>2</v>
      </c>
      <c r="Q86" s="1238"/>
      <c r="R86" s="1238"/>
      <c r="S86" s="1239">
        <f t="shared" si="14"/>
        <v>2</v>
      </c>
      <c r="T86" s="1239">
        <f t="shared" si="14"/>
        <v>2</v>
      </c>
    </row>
    <row r="87" spans="1:20" s="31" customFormat="1" ht="14.45" customHeight="1" x14ac:dyDescent="0.25">
      <c r="A87" s="1192" t="s">
        <v>132</v>
      </c>
      <c r="B87" s="1240" t="s">
        <v>695</v>
      </c>
      <c r="C87" s="1235"/>
      <c r="D87" s="1236"/>
      <c r="E87" s="1236"/>
      <c r="F87" s="1236"/>
      <c r="G87" s="1236"/>
      <c r="H87" s="1237"/>
      <c r="I87" s="1237"/>
      <c r="J87" s="1237"/>
      <c r="K87" s="1238">
        <v>1</v>
      </c>
      <c r="L87" s="1238">
        <f>K87</f>
        <v>1</v>
      </c>
      <c r="M87" s="1238"/>
      <c r="N87" s="1238"/>
      <c r="O87" s="1238">
        <v>1</v>
      </c>
      <c r="P87" s="1238">
        <f>D87+H87+L87</f>
        <v>1</v>
      </c>
      <c r="Q87" s="1238"/>
      <c r="R87" s="1238"/>
      <c r="S87" s="1239">
        <f t="shared" si="14"/>
        <v>1</v>
      </c>
      <c r="T87" s="1239">
        <f t="shared" si="14"/>
        <v>1</v>
      </c>
    </row>
    <row r="88" spans="1:20" s="31" customFormat="1" ht="14.45" customHeight="1" x14ac:dyDescent="0.25">
      <c r="A88" s="1192" t="s">
        <v>135</v>
      </c>
      <c r="B88" s="1240" t="s">
        <v>999</v>
      </c>
      <c r="C88" s="1235"/>
      <c r="D88" s="1236"/>
      <c r="E88" s="1236"/>
      <c r="F88" s="1236"/>
      <c r="G88" s="1236"/>
      <c r="H88" s="1237"/>
      <c r="I88" s="1237"/>
      <c r="J88" s="1237"/>
      <c r="K88" s="1238">
        <v>0.5</v>
      </c>
      <c r="L88" s="1238">
        <f>K88</f>
        <v>0.5</v>
      </c>
      <c r="M88" s="1238"/>
      <c r="N88" s="1238"/>
      <c r="O88" s="1238">
        <f>K88+M88</f>
        <v>0.5</v>
      </c>
      <c r="P88" s="1238">
        <f>D88+H88+L88</f>
        <v>0.5</v>
      </c>
      <c r="Q88" s="1238"/>
      <c r="R88" s="1238"/>
      <c r="S88" s="1241">
        <f>O88+Q88</f>
        <v>0.5</v>
      </c>
      <c r="T88" s="1242">
        <f>P88+R88/2</f>
        <v>0.5</v>
      </c>
    </row>
    <row r="89" spans="1:20" s="31" customFormat="1" ht="14.45" customHeight="1" x14ac:dyDescent="0.25">
      <c r="A89" s="1192" t="s">
        <v>136</v>
      </c>
      <c r="B89" s="1243" t="s">
        <v>696</v>
      </c>
      <c r="C89" s="1235"/>
      <c r="D89" s="1236"/>
      <c r="E89" s="1236"/>
      <c r="F89" s="1236"/>
      <c r="G89" s="1236"/>
      <c r="H89" s="1237"/>
      <c r="I89" s="1237"/>
      <c r="J89" s="1237"/>
      <c r="K89" s="1238">
        <f>SUM(K66:K88)</f>
        <v>23.5</v>
      </c>
      <c r="L89" s="1238">
        <f>K89</f>
        <v>23.5</v>
      </c>
      <c r="M89" s="1238">
        <f>SUM(M66:M87)</f>
        <v>0</v>
      </c>
      <c r="N89" s="1238">
        <f>SUM(N66:N87)</f>
        <v>0</v>
      </c>
      <c r="O89" s="1238">
        <f>SUM(O66:O88)</f>
        <v>23.5</v>
      </c>
      <c r="P89" s="1238">
        <f>D89+H89+L89</f>
        <v>23.5</v>
      </c>
      <c r="Q89" s="1238">
        <f>SUM(Q66:Q87)</f>
        <v>0</v>
      </c>
      <c r="R89" s="1238">
        <f>SUM(R66:R87)</f>
        <v>0</v>
      </c>
      <c r="S89" s="1242">
        <f>O89+Q89/2</f>
        <v>23.5</v>
      </c>
      <c r="T89" s="1242">
        <f>SUM(T66:T88)</f>
        <v>23.5</v>
      </c>
    </row>
    <row r="90" spans="1:20" s="31" customFormat="1" ht="14.45" customHeight="1" x14ac:dyDescent="0.25">
      <c r="A90" s="1192"/>
      <c r="B90" s="1227"/>
      <c r="C90" s="1244"/>
      <c r="D90" s="1245"/>
      <c r="E90" s="1245"/>
      <c r="F90" s="1245"/>
      <c r="G90" s="1245"/>
      <c r="H90" s="1246"/>
      <c r="I90" s="1246"/>
      <c r="J90" s="1246"/>
      <c r="K90" s="1247"/>
      <c r="L90" s="1247"/>
      <c r="M90" s="1247"/>
      <c r="N90" s="1247"/>
      <c r="O90" s="1247"/>
      <c r="P90" s="1247"/>
      <c r="Q90" s="1247"/>
      <c r="R90" s="1247"/>
      <c r="S90" s="1248"/>
      <c r="T90" s="1247"/>
    </row>
    <row r="91" spans="1:20" s="31" customFormat="1" ht="14.45" customHeight="1" x14ac:dyDescent="0.25">
      <c r="A91" s="1192"/>
      <c r="B91" s="1231"/>
      <c r="C91" s="1222"/>
      <c r="D91" s="1200"/>
      <c r="E91" s="1200"/>
      <c r="F91" s="1200"/>
      <c r="G91" s="1200"/>
      <c r="H91" s="1216"/>
      <c r="I91" s="1216"/>
      <c r="J91" s="1216"/>
      <c r="K91" s="1201"/>
      <c r="L91" s="1201"/>
      <c r="M91" s="1201"/>
      <c r="N91" s="1201"/>
      <c r="O91" s="1201"/>
      <c r="P91" s="1201"/>
      <c r="Q91" s="1201"/>
      <c r="R91" s="1201"/>
      <c r="S91" s="1232"/>
      <c r="T91" s="1201"/>
    </row>
    <row r="92" spans="1:20" s="31" customFormat="1" ht="14.45" customHeight="1" x14ac:dyDescent="0.25">
      <c r="A92" s="1192"/>
      <c r="B92" s="1231"/>
      <c r="C92" s="1222"/>
      <c r="D92" s="1200"/>
      <c r="E92" s="1200"/>
      <c r="F92" s="1200"/>
      <c r="G92" s="1200"/>
      <c r="H92" s="1216"/>
      <c r="I92" s="1216"/>
      <c r="J92" s="1216"/>
      <c r="K92" s="1201"/>
      <c r="L92" s="1201"/>
      <c r="M92" s="1201"/>
      <c r="N92" s="1201"/>
      <c r="O92" s="1201"/>
      <c r="P92" s="1201"/>
      <c r="Q92" s="1201"/>
      <c r="R92" s="1201"/>
      <c r="S92" s="1232"/>
      <c r="T92" s="1201"/>
    </row>
    <row r="93" spans="1:20" s="31" customFormat="1" ht="14.45" customHeight="1" x14ac:dyDescent="0.25">
      <c r="A93" s="1294" t="s">
        <v>139</v>
      </c>
      <c r="B93" s="1295" t="s">
        <v>506</v>
      </c>
      <c r="C93" s="1296"/>
      <c r="D93" s="1297"/>
      <c r="E93" s="1297"/>
      <c r="F93" s="1297"/>
      <c r="G93" s="1297"/>
      <c r="H93" s="1298"/>
      <c r="I93" s="1298"/>
      <c r="J93" s="1298"/>
      <c r="K93" s="1281"/>
      <c r="L93" s="1281"/>
      <c r="M93" s="1281"/>
      <c r="N93" s="1281"/>
      <c r="O93" s="1281"/>
      <c r="P93" s="1281"/>
      <c r="Q93" s="1281"/>
      <c r="R93" s="1281"/>
      <c r="S93" s="1299"/>
      <c r="T93" s="1281"/>
    </row>
    <row r="94" spans="1:20" s="31" customFormat="1" ht="14.45" customHeight="1" x14ac:dyDescent="0.25">
      <c r="A94" s="1294" t="s">
        <v>140</v>
      </c>
      <c r="B94" s="1300" t="s">
        <v>507</v>
      </c>
      <c r="C94" s="1301"/>
      <c r="D94" s="1302"/>
      <c r="E94" s="1302"/>
      <c r="F94" s="1302"/>
      <c r="G94" s="1302"/>
      <c r="H94" s="1303"/>
      <c r="I94" s="1303"/>
      <c r="J94" s="1303"/>
      <c r="K94" s="1303">
        <v>13</v>
      </c>
      <c r="L94" s="1303">
        <f>K94</f>
        <v>13</v>
      </c>
      <c r="M94" s="1304"/>
      <c r="N94" s="1304"/>
      <c r="O94" s="1303">
        <f>K94</f>
        <v>13</v>
      </c>
      <c r="P94" s="1304">
        <f>L94+H94+D94</f>
        <v>13</v>
      </c>
      <c r="Q94" s="1304"/>
      <c r="R94" s="1304"/>
      <c r="S94" s="1303">
        <f t="shared" ref="S94:T97" si="15">O94+Q94/2</f>
        <v>13</v>
      </c>
      <c r="T94" s="1304">
        <f t="shared" si="15"/>
        <v>13</v>
      </c>
    </row>
    <row r="95" spans="1:20" s="31" customFormat="1" ht="14.45" customHeight="1" x14ac:dyDescent="0.25">
      <c r="A95" s="1294" t="s">
        <v>141</v>
      </c>
      <c r="B95" s="1300" t="s">
        <v>1301</v>
      </c>
      <c r="C95" s="1301"/>
      <c r="D95" s="1302"/>
      <c r="E95" s="1302"/>
      <c r="F95" s="1302"/>
      <c r="G95" s="1302"/>
      <c r="H95" s="1303"/>
      <c r="I95" s="1303"/>
      <c r="J95" s="1303"/>
      <c r="K95" s="1303">
        <v>8</v>
      </c>
      <c r="L95" s="1303">
        <f>K95</f>
        <v>8</v>
      </c>
      <c r="M95" s="1304"/>
      <c r="N95" s="1304"/>
      <c r="O95" s="1303">
        <f>K95</f>
        <v>8</v>
      </c>
      <c r="P95" s="1304">
        <f>O95</f>
        <v>8</v>
      </c>
      <c r="Q95" s="1304"/>
      <c r="R95" s="1304"/>
      <c r="S95" s="1303">
        <f t="shared" si="15"/>
        <v>8</v>
      </c>
      <c r="T95" s="1304">
        <f t="shared" si="15"/>
        <v>8</v>
      </c>
    </row>
    <row r="96" spans="1:20" s="31" customFormat="1" ht="14.45" customHeight="1" x14ac:dyDescent="0.25">
      <c r="A96" s="1294"/>
      <c r="B96" s="1300" t="s">
        <v>1302</v>
      </c>
      <c r="C96" s="1301"/>
      <c r="D96" s="1302"/>
      <c r="E96" s="1302"/>
      <c r="F96" s="1302"/>
      <c r="G96" s="1302"/>
      <c r="H96" s="1303"/>
      <c r="I96" s="1303"/>
      <c r="J96" s="1303"/>
      <c r="K96" s="1303">
        <v>2</v>
      </c>
      <c r="L96" s="1303">
        <f>K96</f>
        <v>2</v>
      </c>
      <c r="M96" s="1304"/>
      <c r="N96" s="1304"/>
      <c r="O96" s="1303">
        <f>K96</f>
        <v>2</v>
      </c>
      <c r="P96" s="1304">
        <f>O96</f>
        <v>2</v>
      </c>
      <c r="Q96" s="1304"/>
      <c r="R96" s="1304"/>
      <c r="S96" s="1303">
        <f t="shared" si="15"/>
        <v>2</v>
      </c>
      <c r="T96" s="1304">
        <f t="shared" si="15"/>
        <v>2</v>
      </c>
    </row>
    <row r="97" spans="1:238" s="31" customFormat="1" ht="14.45" customHeight="1" x14ac:dyDescent="0.25">
      <c r="A97" s="1294" t="s">
        <v>142</v>
      </c>
      <c r="B97" s="1300" t="s">
        <v>1303</v>
      </c>
      <c r="C97" s="1301"/>
      <c r="D97" s="1302"/>
      <c r="E97" s="1302"/>
      <c r="F97" s="1302"/>
      <c r="G97" s="1302"/>
      <c r="H97" s="1303"/>
      <c r="I97" s="1303"/>
      <c r="J97" s="1303"/>
      <c r="K97" s="1303">
        <v>1</v>
      </c>
      <c r="L97" s="1303">
        <f>K97</f>
        <v>1</v>
      </c>
      <c r="M97" s="1304"/>
      <c r="N97" s="1304"/>
      <c r="O97" s="1303">
        <f>K97</f>
        <v>1</v>
      </c>
      <c r="P97" s="1304">
        <f>O97</f>
        <v>1</v>
      </c>
      <c r="Q97" s="1304"/>
      <c r="R97" s="1304"/>
      <c r="S97" s="1303">
        <f t="shared" si="15"/>
        <v>1</v>
      </c>
      <c r="T97" s="1304">
        <f t="shared" si="15"/>
        <v>1</v>
      </c>
    </row>
    <row r="98" spans="1:238" s="31" customFormat="1" ht="14.45" customHeight="1" x14ac:dyDescent="0.25">
      <c r="A98" s="1294" t="s">
        <v>143</v>
      </c>
      <c r="B98" s="1305" t="s">
        <v>1051</v>
      </c>
      <c r="C98" s="1306"/>
      <c r="D98" s="1307"/>
      <c r="E98" s="1307"/>
      <c r="F98" s="1307"/>
      <c r="G98" s="1307"/>
      <c r="H98" s="1303"/>
      <c r="I98" s="1303"/>
      <c r="J98" s="1303"/>
      <c r="K98" s="1304">
        <f>K94+K95+K97+K96</f>
        <v>24</v>
      </c>
      <c r="L98" s="1304">
        <f t="shared" ref="L98:T98" si="16">L94+L95+L97+L96</f>
        <v>24</v>
      </c>
      <c r="M98" s="1304">
        <f t="shared" si="16"/>
        <v>0</v>
      </c>
      <c r="N98" s="1304">
        <f t="shared" si="16"/>
        <v>0</v>
      </c>
      <c r="O98" s="1304">
        <f t="shared" si="16"/>
        <v>24</v>
      </c>
      <c r="P98" s="1304">
        <f t="shared" si="16"/>
        <v>24</v>
      </c>
      <c r="Q98" s="1304">
        <f t="shared" si="16"/>
        <v>0</v>
      </c>
      <c r="R98" s="1304">
        <f t="shared" si="16"/>
        <v>0</v>
      </c>
      <c r="S98" s="1308">
        <f t="shared" si="16"/>
        <v>24</v>
      </c>
      <c r="T98" s="1308">
        <f t="shared" si="16"/>
        <v>24</v>
      </c>
    </row>
    <row r="99" spans="1:238" ht="15.75" customHeight="1" x14ac:dyDescent="0.25">
      <c r="A99" s="1294"/>
      <c r="B99" s="1309"/>
      <c r="C99" s="1310"/>
      <c r="D99" s="1311"/>
      <c r="E99" s="1311"/>
      <c r="F99" s="1311"/>
      <c r="G99" s="1311"/>
      <c r="H99" s="1312"/>
      <c r="I99" s="1312"/>
      <c r="J99" s="1312"/>
      <c r="K99" s="1313"/>
      <c r="L99" s="1313"/>
      <c r="M99" s="1313"/>
      <c r="N99" s="1313"/>
      <c r="O99" s="1313"/>
      <c r="P99" s="1313"/>
      <c r="Q99" s="1313"/>
      <c r="R99" s="1313"/>
      <c r="S99" s="1313"/>
      <c r="T99" s="1314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</row>
    <row r="100" spans="1:238" s="31" customFormat="1" ht="14.45" customHeight="1" x14ac:dyDescent="0.25">
      <c r="A100" s="1249"/>
      <c r="B100" s="1198"/>
      <c r="C100" s="1199"/>
      <c r="D100" s="1200"/>
      <c r="E100" s="1200"/>
      <c r="F100" s="1200"/>
      <c r="G100" s="1200"/>
      <c r="H100" s="1216"/>
      <c r="I100" s="1216"/>
      <c r="J100" s="1216"/>
      <c r="K100" s="1216"/>
      <c r="L100" s="1216"/>
      <c r="M100" s="1216"/>
      <c r="N100" s="1216"/>
      <c r="O100" s="1216"/>
      <c r="P100" s="1205"/>
      <c r="Q100" s="1205"/>
      <c r="R100" s="1205"/>
      <c r="S100" s="1205"/>
      <c r="T100" s="1205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</row>
    <row r="101" spans="1:238" s="31" customFormat="1" ht="15.75" customHeight="1" x14ac:dyDescent="0.25">
      <c r="A101" s="1249" t="s">
        <v>145</v>
      </c>
      <c r="B101" s="1193" t="s">
        <v>661</v>
      </c>
      <c r="C101" s="1194">
        <f>C21+C36+C60</f>
        <v>0</v>
      </c>
      <c r="D101" s="1194">
        <f>D21+D36+D60</f>
        <v>0</v>
      </c>
      <c r="E101" s="1194"/>
      <c r="F101" s="1194"/>
      <c r="G101" s="1194">
        <f>G21+G36+G60</f>
        <v>0</v>
      </c>
      <c r="H101" s="1194">
        <f>H21+H36+H60</f>
        <v>0</v>
      </c>
      <c r="I101" s="1194">
        <f>I21+I36+I60</f>
        <v>0</v>
      </c>
      <c r="J101" s="1194">
        <f>J21+J36+J60</f>
        <v>0</v>
      </c>
      <c r="K101" s="1194">
        <f t="shared" ref="K101:T101" si="17">K21+K36+K98+K89</f>
        <v>189</v>
      </c>
      <c r="L101" s="1194">
        <f t="shared" si="17"/>
        <v>189</v>
      </c>
      <c r="M101" s="1194">
        <f t="shared" si="17"/>
        <v>0</v>
      </c>
      <c r="N101" s="1194">
        <f t="shared" si="17"/>
        <v>0</v>
      </c>
      <c r="O101" s="1194">
        <f t="shared" si="17"/>
        <v>189</v>
      </c>
      <c r="P101" s="1194">
        <f t="shared" si="17"/>
        <v>189</v>
      </c>
      <c r="Q101" s="1194">
        <f t="shared" si="17"/>
        <v>0</v>
      </c>
      <c r="R101" s="1194">
        <f t="shared" si="17"/>
        <v>0</v>
      </c>
      <c r="S101" s="1250">
        <f t="shared" si="17"/>
        <v>189</v>
      </c>
      <c r="T101" s="1250">
        <f t="shared" si="17"/>
        <v>189</v>
      </c>
    </row>
    <row r="102" spans="1:238" s="31" customFormat="1" ht="14.45" customHeight="1" x14ac:dyDescent="0.25">
      <c r="A102" s="1249"/>
      <c r="B102" s="1203"/>
      <c r="C102" s="1204"/>
      <c r="D102" s="1205"/>
      <c r="E102" s="1205"/>
      <c r="F102" s="1205"/>
      <c r="G102" s="1205"/>
      <c r="H102" s="1206"/>
      <c r="I102" s="1206"/>
      <c r="J102" s="1206"/>
      <c r="K102" s="1206"/>
      <c r="L102" s="1205"/>
      <c r="M102" s="1205"/>
      <c r="N102" s="1205"/>
      <c r="O102" s="1205"/>
      <c r="P102" s="1220"/>
      <c r="Q102" s="1251"/>
      <c r="R102" s="1251"/>
      <c r="S102" s="1252"/>
      <c r="T102" s="1252"/>
    </row>
    <row r="103" spans="1:238" ht="14.45" customHeight="1" x14ac:dyDescent="0.25">
      <c r="A103" s="1249" t="s">
        <v>148</v>
      </c>
      <c r="B103" s="1193" t="s">
        <v>585</v>
      </c>
      <c r="C103" s="1253">
        <f>C10+C12+C101</f>
        <v>9</v>
      </c>
      <c r="D103" s="1254">
        <f>D10+D12+D101</f>
        <v>9</v>
      </c>
      <c r="E103" s="1255">
        <f>E10++E12+E101</f>
        <v>0</v>
      </c>
      <c r="F103" s="1255">
        <f>F101+F12+F10</f>
        <v>0</v>
      </c>
      <c r="G103" s="1253">
        <f>G10+G12+G101</f>
        <v>39</v>
      </c>
      <c r="H103" s="1253">
        <f>H10+H12+H101</f>
        <v>39</v>
      </c>
      <c r="I103" s="1253">
        <f>I10+I12+I101</f>
        <v>0</v>
      </c>
      <c r="J103" s="1253">
        <f>J10+J12+J101</f>
        <v>0</v>
      </c>
      <c r="K103" s="1256">
        <f>K101</f>
        <v>189</v>
      </c>
      <c r="L103" s="1256">
        <f>L10+L12+L101</f>
        <v>189</v>
      </c>
      <c r="M103" s="1256">
        <f>M10+M12+M101</f>
        <v>0</v>
      </c>
      <c r="N103" s="1256">
        <f>N10+N12+N101</f>
        <v>0</v>
      </c>
      <c r="O103" s="1196">
        <f>C103+G103+K103</f>
        <v>237</v>
      </c>
      <c r="P103" s="1211">
        <f>P101+P12+P10</f>
        <v>237</v>
      </c>
      <c r="Q103" s="1257">
        <f>Q10+Q12+Q101</f>
        <v>0</v>
      </c>
      <c r="R103" s="1258">
        <f>R10+R12+R101</f>
        <v>0</v>
      </c>
      <c r="S103" s="1196">
        <f>S10+S12+S101</f>
        <v>237</v>
      </c>
      <c r="T103" s="1259">
        <f>T101+T12+T10</f>
        <v>237</v>
      </c>
      <c r="U103" s="500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</row>
    <row r="104" spans="1:238" ht="15.75" customHeight="1" x14ac:dyDescent="0.25">
      <c r="A104" s="1197"/>
      <c r="B104" s="1231"/>
      <c r="C104" s="1222"/>
      <c r="D104" s="1201"/>
      <c r="E104" s="1201"/>
      <c r="F104" s="1201"/>
      <c r="G104" s="1201"/>
      <c r="H104" s="1201"/>
      <c r="I104" s="1201"/>
      <c r="J104" s="1201"/>
      <c r="K104" s="1201"/>
      <c r="L104" s="1201"/>
      <c r="M104" s="1201"/>
      <c r="N104" s="1201"/>
      <c r="O104" s="1260"/>
      <c r="P104" s="1260"/>
      <c r="Q104" s="1261"/>
      <c r="R104" s="1261"/>
      <c r="S104" s="1261"/>
      <c r="T104" s="1261"/>
    </row>
    <row r="105" spans="1:238" ht="30" customHeight="1" x14ac:dyDescent="0.25">
      <c r="A105" s="1197"/>
      <c r="B105" s="1647" t="s">
        <v>1052</v>
      </c>
      <c r="C105" s="1647"/>
      <c r="D105" s="1647"/>
      <c r="E105" s="1647"/>
      <c r="F105" s="1647"/>
      <c r="G105" s="1647"/>
      <c r="H105" s="1647"/>
      <c r="I105" s="1647"/>
      <c r="J105" s="1647"/>
      <c r="K105" s="1647"/>
      <c r="L105" s="1647"/>
      <c r="M105" s="1647"/>
      <c r="N105" s="1647"/>
      <c r="O105" s="1647"/>
      <c r="P105" s="1647"/>
      <c r="Q105" s="1647"/>
      <c r="R105" s="1647"/>
      <c r="S105" s="1647"/>
      <c r="T105" s="1647"/>
      <c r="U105" s="430"/>
    </row>
    <row r="106" spans="1:238" ht="29.25" customHeight="1" x14ac:dyDescent="0.25">
      <c r="A106" s="1197"/>
      <c r="B106" s="1634" t="s">
        <v>1076</v>
      </c>
      <c r="C106" s="1634"/>
      <c r="D106" s="1634"/>
      <c r="E106" s="1634"/>
      <c r="F106" s="1634"/>
      <c r="G106" s="1634"/>
      <c r="H106" s="1634"/>
      <c r="I106" s="1634"/>
      <c r="J106" s="1634"/>
      <c r="K106" s="1634"/>
      <c r="L106" s="1634"/>
      <c r="M106" s="1634"/>
      <c r="N106" s="1634"/>
      <c r="O106" s="1634"/>
      <c r="P106" s="1634"/>
      <c r="Q106" s="1634"/>
      <c r="R106" s="1634"/>
      <c r="S106" s="1634"/>
      <c r="T106" s="1634"/>
      <c r="U106" s="430"/>
    </row>
    <row r="107" spans="1:238" ht="13.9" customHeight="1" x14ac:dyDescent="0.25">
      <c r="A107" s="1197"/>
      <c r="B107" s="1262" t="s">
        <v>274</v>
      </c>
      <c r="C107" s="1197"/>
      <c r="D107" s="1197"/>
      <c r="E107" s="1197"/>
      <c r="F107" s="1197"/>
      <c r="G107" s="1197"/>
      <c r="H107" s="1197"/>
      <c r="I107" s="1197"/>
      <c r="J107" s="1197"/>
      <c r="K107" s="1197"/>
      <c r="L107" s="1197"/>
      <c r="M107" s="1197"/>
      <c r="N107" s="1197"/>
      <c r="O107" s="1197"/>
      <c r="P107" s="1197"/>
      <c r="Q107" s="1197"/>
      <c r="R107" s="1197"/>
      <c r="S107" s="1197"/>
      <c r="T107" s="1197"/>
    </row>
    <row r="108" spans="1:238" ht="13.9" customHeight="1" x14ac:dyDescent="0.25">
      <c r="A108" s="1197"/>
      <c r="B108" s="1262"/>
      <c r="C108" s="1197"/>
      <c r="D108" s="1197"/>
      <c r="E108" s="1197"/>
      <c r="F108" s="1197"/>
      <c r="G108" s="1197"/>
      <c r="H108" s="1197"/>
      <c r="I108" s="1197"/>
      <c r="J108" s="1197"/>
      <c r="K108" s="1197"/>
      <c r="L108" s="1197"/>
      <c r="M108" s="1197"/>
      <c r="N108" s="1197"/>
      <c r="O108" s="1197"/>
      <c r="P108" s="1197"/>
      <c r="Q108" s="1197"/>
      <c r="R108" s="1197"/>
      <c r="S108" s="1197"/>
      <c r="T108" s="1197"/>
    </row>
  </sheetData>
  <sheetProtection selectLockedCells="1" selectUnlockedCells="1"/>
  <mergeCells count="29">
    <mergeCell ref="B106:T106"/>
    <mergeCell ref="K7:L7"/>
    <mergeCell ref="M7:N7"/>
    <mergeCell ref="O7:P7"/>
    <mergeCell ref="Q7:R7"/>
    <mergeCell ref="B105:T105"/>
    <mergeCell ref="A1:T1"/>
    <mergeCell ref="A2:T2"/>
    <mergeCell ref="A3:T3"/>
    <mergeCell ref="K5:L5"/>
    <mergeCell ref="M5:N5"/>
    <mergeCell ref="O5:P5"/>
    <mergeCell ref="Q5:R5"/>
    <mergeCell ref="S5:T5"/>
    <mergeCell ref="E5:F5"/>
    <mergeCell ref="G5:H5"/>
    <mergeCell ref="A5:A8"/>
    <mergeCell ref="C5:D5"/>
    <mergeCell ref="I5:J5"/>
    <mergeCell ref="E7:F7"/>
    <mergeCell ref="G7:H7"/>
    <mergeCell ref="C7:D7"/>
    <mergeCell ref="O6:R6"/>
    <mergeCell ref="S6:T7"/>
    <mergeCell ref="C6:F6"/>
    <mergeCell ref="G6:J6"/>
    <mergeCell ref="B6:B8"/>
    <mergeCell ref="I7:J7"/>
    <mergeCell ref="K6:N6"/>
  </mergeCells>
  <pageMargins left="0.39370078740157483" right="0.19685039370078741" top="0.19685039370078741" bottom="0.19685039370078741" header="0.51181102362204722" footer="0.51181102362204722"/>
  <pageSetup paperSize="9" scale="55" firstPageNumber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640" t="s">
        <v>1079</v>
      </c>
      <c r="B1" s="1640"/>
      <c r="C1" s="1640"/>
      <c r="D1" s="1640"/>
      <c r="E1" s="1640"/>
      <c r="F1" s="1640"/>
      <c r="G1" s="1640"/>
      <c r="H1" s="1640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</row>
    <row r="2" spans="1:35" x14ac:dyDescent="0.2">
      <c r="C2" t="s">
        <v>320</v>
      </c>
    </row>
    <row r="3" spans="1:35" ht="14.25" x14ac:dyDescent="0.2">
      <c r="A3" s="1648" t="s">
        <v>309</v>
      </c>
      <c r="B3" s="1648"/>
      <c r="C3" s="1648"/>
      <c r="D3" s="1648"/>
      <c r="E3" s="1648"/>
      <c r="F3" s="1648"/>
      <c r="G3" s="1648"/>
      <c r="H3" s="1648"/>
    </row>
    <row r="4" spans="1:35" ht="14.25" x14ac:dyDescent="0.2">
      <c r="A4" s="1648" t="s">
        <v>310</v>
      </c>
      <c r="B4" s="1648"/>
      <c r="C4" s="1648"/>
      <c r="D4" s="1648"/>
      <c r="E4" s="1648"/>
      <c r="F4" s="1648"/>
      <c r="G4" s="1648"/>
      <c r="H4" s="1648"/>
    </row>
    <row r="5" spans="1:35" ht="14.25" x14ac:dyDescent="0.2">
      <c r="A5" s="1649" t="s">
        <v>55</v>
      </c>
      <c r="B5" s="1649"/>
      <c r="C5" s="1649"/>
      <c r="D5" s="1649"/>
      <c r="E5" s="1649"/>
      <c r="F5" s="1649"/>
      <c r="G5" s="1649"/>
      <c r="H5" s="1649"/>
    </row>
    <row r="6" spans="1:35" ht="15" x14ac:dyDescent="0.25">
      <c r="A6" s="323"/>
      <c r="B6" s="544"/>
      <c r="C6" s="544"/>
      <c r="D6" s="544"/>
      <c r="E6" s="544"/>
    </row>
    <row r="7" spans="1:35" ht="14.25" customHeight="1" x14ac:dyDescent="0.2">
      <c r="A7" s="1650"/>
      <c r="B7" s="545" t="s">
        <v>57</v>
      </c>
      <c r="C7" s="545" t="s">
        <v>58</v>
      </c>
      <c r="D7" s="545" t="s">
        <v>59</v>
      </c>
      <c r="E7" s="545" t="s">
        <v>60</v>
      </c>
      <c r="F7" s="546" t="s">
        <v>461</v>
      </c>
      <c r="G7" s="546" t="s">
        <v>462</v>
      </c>
      <c r="H7" s="546" t="s">
        <v>463</v>
      </c>
    </row>
    <row r="8" spans="1:35" ht="14.25" customHeight="1" x14ac:dyDescent="0.2">
      <c r="A8" s="1650"/>
      <c r="B8" s="1651" t="s">
        <v>742</v>
      </c>
      <c r="C8" s="1652" t="s">
        <v>312</v>
      </c>
      <c r="D8" s="1653" t="s">
        <v>313</v>
      </c>
      <c r="E8" s="1654"/>
      <c r="F8" s="1655"/>
    </row>
    <row r="9" spans="1:35" ht="15.75" x14ac:dyDescent="0.25">
      <c r="A9" s="1650"/>
      <c r="B9" s="1651"/>
      <c r="C9" s="1652"/>
      <c r="D9" s="1653"/>
      <c r="E9" s="326">
        <v>2015</v>
      </c>
      <c r="F9" s="547">
        <v>2017</v>
      </c>
      <c r="G9" s="569">
        <v>2017</v>
      </c>
      <c r="H9" s="569">
        <v>2018</v>
      </c>
    </row>
    <row r="10" spans="1:35" ht="15" x14ac:dyDescent="0.25">
      <c r="A10" s="548"/>
      <c r="B10" s="549" t="s">
        <v>319</v>
      </c>
      <c r="C10" s="550"/>
      <c r="D10" s="570"/>
      <c r="E10" s="550"/>
    </row>
    <row r="11" spans="1:35" ht="15" x14ac:dyDescent="0.25">
      <c r="A11" s="551">
        <v>1</v>
      </c>
      <c r="B11" s="552" t="s">
        <v>743</v>
      </c>
      <c r="C11" s="553" t="s">
        <v>744</v>
      </c>
      <c r="D11" s="571" t="s">
        <v>325</v>
      </c>
      <c r="E11" s="554">
        <v>41</v>
      </c>
      <c r="F11" s="554">
        <v>50</v>
      </c>
      <c r="G11" s="554">
        <v>50</v>
      </c>
      <c r="H11" s="554">
        <v>50</v>
      </c>
    </row>
    <row r="12" spans="1:35" ht="15" x14ac:dyDescent="0.25">
      <c r="A12" s="551">
        <v>2</v>
      </c>
      <c r="B12" s="552" t="s">
        <v>745</v>
      </c>
      <c r="C12" s="553" t="s">
        <v>746</v>
      </c>
      <c r="D12" s="571" t="s">
        <v>325</v>
      </c>
      <c r="E12" s="554">
        <v>125</v>
      </c>
      <c r="F12" s="554">
        <v>147</v>
      </c>
      <c r="G12" s="554">
        <v>147</v>
      </c>
      <c r="H12" s="554">
        <v>147</v>
      </c>
    </row>
    <row r="13" spans="1:35" ht="25.5" customHeight="1" x14ac:dyDescent="0.25">
      <c r="A13" s="551">
        <v>3</v>
      </c>
      <c r="B13" s="555" t="s">
        <v>747</v>
      </c>
      <c r="C13" s="556" t="s">
        <v>704</v>
      </c>
      <c r="D13" s="572" t="s">
        <v>325</v>
      </c>
      <c r="E13" s="557"/>
      <c r="F13" s="557">
        <v>240</v>
      </c>
      <c r="G13" s="557">
        <v>240</v>
      </c>
      <c r="H13" s="557">
        <v>240</v>
      </c>
    </row>
    <row r="14" spans="1:35" ht="15" x14ac:dyDescent="0.25">
      <c r="A14" s="551">
        <v>4</v>
      </c>
      <c r="B14" s="552" t="s">
        <v>368</v>
      </c>
      <c r="C14" s="553" t="s">
        <v>748</v>
      </c>
      <c r="D14" s="571" t="s">
        <v>325</v>
      </c>
      <c r="E14" s="554">
        <v>330</v>
      </c>
      <c r="F14" s="554">
        <v>335</v>
      </c>
      <c r="G14" s="554">
        <v>335</v>
      </c>
      <c r="H14" s="554">
        <v>335</v>
      </c>
    </row>
    <row r="15" spans="1:35" ht="15" x14ac:dyDescent="0.25">
      <c r="A15" s="551">
        <v>5</v>
      </c>
      <c r="B15" s="552" t="s">
        <v>370</v>
      </c>
      <c r="C15" s="553" t="s">
        <v>749</v>
      </c>
      <c r="D15" s="571" t="s">
        <v>325</v>
      </c>
      <c r="E15" s="554">
        <v>930</v>
      </c>
      <c r="F15" s="554">
        <v>960</v>
      </c>
      <c r="G15" s="554">
        <v>960</v>
      </c>
      <c r="H15" s="554">
        <v>960</v>
      </c>
    </row>
    <row r="16" spans="1:35" ht="15" x14ac:dyDescent="0.25">
      <c r="A16" s="551">
        <v>6</v>
      </c>
      <c r="B16" s="552" t="s">
        <v>750</v>
      </c>
      <c r="C16" s="553" t="s">
        <v>751</v>
      </c>
      <c r="D16" s="571" t="s">
        <v>325</v>
      </c>
      <c r="E16" s="554"/>
      <c r="F16" s="554">
        <v>700</v>
      </c>
      <c r="G16" s="554">
        <v>700</v>
      </c>
      <c r="H16" s="554">
        <v>700</v>
      </c>
    </row>
    <row r="17" spans="1:8" ht="15" x14ac:dyDescent="0.25">
      <c r="A17" s="551">
        <v>7</v>
      </c>
      <c r="B17" s="553" t="s">
        <v>388</v>
      </c>
      <c r="C17" s="553" t="s">
        <v>752</v>
      </c>
      <c r="D17" s="573" t="s">
        <v>325</v>
      </c>
      <c r="E17" s="554">
        <v>225</v>
      </c>
      <c r="F17" s="554">
        <v>271</v>
      </c>
      <c r="G17" s="554">
        <v>271</v>
      </c>
      <c r="H17" s="554">
        <v>271</v>
      </c>
    </row>
    <row r="18" spans="1:8" ht="24.75" customHeight="1" x14ac:dyDescent="0.25">
      <c r="A18" s="551">
        <v>8</v>
      </c>
      <c r="B18" s="558" t="s">
        <v>753</v>
      </c>
      <c r="C18" s="559" t="s">
        <v>754</v>
      </c>
      <c r="D18" s="574" t="s">
        <v>325</v>
      </c>
      <c r="E18" s="560">
        <v>233</v>
      </c>
      <c r="F18" s="560">
        <v>236</v>
      </c>
      <c r="G18" s="560">
        <v>236</v>
      </c>
      <c r="H18" s="560">
        <v>236</v>
      </c>
    </row>
    <row r="19" spans="1:8" ht="20.25" customHeight="1" x14ac:dyDescent="0.25">
      <c r="A19" s="551">
        <v>9</v>
      </c>
      <c r="B19" s="558" t="s">
        <v>394</v>
      </c>
      <c r="C19" s="559" t="s">
        <v>755</v>
      </c>
      <c r="D19" s="574" t="s">
        <v>325</v>
      </c>
      <c r="E19" s="560">
        <v>250</v>
      </c>
      <c r="F19" s="560">
        <v>200</v>
      </c>
      <c r="G19" s="560">
        <v>200</v>
      </c>
      <c r="H19" s="560">
        <v>200</v>
      </c>
    </row>
    <row r="20" spans="1:8" ht="27.75" customHeight="1" x14ac:dyDescent="0.25">
      <c r="A20" s="551">
        <v>10</v>
      </c>
      <c r="B20" s="558" t="s">
        <v>405</v>
      </c>
      <c r="C20" s="559" t="s">
        <v>756</v>
      </c>
      <c r="D20" s="574" t="s">
        <v>325</v>
      </c>
      <c r="E20" s="560">
        <v>1800</v>
      </c>
      <c r="F20" s="560">
        <v>1800</v>
      </c>
      <c r="G20" s="560">
        <v>1800</v>
      </c>
      <c r="H20" s="560">
        <v>1800</v>
      </c>
    </row>
    <row r="21" spans="1:8" ht="28.5" customHeight="1" x14ac:dyDescent="0.25">
      <c r="A21" s="551">
        <v>11</v>
      </c>
      <c r="B21" s="558" t="s">
        <v>407</v>
      </c>
      <c r="C21" s="559" t="s">
        <v>757</v>
      </c>
      <c r="D21" s="574" t="s">
        <v>325</v>
      </c>
      <c r="E21" s="560">
        <v>2000</v>
      </c>
      <c r="F21" s="560">
        <v>2000</v>
      </c>
      <c r="G21" s="560">
        <v>2000</v>
      </c>
      <c r="H21" s="560">
        <v>2000</v>
      </c>
    </row>
    <row r="22" spans="1:8" ht="48" customHeight="1" x14ac:dyDescent="0.2">
      <c r="A22" s="575">
        <v>12</v>
      </c>
      <c r="B22" s="561" t="s">
        <v>758</v>
      </c>
      <c r="C22" s="576" t="s">
        <v>759</v>
      </c>
      <c r="D22" s="577" t="s">
        <v>325</v>
      </c>
      <c r="E22" s="578"/>
      <c r="F22" s="578">
        <v>97</v>
      </c>
      <c r="G22" s="578">
        <v>97</v>
      </c>
      <c r="H22" s="578">
        <v>97</v>
      </c>
    </row>
    <row r="23" spans="1:8" ht="30" customHeight="1" x14ac:dyDescent="0.25">
      <c r="A23" s="551">
        <v>13</v>
      </c>
      <c r="B23" s="558" t="s">
        <v>760</v>
      </c>
      <c r="C23" s="559" t="s">
        <v>761</v>
      </c>
      <c r="D23" s="574">
        <v>43465</v>
      </c>
      <c r="E23" s="560"/>
      <c r="F23" s="560">
        <v>991</v>
      </c>
      <c r="G23" s="560">
        <v>991</v>
      </c>
      <c r="H23" s="560">
        <v>991</v>
      </c>
    </row>
    <row r="24" spans="1:8" ht="33" customHeight="1" x14ac:dyDescent="0.25">
      <c r="A24" s="551">
        <v>14</v>
      </c>
      <c r="B24" s="558" t="s">
        <v>762</v>
      </c>
      <c r="C24" s="559" t="s">
        <v>763</v>
      </c>
      <c r="D24" s="574" t="s">
        <v>325</v>
      </c>
      <c r="E24" s="560"/>
      <c r="F24" s="560">
        <v>515</v>
      </c>
      <c r="G24" s="560">
        <v>515</v>
      </c>
      <c r="H24" s="560">
        <v>515</v>
      </c>
    </row>
    <row r="25" spans="1:8" ht="15" x14ac:dyDescent="0.25">
      <c r="A25" s="551">
        <v>17</v>
      </c>
      <c r="B25" s="563" t="s">
        <v>764</v>
      </c>
      <c r="C25" s="563" t="s">
        <v>765</v>
      </c>
      <c r="D25" s="579">
        <v>43009</v>
      </c>
      <c r="E25" s="564"/>
      <c r="F25" s="565">
        <v>3500</v>
      </c>
      <c r="G25" s="565">
        <v>3500</v>
      </c>
      <c r="H25" s="565">
        <v>3500</v>
      </c>
    </row>
    <row r="26" spans="1:8" ht="15" x14ac:dyDescent="0.25">
      <c r="A26" s="551">
        <v>22</v>
      </c>
      <c r="B26" s="563" t="s">
        <v>766</v>
      </c>
      <c r="C26" s="563" t="s">
        <v>767</v>
      </c>
      <c r="D26" s="579" t="s">
        <v>325</v>
      </c>
      <c r="E26" s="566"/>
      <c r="F26" s="565">
        <v>248</v>
      </c>
      <c r="G26" s="565">
        <v>248</v>
      </c>
      <c r="H26" s="565">
        <v>248</v>
      </c>
    </row>
    <row r="27" spans="1:8" ht="15.75" x14ac:dyDescent="0.25">
      <c r="A27" s="551">
        <v>23</v>
      </c>
      <c r="B27" s="563" t="s">
        <v>768</v>
      </c>
      <c r="C27" s="563" t="s">
        <v>769</v>
      </c>
      <c r="D27" s="568" t="s">
        <v>325</v>
      </c>
      <c r="E27" s="567"/>
      <c r="F27" s="565">
        <v>168</v>
      </c>
      <c r="G27" s="565">
        <v>168</v>
      </c>
      <c r="H27" s="565">
        <v>168</v>
      </c>
    </row>
    <row r="28" spans="1:8" ht="15.75" x14ac:dyDescent="0.25">
      <c r="A28" s="580">
        <v>24</v>
      </c>
      <c r="B28" s="563" t="s">
        <v>770</v>
      </c>
      <c r="C28" s="563" t="s">
        <v>771</v>
      </c>
      <c r="D28" s="568" t="s">
        <v>325</v>
      </c>
      <c r="E28" s="567"/>
      <c r="F28" s="565">
        <v>76</v>
      </c>
      <c r="G28" s="565">
        <v>76</v>
      </c>
      <c r="H28" s="565">
        <v>76</v>
      </c>
    </row>
    <row r="29" spans="1:8" ht="15.75" x14ac:dyDescent="0.25">
      <c r="A29" s="551">
        <v>25</v>
      </c>
      <c r="B29" s="567"/>
      <c r="C29" s="563" t="s">
        <v>772</v>
      </c>
      <c r="D29" s="568" t="s">
        <v>325</v>
      </c>
      <c r="E29" s="567"/>
      <c r="F29" s="562">
        <v>127</v>
      </c>
      <c r="G29" s="562">
        <v>127</v>
      </c>
      <c r="H29" s="562">
        <v>127</v>
      </c>
    </row>
    <row r="30" spans="1:8" ht="15" x14ac:dyDescent="0.25">
      <c r="A30" s="551">
        <v>26</v>
      </c>
      <c r="B30" s="563" t="s">
        <v>773</v>
      </c>
      <c r="C30" s="563" t="s">
        <v>774</v>
      </c>
      <c r="D30" s="579">
        <v>42855</v>
      </c>
      <c r="E30" s="566"/>
      <c r="F30" s="565">
        <v>1531</v>
      </c>
      <c r="G30" s="565">
        <v>1531</v>
      </c>
      <c r="H30" s="565">
        <v>1531</v>
      </c>
    </row>
    <row r="31" spans="1:8" ht="15" x14ac:dyDescent="0.25">
      <c r="A31" s="551">
        <v>27</v>
      </c>
      <c r="B31" s="563" t="s">
        <v>731</v>
      </c>
      <c r="C31" s="563" t="s">
        <v>775</v>
      </c>
      <c r="D31" s="579">
        <v>42855</v>
      </c>
      <c r="E31" s="566"/>
      <c r="F31" s="565">
        <v>3446</v>
      </c>
      <c r="G31" s="565">
        <v>3446</v>
      </c>
      <c r="H31" s="565">
        <v>3446</v>
      </c>
    </row>
    <row r="32" spans="1:8" ht="15" x14ac:dyDescent="0.25">
      <c r="A32" s="551">
        <v>28</v>
      </c>
      <c r="B32" s="563" t="s">
        <v>730</v>
      </c>
      <c r="C32" s="563" t="s">
        <v>776</v>
      </c>
      <c r="D32" s="579">
        <v>42825</v>
      </c>
      <c r="E32" s="566"/>
      <c r="F32" s="565">
        <v>1727</v>
      </c>
      <c r="G32" s="565">
        <v>1727</v>
      </c>
      <c r="H32" s="565">
        <v>1727</v>
      </c>
    </row>
    <row r="33" spans="1:8" ht="15" x14ac:dyDescent="0.25">
      <c r="A33" s="551">
        <v>29</v>
      </c>
      <c r="B33" s="563" t="s">
        <v>777</v>
      </c>
      <c r="C33" s="563" t="s">
        <v>778</v>
      </c>
      <c r="D33" s="579">
        <v>42916</v>
      </c>
      <c r="E33" s="564"/>
      <c r="F33" s="565">
        <v>1270</v>
      </c>
      <c r="G33" s="565">
        <v>1270</v>
      </c>
      <c r="H33" s="565">
        <v>1270</v>
      </c>
    </row>
    <row r="34" spans="1:8" ht="15" x14ac:dyDescent="0.25">
      <c r="A34" s="551">
        <v>30</v>
      </c>
      <c r="B34" s="563"/>
      <c r="C34" s="563" t="s">
        <v>779</v>
      </c>
      <c r="D34" s="579" t="s">
        <v>325</v>
      </c>
      <c r="E34" s="564"/>
      <c r="F34" s="565">
        <v>355</v>
      </c>
      <c r="G34" s="565">
        <v>355</v>
      </c>
      <c r="H34" s="565">
        <v>355</v>
      </c>
    </row>
    <row r="35" spans="1:8" ht="15" x14ac:dyDescent="0.25">
      <c r="A35" s="551">
        <v>31</v>
      </c>
      <c r="B35" s="563"/>
      <c r="C35" s="563" t="s">
        <v>780</v>
      </c>
      <c r="D35" s="579" t="s">
        <v>325</v>
      </c>
      <c r="E35" s="564"/>
      <c r="F35" s="565">
        <v>321</v>
      </c>
      <c r="G35" s="565">
        <v>321</v>
      </c>
      <c r="H35" s="565">
        <v>321</v>
      </c>
    </row>
    <row r="36" spans="1:8" ht="15" x14ac:dyDescent="0.25">
      <c r="A36" s="551">
        <v>32</v>
      </c>
      <c r="B36" s="563"/>
      <c r="C36" s="563" t="s">
        <v>781</v>
      </c>
      <c r="D36" s="579" t="s">
        <v>325</v>
      </c>
      <c r="E36" s="564"/>
      <c r="F36" s="565">
        <v>458</v>
      </c>
      <c r="G36" s="565">
        <v>458</v>
      </c>
      <c r="H36" s="565">
        <v>458</v>
      </c>
    </row>
    <row r="37" spans="1:8" ht="15" x14ac:dyDescent="0.25">
      <c r="A37" s="551">
        <v>33</v>
      </c>
      <c r="B37" s="563" t="s">
        <v>855</v>
      </c>
      <c r="C37" s="563" t="s">
        <v>856</v>
      </c>
      <c r="D37" s="579" t="s">
        <v>325</v>
      </c>
      <c r="E37" s="564"/>
      <c r="F37" s="565">
        <v>131</v>
      </c>
      <c r="G37" s="565">
        <v>131</v>
      </c>
      <c r="H37" s="565">
        <v>131</v>
      </c>
    </row>
    <row r="38" spans="1:8" ht="30" x14ac:dyDescent="0.25">
      <c r="A38" s="551">
        <v>34</v>
      </c>
      <c r="B38" s="563" t="s">
        <v>857</v>
      </c>
      <c r="C38" s="620" t="s">
        <v>858</v>
      </c>
      <c r="D38" s="579" t="s">
        <v>325</v>
      </c>
      <c r="E38" s="564"/>
      <c r="F38" s="565">
        <v>686</v>
      </c>
      <c r="G38" s="565">
        <v>686</v>
      </c>
      <c r="H38" s="565">
        <v>686</v>
      </c>
    </row>
    <row r="39" spans="1:8" ht="15" x14ac:dyDescent="0.25">
      <c r="A39" s="551"/>
      <c r="B39" s="563"/>
      <c r="C39" s="620" t="s">
        <v>859</v>
      </c>
      <c r="D39" s="579" t="s">
        <v>325</v>
      </c>
      <c r="E39" s="564"/>
      <c r="F39" s="565">
        <v>550</v>
      </c>
      <c r="G39" s="565">
        <v>550</v>
      </c>
      <c r="H39" s="565">
        <v>550</v>
      </c>
    </row>
    <row r="40" spans="1:8" ht="15" x14ac:dyDescent="0.25">
      <c r="A40" s="551"/>
      <c r="B40" s="563"/>
      <c r="C40" s="620" t="s">
        <v>854</v>
      </c>
      <c r="D40" s="579" t="s">
        <v>325</v>
      </c>
      <c r="E40" s="564"/>
      <c r="F40" s="565">
        <v>4000</v>
      </c>
      <c r="G40" s="565">
        <v>4000</v>
      </c>
      <c r="H40" s="565">
        <v>4000</v>
      </c>
    </row>
    <row r="41" spans="1:8" ht="15.75" x14ac:dyDescent="0.25">
      <c r="E41" s="581">
        <v>5934</v>
      </c>
      <c r="F41" s="581">
        <f>SUM(F11:F40)</f>
        <v>27136</v>
      </c>
      <c r="G41" s="581">
        <f>SUM(G11:G40)</f>
        <v>27136</v>
      </c>
      <c r="H41" s="581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0"/>
  <sheetViews>
    <sheetView zoomScale="120" workbookViewId="0">
      <selection activeCell="E32" sqref="E32"/>
    </sheetView>
  </sheetViews>
  <sheetFormatPr defaultColWidth="9.140625" defaultRowHeight="11.25" x14ac:dyDescent="0.2"/>
  <cols>
    <col min="1" max="1" width="4.85546875" style="114" customWidth="1"/>
    <col min="2" max="2" width="42.85546875" style="114" customWidth="1"/>
    <col min="3" max="3" width="11" style="115" customWidth="1"/>
    <col min="4" max="4" width="11.42578125" style="115" customWidth="1"/>
    <col min="5" max="5" width="12" style="115" customWidth="1"/>
    <col min="6" max="6" width="41.7109375" style="115" customWidth="1"/>
    <col min="7" max="7" width="11.140625" style="115" customWidth="1"/>
    <col min="8" max="8" width="12.85546875" style="115" customWidth="1"/>
    <col min="9" max="9" width="16" style="115" customWidth="1"/>
    <col min="10" max="22" width="9.140625" style="114"/>
    <col min="23" max="16384" width="9.140625" style="10"/>
  </cols>
  <sheetData>
    <row r="1" spans="1:22" ht="12.75" customHeight="1" x14ac:dyDescent="0.2">
      <c r="A1" s="1403" t="s">
        <v>1407</v>
      </c>
      <c r="B1" s="1403"/>
      <c r="C1" s="1403"/>
      <c r="D1" s="1403"/>
      <c r="E1" s="1403"/>
      <c r="F1" s="1403"/>
      <c r="G1" s="1403"/>
      <c r="H1" s="1403"/>
      <c r="I1" s="1403"/>
    </row>
    <row r="2" spans="1:22" x14ac:dyDescent="0.2">
      <c r="B2" s="491"/>
      <c r="I2" s="116"/>
    </row>
    <row r="3" spans="1:22" s="86" customFormat="1" x14ac:dyDescent="0.2">
      <c r="A3" s="117"/>
      <c r="B3" s="1407" t="s">
        <v>54</v>
      </c>
      <c r="C3" s="1407"/>
      <c r="D3" s="1407"/>
      <c r="E3" s="1407"/>
      <c r="F3" s="1407"/>
      <c r="G3" s="1407"/>
      <c r="H3" s="1407"/>
      <c r="I3" s="140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s="86" customFormat="1" x14ac:dyDescent="0.2">
      <c r="A4" s="117"/>
      <c r="B4" s="1407" t="s">
        <v>1318</v>
      </c>
      <c r="C4" s="1407"/>
      <c r="D4" s="1407"/>
      <c r="E4" s="1407"/>
      <c r="F4" s="1407"/>
      <c r="G4" s="1407"/>
      <c r="H4" s="1407"/>
      <c r="I4" s="140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s="86" customFormat="1" ht="12.75" customHeight="1" x14ac:dyDescent="0.2">
      <c r="A5" s="1408" t="s">
        <v>297</v>
      </c>
      <c r="B5" s="1408"/>
      <c r="C5" s="1408"/>
      <c r="D5" s="1408"/>
      <c r="E5" s="1408"/>
      <c r="F5" s="1408"/>
      <c r="G5" s="1408"/>
      <c r="H5" s="1408"/>
      <c r="I5" s="1408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86" customFormat="1" ht="12.75" customHeight="1" x14ac:dyDescent="0.2">
      <c r="A6" s="1435" t="s">
        <v>56</v>
      </c>
      <c r="B6" s="1414" t="s">
        <v>57</v>
      </c>
      <c r="C6" s="1431" t="s">
        <v>58</v>
      </c>
      <c r="D6" s="1431"/>
      <c r="E6" s="1432"/>
      <c r="F6" s="1" t="s">
        <v>59</v>
      </c>
      <c r="G6" s="1433" t="s">
        <v>60</v>
      </c>
      <c r="H6" s="1433"/>
      <c r="I6" s="1434"/>
      <c r="J6" s="117"/>
      <c r="K6" s="117"/>
      <c r="L6" s="117"/>
      <c r="M6" s="117"/>
      <c r="N6" s="117"/>
      <c r="O6" s="117"/>
      <c r="P6" s="117"/>
    </row>
    <row r="7" spans="1:22" s="86" customFormat="1" ht="12.75" customHeight="1" x14ac:dyDescent="0.2">
      <c r="A7" s="1436"/>
      <c r="B7" s="1414"/>
      <c r="C7" s="1404" t="s">
        <v>1136</v>
      </c>
      <c r="D7" s="1404"/>
      <c r="E7" s="1405"/>
      <c r="F7" s="2"/>
      <c r="G7" s="1404" t="s">
        <v>1136</v>
      </c>
      <c r="H7" s="1404"/>
      <c r="I7" s="1404"/>
      <c r="J7" s="117"/>
      <c r="K7" s="117"/>
      <c r="L7" s="117"/>
      <c r="M7" s="117"/>
    </row>
    <row r="8" spans="1:22" s="87" customFormat="1" ht="36.6" customHeight="1" x14ac:dyDescent="0.2">
      <c r="A8" s="1437"/>
      <c r="B8" s="118" t="s">
        <v>61</v>
      </c>
      <c r="C8" s="94" t="s">
        <v>62</v>
      </c>
      <c r="D8" s="94" t="s">
        <v>63</v>
      </c>
      <c r="E8" s="119" t="s">
        <v>64</v>
      </c>
      <c r="F8" s="120" t="s">
        <v>65</v>
      </c>
      <c r="G8" s="94" t="s">
        <v>62</v>
      </c>
      <c r="H8" s="94" t="s">
        <v>63</v>
      </c>
      <c r="I8" s="94" t="s">
        <v>64</v>
      </c>
      <c r="J8" s="502"/>
      <c r="K8" s="144"/>
      <c r="L8" s="144"/>
      <c r="M8" s="144"/>
    </row>
    <row r="9" spans="1:22" ht="11.45" customHeight="1" x14ac:dyDescent="0.2">
      <c r="A9" s="121">
        <v>1</v>
      </c>
      <c r="B9" s="122" t="s">
        <v>24</v>
      </c>
      <c r="C9" s="123"/>
      <c r="D9" s="123"/>
      <c r="E9" s="123"/>
      <c r="F9" s="97" t="s">
        <v>25</v>
      </c>
      <c r="G9" s="123"/>
      <c r="H9" s="123"/>
      <c r="I9" s="383"/>
      <c r="J9" s="141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21">
        <f t="shared" ref="A10:A45" si="0">A9+1</f>
        <v>2</v>
      </c>
      <c r="B10" s="124"/>
      <c r="C10" s="82"/>
      <c r="D10" s="82"/>
      <c r="E10" s="83"/>
      <c r="F10" s="98"/>
      <c r="G10" s="83"/>
      <c r="H10" s="83"/>
      <c r="I10" s="376"/>
      <c r="J10" s="141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21">
        <f t="shared" si="0"/>
        <v>3</v>
      </c>
      <c r="B11" s="124" t="s">
        <v>38</v>
      </c>
      <c r="C11" s="82">
        <f>Össz.önkor.mérleg.!C14</f>
        <v>0</v>
      </c>
      <c r="D11" s="82">
        <f>Össz.önkor.mérleg.!D14</f>
        <v>0</v>
      </c>
      <c r="E11" s="82">
        <f>Össz.önkor.mérleg.!E14</f>
        <v>0</v>
      </c>
      <c r="F11" s="99" t="s">
        <v>34</v>
      </c>
      <c r="G11" s="130"/>
      <c r="H11" s="130"/>
      <c r="I11" s="378"/>
      <c r="J11" s="141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21">
        <f t="shared" si="0"/>
        <v>4</v>
      </c>
      <c r="B12" s="124" t="s">
        <v>1038</v>
      </c>
      <c r="C12" s="82">
        <f>Össz.önkor.mérleg.!C15</f>
        <v>0</v>
      </c>
      <c r="D12" s="82">
        <f>Össz.önkor.mérleg.!D15</f>
        <v>0</v>
      </c>
      <c r="E12" s="82">
        <f>Össz.önkor.mérleg.!E15</f>
        <v>0</v>
      </c>
      <c r="F12" s="99"/>
      <c r="G12" s="130"/>
      <c r="H12" s="130"/>
      <c r="I12" s="378"/>
      <c r="J12" s="141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21">
        <f t="shared" si="0"/>
        <v>5</v>
      </c>
      <c r="B13" s="893" t="s">
        <v>1039</v>
      </c>
      <c r="C13" s="82">
        <f>Össz.önkor.mérleg.!C16</f>
        <v>1566466</v>
      </c>
      <c r="D13" s="82">
        <f>Össz.önkor.mérleg.!D16</f>
        <v>0</v>
      </c>
      <c r="E13" s="82">
        <f>Össz.önkor.mérleg.!E16</f>
        <v>1566466</v>
      </c>
      <c r="F13" s="99"/>
      <c r="G13" s="130"/>
      <c r="H13" s="130"/>
      <c r="I13" s="378"/>
      <c r="J13" s="141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21">
        <f t="shared" si="0"/>
        <v>6</v>
      </c>
      <c r="B14" s="114" t="s">
        <v>621</v>
      </c>
      <c r="C14" s="82"/>
      <c r="D14" s="125"/>
      <c r="E14" s="125"/>
      <c r="F14" s="98" t="s">
        <v>616</v>
      </c>
      <c r="G14" s="126">
        <f>Össz.önkor.mérleg.!G27</f>
        <v>2553715</v>
      </c>
      <c r="H14" s="126">
        <f>Össz.önkor.mérleg.!H27</f>
        <v>266941</v>
      </c>
      <c r="I14" s="378">
        <f>Össz.önkor.mérleg.!I27</f>
        <v>2820656</v>
      </c>
      <c r="J14" s="141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21">
        <f t="shared" si="0"/>
        <v>7</v>
      </c>
      <c r="B15" s="114" t="s">
        <v>43</v>
      </c>
      <c r="C15" s="82"/>
      <c r="D15" s="125"/>
      <c r="E15" s="125"/>
      <c r="F15" s="98" t="s">
        <v>31</v>
      </c>
      <c r="G15" s="126">
        <f>Össz.önkor.mérleg.!G28</f>
        <v>10615</v>
      </c>
      <c r="H15" s="126">
        <f>Össz.önkor.mérleg.!H28</f>
        <v>19050</v>
      </c>
      <c r="I15" s="378">
        <f>SUM(G15:H15)</f>
        <v>29665</v>
      </c>
      <c r="J15" s="141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21">
        <f t="shared" si="0"/>
        <v>8</v>
      </c>
      <c r="B16" s="124" t="s">
        <v>44</v>
      </c>
      <c r="C16" s="93">
        <f>Össz.önkor.mérleg.!C24</f>
        <v>2028</v>
      </c>
      <c r="D16" s="93">
        <f>Össz.önkor.mérleg.!D24</f>
        <v>0</v>
      </c>
      <c r="E16" s="82">
        <f>Össz.önkor.mérleg.!E24</f>
        <v>2028</v>
      </c>
      <c r="F16" s="98" t="s">
        <v>32</v>
      </c>
      <c r="G16" s="126"/>
      <c r="H16" s="126"/>
      <c r="I16" s="378"/>
      <c r="J16" s="141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21">
        <f t="shared" si="0"/>
        <v>9</v>
      </c>
      <c r="B17" s="124" t="s">
        <v>45</v>
      </c>
      <c r="C17" s="82">
        <f>Össz.önkor.mérleg.!C25</f>
        <v>0</v>
      </c>
      <c r="D17" s="82">
        <f>Össz.önkor.mérleg.!D25</f>
        <v>0</v>
      </c>
      <c r="E17" s="82">
        <f>Össz.önkor.mérleg.!E25</f>
        <v>0</v>
      </c>
      <c r="F17" s="98" t="s">
        <v>438</v>
      </c>
      <c r="G17" s="126">
        <f>Össz.önkor.mérleg.!G30</f>
        <v>0</v>
      </c>
      <c r="H17" s="126">
        <f>Össz.önkor.mérleg.!H30</f>
        <v>0</v>
      </c>
      <c r="I17" s="378">
        <f>SUM(G17:H17)</f>
        <v>0</v>
      </c>
      <c r="J17" s="141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21">
        <f t="shared" si="0"/>
        <v>10</v>
      </c>
      <c r="B18" s="124"/>
      <c r="C18" s="82"/>
      <c r="D18" s="82"/>
      <c r="E18" s="82"/>
      <c r="F18" s="98" t="s">
        <v>1048</v>
      </c>
      <c r="G18" s="126">
        <f>Össz.önkor.mérleg.!G31</f>
        <v>0</v>
      </c>
      <c r="H18" s="126">
        <f>Össz.önkor.mérleg.!H31</f>
        <v>5000</v>
      </c>
      <c r="I18" s="126">
        <f>Össz.önkor.mérleg.!I31</f>
        <v>5000</v>
      </c>
      <c r="J18" s="141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21">
        <f t="shared" si="0"/>
        <v>11</v>
      </c>
      <c r="B19" s="80" t="s">
        <v>46</v>
      </c>
      <c r="C19" s="82">
        <f>Össz.önkor.mérleg.!C21</f>
        <v>0</v>
      </c>
      <c r="D19" s="83">
        <f>Össz.önkor.mérleg.!D26</f>
        <v>750000</v>
      </c>
      <c r="E19" s="82">
        <f>Össz.önkor.mérleg.!E26</f>
        <v>750000</v>
      </c>
      <c r="F19" s="98" t="s">
        <v>1049</v>
      </c>
      <c r="G19" s="126">
        <f>Össz.önkor.mérleg.!G32</f>
        <v>28681</v>
      </c>
      <c r="H19" s="126">
        <f>Össz.önkor.mérleg.!H32</f>
        <v>16000</v>
      </c>
      <c r="I19" s="378">
        <f>Össz.önkor.mérleg.!I32</f>
        <v>44681</v>
      </c>
      <c r="J19" s="141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21">
        <f t="shared" si="0"/>
        <v>12</v>
      </c>
      <c r="B20" s="124" t="s">
        <v>47</v>
      </c>
      <c r="C20" s="82">
        <f>Össz.önkor.mérleg.!C22</f>
        <v>0</v>
      </c>
      <c r="D20" s="82">
        <f>Össz.önkor.mérleg.!D22</f>
        <v>0</v>
      </c>
      <c r="E20" s="82">
        <f>Össz.önkor.mérleg.!E22</f>
        <v>0</v>
      </c>
      <c r="F20" s="98" t="s">
        <v>1050</v>
      </c>
      <c r="G20" s="126">
        <f>Össz.önkor.mérleg.!G33</f>
        <v>0</v>
      </c>
      <c r="H20" s="126">
        <f>Össz.önkor.mérleg.!H33</f>
        <v>66939</v>
      </c>
      <c r="I20" s="378">
        <f>Össz.önkor.mérleg.!I33</f>
        <v>66939</v>
      </c>
      <c r="J20" s="141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21">
        <f t="shared" si="0"/>
        <v>13</v>
      </c>
      <c r="B21" s="124"/>
      <c r="C21" s="82"/>
      <c r="D21" s="83"/>
      <c r="E21" s="83"/>
      <c r="F21" s="133" t="s">
        <v>68</v>
      </c>
      <c r="G21" s="134">
        <f>SUM(G14:G20)</f>
        <v>2593011</v>
      </c>
      <c r="H21" s="134">
        <f>SUM(H14:H20)</f>
        <v>373930</v>
      </c>
      <c r="I21" s="380">
        <f>SUM(I14:I20)</f>
        <v>2966941</v>
      </c>
      <c r="J21" s="141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21">
        <f t="shared" si="0"/>
        <v>14</v>
      </c>
      <c r="B22" s="114" t="s">
        <v>622</v>
      </c>
      <c r="C22" s="83">
        <f>Össz.önkor.mérleg.!C30</f>
        <v>0</v>
      </c>
      <c r="D22" s="83">
        <f>Össz.önkor.mérleg.!D30</f>
        <v>3006</v>
      </c>
      <c r="E22" s="83">
        <f>Össz.önkor.mérleg.!E30</f>
        <v>3006</v>
      </c>
      <c r="F22" s="98"/>
      <c r="G22" s="126"/>
      <c r="H22" s="126"/>
      <c r="I22" s="376"/>
      <c r="J22" s="141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88" customFormat="1" x14ac:dyDescent="0.2">
      <c r="A23" s="121">
        <f t="shared" si="0"/>
        <v>15</v>
      </c>
      <c r="B23" s="114"/>
      <c r="C23" s="83"/>
      <c r="D23" s="83"/>
      <c r="E23" s="83"/>
      <c r="F23" s="128"/>
      <c r="G23" s="126"/>
      <c r="H23" s="126"/>
      <c r="I23" s="378"/>
      <c r="J23" s="453"/>
      <c r="K23" s="145"/>
      <c r="L23" s="145"/>
      <c r="M23" s="145"/>
    </row>
    <row r="24" spans="1:22" s="88" customFormat="1" x14ac:dyDescent="0.2">
      <c r="A24" s="121">
        <f t="shared" si="0"/>
        <v>16</v>
      </c>
      <c r="B24" s="131"/>
      <c r="C24" s="125"/>
      <c r="D24" s="125"/>
      <c r="E24" s="125"/>
      <c r="F24" s="128"/>
      <c r="G24" s="126"/>
      <c r="H24" s="126"/>
      <c r="I24" s="378"/>
      <c r="J24" s="453"/>
      <c r="K24" s="145"/>
      <c r="L24" s="145"/>
      <c r="M24" s="145"/>
    </row>
    <row r="25" spans="1:22" x14ac:dyDescent="0.2">
      <c r="A25" s="121">
        <f t="shared" si="0"/>
        <v>17</v>
      </c>
      <c r="B25" s="132" t="s">
        <v>67</v>
      </c>
      <c r="C25" s="89">
        <f>C12+C13+C16+C17+C19+C20+C22</f>
        <v>1568494</v>
      </c>
      <c r="D25" s="89">
        <f t="shared" ref="D25:E25" si="1">D12+D13+D16+D17+D19+D20+D22</f>
        <v>753006</v>
      </c>
      <c r="E25" s="89">
        <f t="shared" si="1"/>
        <v>2321500</v>
      </c>
      <c r="F25" s="129"/>
      <c r="G25" s="89"/>
      <c r="H25" s="89"/>
      <c r="I25" s="377"/>
      <c r="J25" s="141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21">
        <f t="shared" si="0"/>
        <v>18</v>
      </c>
      <c r="B26" s="135" t="s">
        <v>51</v>
      </c>
      <c r="C26" s="130">
        <f>SUM(C24:C25)</f>
        <v>1568494</v>
      </c>
      <c r="D26" s="130">
        <f>SUM(D24:D25)</f>
        <v>753006</v>
      </c>
      <c r="E26" s="130">
        <f>SUM(E24:E25)</f>
        <v>2321500</v>
      </c>
      <c r="F26" s="136" t="s">
        <v>69</v>
      </c>
      <c r="G26" s="130">
        <f>G25+G21</f>
        <v>2593011</v>
      </c>
      <c r="H26" s="130">
        <f>H25+H21</f>
        <v>373930</v>
      </c>
      <c r="I26" s="381">
        <f>I25+I21</f>
        <v>2966941</v>
      </c>
      <c r="J26" s="141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21">
        <f t="shared" si="0"/>
        <v>19</v>
      </c>
      <c r="B27" s="137"/>
      <c r="C27" s="126"/>
      <c r="D27" s="126"/>
      <c r="E27" s="126"/>
      <c r="F27" s="128"/>
      <c r="I27" s="378"/>
      <c r="J27" s="141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21">
        <f t="shared" si="0"/>
        <v>20</v>
      </c>
      <c r="B28" s="135" t="s">
        <v>623</v>
      </c>
      <c r="C28" s="130">
        <f>C26-G26</f>
        <v>-1024517</v>
      </c>
      <c r="D28" s="130">
        <f>D26-H26</f>
        <v>379076</v>
      </c>
      <c r="E28" s="501">
        <f>E26-I26</f>
        <v>-645441</v>
      </c>
      <c r="F28" s="128"/>
      <c r="I28" s="378"/>
      <c r="J28" s="141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21">
        <f t="shared" si="0"/>
        <v>21</v>
      </c>
      <c r="B29" s="1328" t="s">
        <v>1354</v>
      </c>
      <c r="C29" s="146">
        <f>-'működ. mérleg '!C27</f>
        <v>0</v>
      </c>
      <c r="D29" s="146">
        <v>-379076</v>
      </c>
      <c r="E29" s="146">
        <f>-'működ. mérleg '!E27</f>
        <v>-379076</v>
      </c>
      <c r="F29" s="128"/>
      <c r="I29" s="378"/>
      <c r="J29" s="141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21">
        <f t="shared" si="0"/>
        <v>22</v>
      </c>
      <c r="B30" s="91"/>
      <c r="C30" s="126"/>
      <c r="D30" s="126"/>
      <c r="E30" s="126">
        <f>C30+D30</f>
        <v>0</v>
      </c>
      <c r="F30" s="128"/>
      <c r="G30" s="126"/>
      <c r="H30" s="126"/>
      <c r="I30" s="378"/>
      <c r="J30" s="432"/>
      <c r="K30" s="140"/>
      <c r="L30" s="140"/>
      <c r="M30" s="140"/>
    </row>
    <row r="31" spans="1:22" s="11" customFormat="1" x14ac:dyDescent="0.2">
      <c r="A31" s="121">
        <f t="shared" si="0"/>
        <v>23</v>
      </c>
      <c r="B31" s="90" t="s">
        <v>53</v>
      </c>
      <c r="C31" s="90"/>
      <c r="D31" s="90"/>
      <c r="E31" s="90"/>
      <c r="F31" s="99" t="s">
        <v>33</v>
      </c>
      <c r="G31" s="130"/>
      <c r="H31" s="130"/>
      <c r="I31" s="381"/>
      <c r="J31" s="432"/>
      <c r="K31" s="140"/>
      <c r="L31" s="140"/>
      <c r="M31" s="140"/>
    </row>
    <row r="32" spans="1:22" s="11" customFormat="1" x14ac:dyDescent="0.2">
      <c r="A32" s="121">
        <f t="shared" si="0"/>
        <v>24</v>
      </c>
      <c r="B32" s="95" t="s">
        <v>665</v>
      </c>
      <c r="C32" s="90"/>
      <c r="D32" s="90"/>
      <c r="E32" s="90"/>
      <c r="F32" s="138" t="s">
        <v>4</v>
      </c>
      <c r="G32" s="139"/>
      <c r="H32" s="140"/>
      <c r="I32" s="382"/>
      <c r="J32" s="432"/>
      <c r="K32" s="140"/>
      <c r="L32" s="140"/>
      <c r="M32" s="140"/>
    </row>
    <row r="33" spans="1:22" s="11" customFormat="1" x14ac:dyDescent="0.2">
      <c r="A33" s="121">
        <f t="shared" si="0"/>
        <v>25</v>
      </c>
      <c r="B33" s="114" t="s">
        <v>944</v>
      </c>
      <c r="C33" s="83">
        <f>Össz.önkor.mérleg.!C41</f>
        <v>0</v>
      </c>
      <c r="D33" s="83">
        <f>Össz.önkor.mérleg.!D41</f>
        <v>0</v>
      </c>
      <c r="E33" s="83">
        <f>Össz.önkor.mérleg.!E41</f>
        <v>0</v>
      </c>
      <c r="F33" s="141" t="s">
        <v>3</v>
      </c>
      <c r="G33" s="130"/>
      <c r="H33" s="130"/>
      <c r="I33" s="381"/>
      <c r="J33" s="432"/>
      <c r="K33" s="140"/>
      <c r="L33" s="140"/>
      <c r="M33" s="140"/>
    </row>
    <row r="34" spans="1:22" x14ac:dyDescent="0.2">
      <c r="A34" s="121">
        <f t="shared" si="0"/>
        <v>26</v>
      </c>
      <c r="B34" s="82" t="s">
        <v>667</v>
      </c>
      <c r="C34" s="142"/>
      <c r="D34" s="96"/>
      <c r="E34" s="96">
        <f>SUM(C34:D34)</f>
        <v>0</v>
      </c>
      <c r="F34" s="98" t="s">
        <v>5</v>
      </c>
      <c r="G34" s="130"/>
      <c r="H34" s="130"/>
      <c r="I34" s="381"/>
      <c r="J34" s="141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21">
        <f t="shared" si="0"/>
        <v>27</v>
      </c>
      <c r="B35" s="82" t="s">
        <v>666</v>
      </c>
      <c r="C35" s="83"/>
      <c r="D35" s="83"/>
      <c r="E35" s="83"/>
      <c r="F35" s="98" t="s">
        <v>6</v>
      </c>
      <c r="G35" s="139"/>
      <c r="H35" s="139"/>
      <c r="I35" s="381"/>
      <c r="J35" s="141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21">
        <f t="shared" si="0"/>
        <v>28</v>
      </c>
      <c r="B36" s="82" t="s">
        <v>984</v>
      </c>
      <c r="C36" s="227">
        <f>-(C28+C33)-C30-C29</f>
        <v>1024517</v>
      </c>
      <c r="D36" s="227">
        <f t="shared" ref="D36:E36" si="2">-(D28+D33)-D30-D29</f>
        <v>0</v>
      </c>
      <c r="E36" s="227">
        <f t="shared" si="2"/>
        <v>1024517</v>
      </c>
      <c r="F36" s="98" t="s">
        <v>7</v>
      </c>
      <c r="G36" s="139"/>
      <c r="H36" s="139"/>
      <c r="I36" s="381"/>
      <c r="J36" s="141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21">
        <f t="shared" si="0"/>
        <v>29</v>
      </c>
      <c r="B37" s="83" t="s">
        <v>668</v>
      </c>
      <c r="C37" s="90"/>
      <c r="D37" s="90"/>
      <c r="E37" s="440"/>
      <c r="F37" s="98" t="s">
        <v>9</v>
      </c>
      <c r="G37" s="130"/>
      <c r="H37" s="130"/>
      <c r="I37" s="378"/>
      <c r="J37" s="141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21">
        <f t="shared" si="0"/>
        <v>30</v>
      </c>
      <c r="B38" s="83" t="s">
        <v>669</v>
      </c>
      <c r="C38" s="83"/>
      <c r="D38" s="83"/>
      <c r="E38" s="83"/>
      <c r="F38" s="98" t="s">
        <v>10</v>
      </c>
      <c r="G38" s="126"/>
      <c r="H38" s="126"/>
      <c r="I38" s="378"/>
      <c r="J38" s="141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21">
        <f t="shared" si="0"/>
        <v>31</v>
      </c>
      <c r="B39" s="82" t="s">
        <v>670</v>
      </c>
      <c r="C39" s="83"/>
      <c r="D39" s="83"/>
      <c r="E39" s="83"/>
      <c r="F39" s="98" t="s">
        <v>11</v>
      </c>
      <c r="G39" s="126"/>
      <c r="H39" s="126"/>
      <c r="I39" s="378"/>
      <c r="J39" s="141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21">
        <f t="shared" si="0"/>
        <v>32</v>
      </c>
      <c r="B40" s="82" t="s">
        <v>671</v>
      </c>
      <c r="C40" s="83"/>
      <c r="D40" s="83"/>
      <c r="E40" s="83"/>
      <c r="F40" s="98" t="s">
        <v>12</v>
      </c>
      <c r="G40" s="126"/>
      <c r="H40" s="126"/>
      <c r="I40" s="378"/>
      <c r="J40" s="141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21">
        <f t="shared" si="0"/>
        <v>33</v>
      </c>
      <c r="B41" s="82" t="s">
        <v>0</v>
      </c>
      <c r="C41" s="83"/>
      <c r="D41" s="83"/>
      <c r="E41" s="83"/>
      <c r="F41" s="98" t="s">
        <v>13</v>
      </c>
      <c r="G41" s="126"/>
      <c r="H41" s="126"/>
      <c r="I41" s="378"/>
      <c r="J41" s="141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21">
        <f t="shared" si="0"/>
        <v>34</v>
      </c>
      <c r="B42" s="82" t="s">
        <v>1</v>
      </c>
      <c r="C42" s="83"/>
      <c r="D42" s="83"/>
      <c r="E42" s="83"/>
      <c r="F42" s="98" t="s">
        <v>14</v>
      </c>
      <c r="G42" s="126"/>
      <c r="H42" s="126"/>
      <c r="I42" s="378"/>
      <c r="J42" s="141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21">
        <f t="shared" si="0"/>
        <v>35</v>
      </c>
      <c r="B43" s="82" t="s">
        <v>2</v>
      </c>
      <c r="C43" s="83"/>
      <c r="D43" s="83"/>
      <c r="E43" s="83"/>
      <c r="F43" s="98" t="s">
        <v>15</v>
      </c>
      <c r="G43" s="126"/>
      <c r="H43" s="126"/>
      <c r="I43" s="378"/>
      <c r="J43" s="141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21">
        <f t="shared" si="0"/>
        <v>36</v>
      </c>
      <c r="B44" s="135" t="s">
        <v>439</v>
      </c>
      <c r="C44" s="429">
        <f t="shared" ref="C44:D44" si="3">SUM(C31:C42)</f>
        <v>1024517</v>
      </c>
      <c r="D44" s="429">
        <f t="shared" si="3"/>
        <v>0</v>
      </c>
      <c r="E44" s="429">
        <f>SUM(E31:E42)</f>
        <v>1024517</v>
      </c>
      <c r="F44" s="99" t="s">
        <v>432</v>
      </c>
      <c r="G44" s="130">
        <f>SUM(G32:G43)</f>
        <v>0</v>
      </c>
      <c r="H44" s="130">
        <f>SUM(H32:H43)</f>
        <v>0</v>
      </c>
      <c r="I44" s="385">
        <f>SUM(I32:I43)</f>
        <v>0</v>
      </c>
      <c r="J44" s="141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897">
        <f t="shared" si="0"/>
        <v>37</v>
      </c>
      <c r="B45" s="898" t="s">
        <v>434</v>
      </c>
      <c r="C45" s="143">
        <f t="shared" ref="C45:D45" si="4">C26+C29+C44</f>
        <v>2593011</v>
      </c>
      <c r="D45" s="143">
        <f t="shared" si="4"/>
        <v>373930</v>
      </c>
      <c r="E45" s="143">
        <f>E26+E29+E44</f>
        <v>2966941</v>
      </c>
      <c r="F45" s="428" t="s">
        <v>433</v>
      </c>
      <c r="G45" s="871">
        <f>G26+G44</f>
        <v>2593011</v>
      </c>
      <c r="H45" s="871">
        <f>H26+H44</f>
        <v>373930</v>
      </c>
      <c r="I45" s="872">
        <f>I26+I44</f>
        <v>2966941</v>
      </c>
      <c r="J45" s="141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40"/>
      <c r="C46" s="139"/>
      <c r="D46" s="139"/>
      <c r="E46" s="139"/>
      <c r="F46" s="139"/>
      <c r="G46" s="139"/>
      <c r="H46" s="139"/>
      <c r="I46" s="139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26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99"/>
  <sheetViews>
    <sheetView workbookViewId="0">
      <selection activeCell="A8" sqref="A8:A10"/>
    </sheetView>
  </sheetViews>
  <sheetFormatPr defaultRowHeight="12.75" x14ac:dyDescent="0.2"/>
  <cols>
    <col min="1" max="1" width="9.140625" customWidth="1"/>
    <col min="2" max="2" width="21.42578125" customWidth="1"/>
    <col min="3" max="3" width="47.42578125" customWidth="1"/>
    <col min="4" max="4" width="16.5703125" customWidth="1"/>
    <col min="5" max="5" width="10.140625" bestFit="1" customWidth="1"/>
    <col min="6" max="7" width="10.42578125" bestFit="1" customWidth="1"/>
    <col min="8" max="8" width="10.140625" bestFit="1" customWidth="1"/>
  </cols>
  <sheetData>
    <row r="1" spans="1:8" ht="15" x14ac:dyDescent="0.25">
      <c r="A1" s="1632" t="s">
        <v>1358</v>
      </c>
      <c r="B1" s="1632"/>
      <c r="C1" s="1632"/>
      <c r="D1" s="1632"/>
      <c r="E1" s="1632"/>
      <c r="F1" s="1632"/>
      <c r="G1" s="1632"/>
      <c r="H1" s="1632"/>
    </row>
    <row r="2" spans="1:8" x14ac:dyDescent="0.2">
      <c r="A2" s="666"/>
      <c r="B2" s="666"/>
      <c r="C2" s="666"/>
      <c r="D2" s="1145"/>
      <c r="E2" s="666"/>
      <c r="F2" s="666"/>
      <c r="G2" s="666"/>
    </row>
    <row r="3" spans="1:8" x14ac:dyDescent="0.2">
      <c r="A3" s="1659" t="s">
        <v>77</v>
      </c>
      <c r="B3" s="1659"/>
      <c r="C3" s="1659"/>
      <c r="D3" s="1659"/>
      <c r="E3" s="1659"/>
      <c r="F3" s="1659"/>
      <c r="G3" s="1659"/>
    </row>
    <row r="4" spans="1:8" ht="14.25" x14ac:dyDescent="0.2">
      <c r="A4" s="1648" t="s">
        <v>309</v>
      </c>
      <c r="B4" s="1648"/>
      <c r="C4" s="1648"/>
      <c r="D4" s="1648"/>
      <c r="E4" s="1648"/>
      <c r="F4" s="1648"/>
      <c r="G4" s="1648"/>
    </row>
    <row r="5" spans="1:8" ht="14.25" x14ac:dyDescent="0.2">
      <c r="A5" s="1648" t="s">
        <v>1000</v>
      </c>
      <c r="B5" s="1648"/>
      <c r="C5" s="1648"/>
      <c r="D5" s="1648"/>
      <c r="E5" s="1648"/>
      <c r="F5" s="1648"/>
      <c r="G5" s="1648"/>
      <c r="H5" s="1648"/>
    </row>
    <row r="6" spans="1:8" ht="14.25" x14ac:dyDescent="0.2">
      <c r="A6" s="1649" t="s">
        <v>55</v>
      </c>
      <c r="B6" s="1649"/>
      <c r="C6" s="1649"/>
      <c r="D6" s="1649"/>
      <c r="E6" s="1649"/>
      <c r="F6" s="1649"/>
      <c r="G6" s="1649"/>
      <c r="H6" s="1649"/>
    </row>
    <row r="7" spans="1:8" ht="15" x14ac:dyDescent="0.25">
      <c r="A7" s="1144"/>
      <c r="B7" s="1146"/>
      <c r="C7" s="1146"/>
      <c r="D7" s="1146"/>
      <c r="E7" s="666"/>
      <c r="F7" s="666"/>
      <c r="G7" s="666"/>
    </row>
    <row r="8" spans="1:8" ht="14.25" customHeight="1" x14ac:dyDescent="0.2">
      <c r="A8" s="1656" t="s">
        <v>460</v>
      </c>
      <c r="B8" s="1147" t="s">
        <v>57</v>
      </c>
      <c r="C8" s="1147" t="s">
        <v>58</v>
      </c>
      <c r="D8" s="1147" t="s">
        <v>59</v>
      </c>
      <c r="E8" s="812" t="s">
        <v>461</v>
      </c>
      <c r="F8" s="812" t="s">
        <v>462</v>
      </c>
      <c r="G8" s="812" t="s">
        <v>463</v>
      </c>
      <c r="H8" s="1151" t="s">
        <v>580</v>
      </c>
    </row>
    <row r="9" spans="1:8" ht="14.25" customHeight="1" x14ac:dyDescent="0.2">
      <c r="A9" s="1656"/>
      <c r="B9" s="1657" t="s">
        <v>311</v>
      </c>
      <c r="C9" s="1658" t="s">
        <v>312</v>
      </c>
      <c r="D9" s="1658" t="s">
        <v>313</v>
      </c>
      <c r="E9" s="813"/>
      <c r="F9" s="814"/>
      <c r="G9" s="814"/>
    </row>
    <row r="10" spans="1:8" ht="14.25" customHeight="1" x14ac:dyDescent="0.2">
      <c r="A10" s="1656"/>
      <c r="B10" s="1657"/>
      <c r="C10" s="1658"/>
      <c r="D10" s="1658"/>
      <c r="E10" s="815" t="s">
        <v>1080</v>
      </c>
      <c r="F10" s="815" t="s">
        <v>1001</v>
      </c>
      <c r="G10" s="815" t="s">
        <v>1078</v>
      </c>
      <c r="H10" s="815" t="s">
        <v>1228</v>
      </c>
    </row>
    <row r="11" spans="1:8" ht="15" x14ac:dyDescent="0.25">
      <c r="A11" s="334"/>
      <c r="B11" s="370" t="s">
        <v>319</v>
      </c>
      <c r="C11" s="371"/>
      <c r="D11" s="371"/>
      <c r="E11" s="666"/>
      <c r="F11" s="666"/>
    </row>
    <row r="12" spans="1:8" ht="15" x14ac:dyDescent="0.25">
      <c r="A12" s="816">
        <v>1</v>
      </c>
      <c r="B12" s="817" t="s">
        <v>323</v>
      </c>
      <c r="C12" s="818" t="s">
        <v>322</v>
      </c>
      <c r="D12" s="819" t="s">
        <v>325</v>
      </c>
      <c r="E12" s="820">
        <v>300</v>
      </c>
      <c r="F12" s="820">
        <v>300</v>
      </c>
      <c r="G12" s="820">
        <v>300</v>
      </c>
      <c r="H12" s="820">
        <v>300</v>
      </c>
    </row>
    <row r="13" spans="1:8" ht="15" x14ac:dyDescent="0.25">
      <c r="A13" s="816">
        <v>2</v>
      </c>
      <c r="B13" s="821" t="s">
        <v>326</v>
      </c>
      <c r="C13" s="822" t="s">
        <v>327</v>
      </c>
      <c r="D13" s="819" t="s">
        <v>325</v>
      </c>
      <c r="E13" s="823">
        <v>100</v>
      </c>
      <c r="F13" s="823">
        <v>100</v>
      </c>
      <c r="G13" s="823">
        <v>100</v>
      </c>
      <c r="H13" s="823">
        <v>100</v>
      </c>
    </row>
    <row r="14" spans="1:8" ht="15" x14ac:dyDescent="0.25">
      <c r="A14" s="816">
        <v>3</v>
      </c>
      <c r="B14" s="821" t="s">
        <v>330</v>
      </c>
      <c r="C14" s="822" t="s">
        <v>698</v>
      </c>
      <c r="D14" s="819" t="s">
        <v>325</v>
      </c>
      <c r="E14" s="823">
        <v>24241</v>
      </c>
      <c r="F14" s="823">
        <v>24241</v>
      </c>
      <c r="G14" s="823">
        <v>24241</v>
      </c>
      <c r="H14" s="823">
        <v>24241</v>
      </c>
    </row>
    <row r="15" spans="1:8" ht="15" x14ac:dyDescent="0.25">
      <c r="A15" s="816">
        <v>4</v>
      </c>
      <c r="B15" s="821" t="s">
        <v>330</v>
      </c>
      <c r="C15" s="822" t="s">
        <v>699</v>
      </c>
      <c r="D15" s="819" t="s">
        <v>325</v>
      </c>
      <c r="E15" s="823">
        <v>27321</v>
      </c>
      <c r="F15" s="823">
        <v>27321</v>
      </c>
      <c r="G15" s="823">
        <v>27321</v>
      </c>
      <c r="H15" s="823">
        <v>27321</v>
      </c>
    </row>
    <row r="16" spans="1:8" ht="15" x14ac:dyDescent="0.25">
      <c r="A16" s="816">
        <v>5</v>
      </c>
      <c r="B16" s="821" t="s">
        <v>338</v>
      </c>
      <c r="C16" s="822" t="s">
        <v>339</v>
      </c>
      <c r="D16" s="819" t="s">
        <v>325</v>
      </c>
      <c r="E16" s="823">
        <v>10</v>
      </c>
      <c r="F16" s="823">
        <v>10</v>
      </c>
      <c r="G16" s="823">
        <v>10</v>
      </c>
      <c r="H16" s="823">
        <v>10</v>
      </c>
    </row>
    <row r="17" spans="1:18" ht="15" x14ac:dyDescent="0.25">
      <c r="A17" s="816">
        <v>6</v>
      </c>
      <c r="B17" s="1152"/>
      <c r="C17" s="1153"/>
      <c r="D17" s="824"/>
      <c r="E17" s="823"/>
      <c r="F17" s="823"/>
      <c r="G17" s="823"/>
      <c r="H17" s="823"/>
    </row>
    <row r="18" spans="1:18" ht="15" x14ac:dyDescent="0.25">
      <c r="A18" s="816">
        <v>7</v>
      </c>
      <c r="B18" s="821" t="s">
        <v>700</v>
      </c>
      <c r="C18" s="822" t="s">
        <v>701</v>
      </c>
      <c r="D18" s="824" t="s">
        <v>325</v>
      </c>
      <c r="E18" s="823">
        <v>900</v>
      </c>
      <c r="F18" s="823">
        <v>900</v>
      </c>
      <c r="G18" s="823">
        <v>900</v>
      </c>
      <c r="H18" s="823">
        <v>900</v>
      </c>
    </row>
    <row r="19" spans="1:18" ht="15" x14ac:dyDescent="0.25">
      <c r="A19" s="816">
        <v>8</v>
      </c>
      <c r="B19" s="821" t="s">
        <v>702</v>
      </c>
      <c r="C19" s="822" t="s">
        <v>703</v>
      </c>
      <c r="D19" s="824" t="s">
        <v>325</v>
      </c>
      <c r="E19" s="823">
        <v>1190</v>
      </c>
      <c r="F19" s="823">
        <v>1190</v>
      </c>
      <c r="G19" s="823">
        <v>1190</v>
      </c>
      <c r="H19" s="823">
        <v>1190</v>
      </c>
    </row>
    <row r="20" spans="1:18" ht="15" x14ac:dyDescent="0.25">
      <c r="A20" s="816">
        <v>9</v>
      </c>
      <c r="B20" s="821" t="s">
        <v>350</v>
      </c>
      <c r="C20" s="822" t="s">
        <v>1229</v>
      </c>
      <c r="D20" s="824" t="s">
        <v>325</v>
      </c>
      <c r="E20" s="823">
        <v>1600</v>
      </c>
      <c r="F20" s="823">
        <v>1600</v>
      </c>
      <c r="G20" s="823">
        <v>1600</v>
      </c>
      <c r="H20" s="823">
        <v>1600</v>
      </c>
    </row>
    <row r="21" spans="1:18" ht="31.5" customHeight="1" x14ac:dyDescent="0.25">
      <c r="A21" s="816">
        <v>10</v>
      </c>
      <c r="B21" s="825" t="s">
        <v>1230</v>
      </c>
      <c r="C21" s="826" t="s">
        <v>704</v>
      </c>
      <c r="D21" s="827" t="s">
        <v>325</v>
      </c>
      <c r="E21" s="828">
        <v>35</v>
      </c>
      <c r="F21" s="828">
        <v>35</v>
      </c>
      <c r="G21" s="828">
        <v>35</v>
      </c>
      <c r="H21" s="828">
        <v>35</v>
      </c>
    </row>
    <row r="22" spans="1:18" ht="15" x14ac:dyDescent="0.25">
      <c r="A22" s="816">
        <f>A21+1</f>
        <v>11</v>
      </c>
      <c r="B22" s="822"/>
      <c r="C22" s="822" t="s">
        <v>705</v>
      </c>
      <c r="D22" s="819"/>
      <c r="E22" s="823">
        <v>1844</v>
      </c>
      <c r="F22" s="823">
        <v>1844</v>
      </c>
      <c r="G22" s="823">
        <v>1844</v>
      </c>
      <c r="H22" s="823">
        <v>1844</v>
      </c>
    </row>
    <row r="23" spans="1:18" ht="15" x14ac:dyDescent="0.25">
      <c r="A23" s="816">
        <v>12</v>
      </c>
      <c r="B23" s="821" t="s">
        <v>1231</v>
      </c>
      <c r="C23" s="822" t="s">
        <v>912</v>
      </c>
      <c r="D23" s="824">
        <v>44196</v>
      </c>
      <c r="E23" s="823">
        <v>1143</v>
      </c>
      <c r="F23" s="823">
        <v>1143</v>
      </c>
      <c r="G23" s="823">
        <v>1143</v>
      </c>
      <c r="H23" s="823">
        <v>1143</v>
      </c>
    </row>
    <row r="24" spans="1:18" ht="31.5" customHeight="1" x14ac:dyDescent="0.25">
      <c r="A24" s="816">
        <f t="shared" ref="A24:A65" si="0">A23+1</f>
        <v>13</v>
      </c>
      <c r="B24" s="563" t="s">
        <v>374</v>
      </c>
      <c r="C24" s="829" t="s">
        <v>375</v>
      </c>
      <c r="D24" s="830" t="s">
        <v>325</v>
      </c>
      <c r="E24" s="831">
        <v>40</v>
      </c>
      <c r="F24" s="831">
        <v>40</v>
      </c>
      <c r="G24" s="831">
        <v>40</v>
      </c>
      <c r="H24" s="831">
        <v>40</v>
      </c>
    </row>
    <row r="25" spans="1:18" ht="30" customHeight="1" x14ac:dyDescent="0.25">
      <c r="A25" s="816">
        <f t="shared" si="0"/>
        <v>14</v>
      </c>
      <c r="B25" s="563" t="s">
        <v>378</v>
      </c>
      <c r="C25" s="829" t="s">
        <v>706</v>
      </c>
      <c r="D25" s="830" t="s">
        <v>325</v>
      </c>
      <c r="E25" s="832">
        <v>210</v>
      </c>
      <c r="F25" s="832">
        <v>210</v>
      </c>
      <c r="G25" s="832">
        <v>210</v>
      </c>
      <c r="H25" s="832">
        <v>210</v>
      </c>
    </row>
    <row r="26" spans="1:18" ht="27" customHeight="1" x14ac:dyDescent="0.25">
      <c r="A26" s="816">
        <f t="shared" si="0"/>
        <v>15</v>
      </c>
      <c r="B26" s="825" t="s">
        <v>380</v>
      </c>
      <c r="C26" s="826" t="s">
        <v>707</v>
      </c>
      <c r="D26" s="827" t="s">
        <v>325</v>
      </c>
      <c r="E26" s="828">
        <v>199</v>
      </c>
      <c r="F26" s="828">
        <v>199</v>
      </c>
      <c r="G26" s="828">
        <v>199</v>
      </c>
      <c r="H26" s="828">
        <v>199</v>
      </c>
    </row>
    <row r="27" spans="1:18" ht="26.25" customHeight="1" x14ac:dyDescent="0.25">
      <c r="A27" s="816">
        <f t="shared" si="0"/>
        <v>16</v>
      </c>
      <c r="B27" s="825" t="s">
        <v>382</v>
      </c>
      <c r="C27" s="826" t="s">
        <v>383</v>
      </c>
      <c r="D27" s="827" t="s">
        <v>325</v>
      </c>
      <c r="E27" s="828">
        <v>1863</v>
      </c>
      <c r="F27" s="828">
        <v>1863</v>
      </c>
      <c r="G27" s="828">
        <v>1863</v>
      </c>
      <c r="H27" s="828">
        <v>1863</v>
      </c>
    </row>
    <row r="28" spans="1:18" s="834" customFormat="1" ht="30" customHeight="1" x14ac:dyDescent="0.25">
      <c r="A28" s="816">
        <f t="shared" si="0"/>
        <v>17</v>
      </c>
      <c r="B28" s="563" t="s">
        <v>1002</v>
      </c>
      <c r="C28" s="833" t="s">
        <v>1232</v>
      </c>
      <c r="D28" s="830" t="s">
        <v>325</v>
      </c>
      <c r="E28" s="566">
        <v>5985</v>
      </c>
      <c r="F28" s="566">
        <v>5985</v>
      </c>
      <c r="G28" s="566">
        <v>5985</v>
      </c>
      <c r="H28" s="566">
        <v>5985</v>
      </c>
      <c r="I28" s="567"/>
      <c r="J28" s="567"/>
      <c r="K28" s="567"/>
      <c r="L28" s="567"/>
      <c r="M28" s="567"/>
      <c r="N28" s="567"/>
      <c r="O28" s="567"/>
      <c r="P28" s="567"/>
      <c r="Q28" s="567"/>
      <c r="R28" s="567"/>
    </row>
    <row r="29" spans="1:18" ht="15" x14ac:dyDescent="0.25">
      <c r="A29" s="816">
        <f t="shared" si="0"/>
        <v>18</v>
      </c>
      <c r="B29" s="822" t="s">
        <v>390</v>
      </c>
      <c r="C29" s="822" t="s">
        <v>708</v>
      </c>
      <c r="D29" s="819" t="s">
        <v>325</v>
      </c>
      <c r="E29" s="823">
        <v>36</v>
      </c>
      <c r="F29" s="823">
        <v>36</v>
      </c>
      <c r="G29" s="823">
        <v>36</v>
      </c>
      <c r="H29" s="823">
        <v>36</v>
      </c>
    </row>
    <row r="30" spans="1:18" ht="27" customHeight="1" x14ac:dyDescent="0.25">
      <c r="A30" s="816">
        <f t="shared" si="0"/>
        <v>19</v>
      </c>
      <c r="B30" s="620"/>
      <c r="C30" s="833" t="s">
        <v>709</v>
      </c>
      <c r="D30" s="830" t="s">
        <v>325</v>
      </c>
      <c r="E30" s="832">
        <v>15</v>
      </c>
      <c r="F30" s="832">
        <v>15</v>
      </c>
      <c r="G30" s="832">
        <v>15</v>
      </c>
      <c r="H30" s="832">
        <v>15</v>
      </c>
    </row>
    <row r="31" spans="1:18" ht="45" customHeight="1" x14ac:dyDescent="0.25">
      <c r="A31" s="816">
        <f>A30+1</f>
        <v>20</v>
      </c>
      <c r="B31" s="620" t="s">
        <v>1233</v>
      </c>
      <c r="C31" s="833" t="s">
        <v>1234</v>
      </c>
      <c r="D31" s="830">
        <v>47150</v>
      </c>
      <c r="E31" s="566">
        <v>3755</v>
      </c>
      <c r="F31" s="566">
        <v>3755</v>
      </c>
      <c r="G31" s="566">
        <v>3755</v>
      </c>
      <c r="H31" s="566">
        <v>3755</v>
      </c>
    </row>
    <row r="32" spans="1:18" ht="30.75" customHeight="1" x14ac:dyDescent="0.25">
      <c r="A32" s="816">
        <f t="shared" si="0"/>
        <v>21</v>
      </c>
      <c r="B32" s="563" t="s">
        <v>1235</v>
      </c>
      <c r="C32" s="833" t="s">
        <v>1003</v>
      </c>
      <c r="D32" s="830" t="s">
        <v>325</v>
      </c>
      <c r="E32" s="566">
        <v>1800</v>
      </c>
      <c r="F32" s="566">
        <v>1800</v>
      </c>
      <c r="G32" s="566">
        <v>1800</v>
      </c>
      <c r="H32" s="566">
        <v>1800</v>
      </c>
    </row>
    <row r="33" spans="1:18" s="834" customFormat="1" ht="27.75" customHeight="1" x14ac:dyDescent="0.25">
      <c r="A33" s="816">
        <f t="shared" si="0"/>
        <v>22</v>
      </c>
      <c r="B33" s="563" t="s">
        <v>1236</v>
      </c>
      <c r="C33" s="833" t="s">
        <v>1237</v>
      </c>
      <c r="D33" s="830" t="s">
        <v>325</v>
      </c>
      <c r="E33" s="566">
        <v>1500</v>
      </c>
      <c r="F33" s="566">
        <v>1500</v>
      </c>
      <c r="G33" s="566">
        <v>1500</v>
      </c>
      <c r="H33" s="566">
        <v>1500</v>
      </c>
      <c r="I33" s="567"/>
      <c r="J33" s="567"/>
      <c r="K33" s="567"/>
      <c r="L33" s="567"/>
      <c r="M33" s="567"/>
      <c r="N33" s="567"/>
      <c r="O33" s="567"/>
      <c r="P33" s="567"/>
      <c r="Q33" s="567"/>
      <c r="R33" s="567"/>
    </row>
    <row r="34" spans="1:18" ht="27.75" customHeight="1" x14ac:dyDescent="0.25">
      <c r="A34" s="816">
        <f t="shared" si="0"/>
        <v>23</v>
      </c>
      <c r="B34" s="563" t="s">
        <v>710</v>
      </c>
      <c r="C34" s="833" t="s">
        <v>711</v>
      </c>
      <c r="D34" s="830" t="s">
        <v>325</v>
      </c>
      <c r="E34" s="566">
        <v>30</v>
      </c>
      <c r="F34" s="566">
        <v>30</v>
      </c>
      <c r="G34" s="566">
        <v>30</v>
      </c>
      <c r="H34" s="566">
        <v>30</v>
      </c>
    </row>
    <row r="35" spans="1:18" ht="21.75" customHeight="1" x14ac:dyDescent="0.25">
      <c r="A35" s="816">
        <f t="shared" si="0"/>
        <v>24</v>
      </c>
      <c r="B35" s="563" t="s">
        <v>712</v>
      </c>
      <c r="C35" s="833" t="s">
        <v>713</v>
      </c>
      <c r="D35" s="830">
        <v>44196</v>
      </c>
      <c r="E35" s="566">
        <v>153</v>
      </c>
      <c r="F35" s="566">
        <v>153</v>
      </c>
      <c r="G35" s="566">
        <v>153</v>
      </c>
      <c r="H35" s="566">
        <v>153</v>
      </c>
    </row>
    <row r="36" spans="1:18" ht="24.75" customHeight="1" x14ac:dyDescent="0.25">
      <c r="A36" s="816">
        <f t="shared" si="0"/>
        <v>25</v>
      </c>
      <c r="B36" s="563" t="s">
        <v>714</v>
      </c>
      <c r="C36" s="833" t="s">
        <v>715</v>
      </c>
      <c r="D36" s="830" t="s">
        <v>325</v>
      </c>
      <c r="E36" s="566">
        <v>457</v>
      </c>
      <c r="F36" s="566">
        <v>457</v>
      </c>
      <c r="G36" s="566">
        <v>457</v>
      </c>
      <c r="H36" s="566">
        <v>457</v>
      </c>
    </row>
    <row r="37" spans="1:18" ht="28.5" customHeight="1" x14ac:dyDescent="0.25">
      <c r="A37" s="816">
        <f t="shared" si="0"/>
        <v>26</v>
      </c>
      <c r="B37" s="563" t="s">
        <v>716</v>
      </c>
      <c r="C37" s="833" t="s">
        <v>897</v>
      </c>
      <c r="D37" s="830" t="s">
        <v>325</v>
      </c>
      <c r="E37" s="566">
        <v>198</v>
      </c>
      <c r="F37" s="566">
        <v>198</v>
      </c>
      <c r="G37" s="566">
        <v>198</v>
      </c>
      <c r="H37" s="566">
        <v>198</v>
      </c>
    </row>
    <row r="38" spans="1:18" ht="36" customHeight="1" x14ac:dyDescent="0.25">
      <c r="A38" s="816">
        <f t="shared" si="0"/>
        <v>27</v>
      </c>
      <c r="B38" s="563" t="s">
        <v>717</v>
      </c>
      <c r="C38" s="833" t="s">
        <v>718</v>
      </c>
      <c r="D38" s="830" t="s">
        <v>325</v>
      </c>
      <c r="E38" s="566">
        <v>217</v>
      </c>
      <c r="F38" s="566">
        <v>217</v>
      </c>
      <c r="G38" s="566">
        <v>217</v>
      </c>
      <c r="H38" s="566">
        <v>217</v>
      </c>
    </row>
    <row r="39" spans="1:18" ht="26.25" customHeight="1" x14ac:dyDescent="0.25">
      <c r="A39" s="816">
        <f t="shared" si="0"/>
        <v>28</v>
      </c>
      <c r="B39" s="563" t="s">
        <v>1238</v>
      </c>
      <c r="C39" s="833" t="s">
        <v>719</v>
      </c>
      <c r="D39" s="830" t="s">
        <v>325</v>
      </c>
      <c r="E39" s="566">
        <v>1320</v>
      </c>
      <c r="F39" s="566">
        <v>1320</v>
      </c>
      <c r="G39" s="566">
        <v>1320</v>
      </c>
      <c r="H39" s="566">
        <v>1320</v>
      </c>
    </row>
    <row r="40" spans="1:18" ht="30.75" customHeight="1" x14ac:dyDescent="0.25">
      <c r="A40" s="816">
        <f t="shared" si="0"/>
        <v>29</v>
      </c>
      <c r="B40" s="563" t="s">
        <v>1239</v>
      </c>
      <c r="C40" s="833" t="s">
        <v>720</v>
      </c>
      <c r="D40" s="830">
        <v>45536</v>
      </c>
      <c r="E40" s="566">
        <v>3810</v>
      </c>
      <c r="F40" s="566">
        <v>3810</v>
      </c>
      <c r="G40" s="566">
        <v>3810</v>
      </c>
      <c r="H40" s="566">
        <v>3810</v>
      </c>
    </row>
    <row r="41" spans="1:18" ht="36" customHeight="1" x14ac:dyDescent="0.25">
      <c r="A41" s="816">
        <f t="shared" si="0"/>
        <v>30</v>
      </c>
      <c r="B41" s="835" t="s">
        <v>1240</v>
      </c>
      <c r="C41" s="833" t="s">
        <v>1241</v>
      </c>
      <c r="D41" s="830" t="s">
        <v>325</v>
      </c>
      <c r="E41" s="565">
        <v>2134</v>
      </c>
      <c r="F41" s="565">
        <v>2134</v>
      </c>
      <c r="G41" s="565">
        <v>2134</v>
      </c>
      <c r="H41" s="565">
        <v>2134</v>
      </c>
    </row>
    <row r="42" spans="1:18" ht="30" customHeight="1" x14ac:dyDescent="0.25">
      <c r="A42" s="816">
        <f t="shared" si="0"/>
        <v>31</v>
      </c>
      <c r="B42" s="835"/>
      <c r="C42" s="833" t="s">
        <v>721</v>
      </c>
      <c r="D42" s="830" t="s">
        <v>325</v>
      </c>
      <c r="E42" s="565">
        <v>230</v>
      </c>
      <c r="F42" s="565">
        <v>230</v>
      </c>
      <c r="G42" s="565">
        <v>230</v>
      </c>
      <c r="H42" s="565">
        <v>230</v>
      </c>
    </row>
    <row r="43" spans="1:18" ht="15" x14ac:dyDescent="0.25">
      <c r="A43" s="816">
        <v>32</v>
      </c>
      <c r="B43" s="563"/>
      <c r="C43" s="563"/>
      <c r="D43" s="1154"/>
      <c r="E43" s="1155"/>
      <c r="F43" s="1155"/>
      <c r="G43" s="1155"/>
      <c r="H43" s="1155"/>
      <c r="I43" s="1156"/>
    </row>
    <row r="44" spans="1:18" ht="15" x14ac:dyDescent="0.25">
      <c r="A44" s="816">
        <v>33</v>
      </c>
      <c r="B44" s="563" t="s">
        <v>1242</v>
      </c>
      <c r="C44" s="563" t="s">
        <v>722</v>
      </c>
      <c r="D44" s="830">
        <v>43890</v>
      </c>
      <c r="E44" s="565">
        <v>11117</v>
      </c>
      <c r="F44" s="565">
        <v>11117</v>
      </c>
      <c r="G44" s="565">
        <v>11117</v>
      </c>
      <c r="H44" s="565">
        <v>11117</v>
      </c>
    </row>
    <row r="45" spans="1:18" ht="15" x14ac:dyDescent="0.25">
      <c r="A45" s="816">
        <f t="shared" si="0"/>
        <v>34</v>
      </c>
      <c r="B45" s="563" t="s">
        <v>723</v>
      </c>
      <c r="C45" s="563" t="s">
        <v>724</v>
      </c>
      <c r="D45" s="830" t="s">
        <v>325</v>
      </c>
      <c r="E45" s="565">
        <v>5760</v>
      </c>
      <c r="F45" s="565">
        <v>5760</v>
      </c>
      <c r="G45" s="565">
        <v>5760</v>
      </c>
      <c r="H45" s="565">
        <v>5760</v>
      </c>
    </row>
    <row r="46" spans="1:18" ht="15" x14ac:dyDescent="0.25">
      <c r="A46" s="816">
        <f t="shared" si="0"/>
        <v>35</v>
      </c>
      <c r="B46" s="563"/>
      <c r="C46" s="1157"/>
      <c r="D46" s="830"/>
      <c r="E46" s="565"/>
      <c r="F46" s="565"/>
      <c r="G46" s="565"/>
      <c r="H46" s="565"/>
    </row>
    <row r="47" spans="1:18" ht="15" x14ac:dyDescent="0.25">
      <c r="A47" s="816">
        <f t="shared" si="0"/>
        <v>36</v>
      </c>
      <c r="B47" s="563" t="s">
        <v>1243</v>
      </c>
      <c r="C47" s="563" t="s">
        <v>725</v>
      </c>
      <c r="D47" s="830" t="s">
        <v>325</v>
      </c>
      <c r="E47" s="565">
        <v>0</v>
      </c>
      <c r="F47" s="565">
        <v>0</v>
      </c>
      <c r="G47" s="565">
        <v>0</v>
      </c>
      <c r="H47" s="565">
        <v>0</v>
      </c>
    </row>
    <row r="48" spans="1:18" ht="15" x14ac:dyDescent="0.25">
      <c r="A48" s="816">
        <f t="shared" si="0"/>
        <v>37</v>
      </c>
      <c r="B48" s="563" t="s">
        <v>726</v>
      </c>
      <c r="C48" s="563" t="s">
        <v>727</v>
      </c>
      <c r="D48" s="830" t="s">
        <v>325</v>
      </c>
      <c r="E48" s="565">
        <v>993</v>
      </c>
      <c r="F48" s="565">
        <v>993</v>
      </c>
      <c r="G48" s="565">
        <v>993</v>
      </c>
      <c r="H48" s="565">
        <v>993</v>
      </c>
    </row>
    <row r="49" spans="1:10" ht="30" x14ac:dyDescent="0.25">
      <c r="A49" s="816">
        <f t="shared" si="0"/>
        <v>38</v>
      </c>
      <c r="B49" s="835" t="s">
        <v>728</v>
      </c>
      <c r="C49" s="833" t="s">
        <v>729</v>
      </c>
      <c r="D49" s="830" t="s">
        <v>325</v>
      </c>
      <c r="E49" s="565">
        <v>38</v>
      </c>
      <c r="F49" s="565">
        <v>38</v>
      </c>
      <c r="G49" s="565">
        <v>38</v>
      </c>
      <c r="H49" s="565">
        <v>38</v>
      </c>
    </row>
    <row r="50" spans="1:10" ht="15" customHeight="1" x14ac:dyDescent="0.25">
      <c r="A50" s="816">
        <f t="shared" si="0"/>
        <v>39</v>
      </c>
      <c r="B50" s="563">
        <v>42794</v>
      </c>
      <c r="C50" s="563" t="s">
        <v>1244</v>
      </c>
      <c r="D50" s="830" t="s">
        <v>325</v>
      </c>
      <c r="E50" s="565">
        <v>212</v>
      </c>
      <c r="F50" s="565">
        <v>212</v>
      </c>
      <c r="G50" s="565">
        <v>212</v>
      </c>
      <c r="H50" s="565">
        <v>212</v>
      </c>
    </row>
    <row r="51" spans="1:10" ht="30" x14ac:dyDescent="0.25">
      <c r="A51" s="816">
        <v>40</v>
      </c>
      <c r="B51" s="563" t="s">
        <v>1245</v>
      </c>
      <c r="C51" s="620" t="s">
        <v>1246</v>
      </c>
      <c r="D51" s="830" t="s">
        <v>325</v>
      </c>
      <c r="E51" s="565">
        <v>711200</v>
      </c>
      <c r="F51" s="565">
        <v>711200</v>
      </c>
      <c r="G51" s="565">
        <v>711200</v>
      </c>
      <c r="H51" s="565">
        <v>711200</v>
      </c>
    </row>
    <row r="52" spans="1:10" ht="15" x14ac:dyDescent="0.25">
      <c r="A52" s="816">
        <v>41</v>
      </c>
      <c r="B52" s="563" t="s">
        <v>1247</v>
      </c>
      <c r="C52" s="563" t="s">
        <v>732</v>
      </c>
      <c r="D52" s="830" t="s">
        <v>325</v>
      </c>
      <c r="E52" s="565">
        <v>486</v>
      </c>
      <c r="F52" s="565">
        <v>486</v>
      </c>
      <c r="G52" s="565">
        <v>486</v>
      </c>
      <c r="H52" s="565">
        <v>486</v>
      </c>
    </row>
    <row r="53" spans="1:10" ht="15.75" x14ac:dyDescent="0.25">
      <c r="A53" s="816">
        <v>42</v>
      </c>
      <c r="B53" s="563"/>
      <c r="C53" s="563" t="s">
        <v>733</v>
      </c>
      <c r="D53" s="837" t="s">
        <v>325</v>
      </c>
      <c r="E53" s="565">
        <v>175</v>
      </c>
      <c r="F53" s="565">
        <v>175</v>
      </c>
      <c r="G53" s="565">
        <v>175</v>
      </c>
      <c r="H53" s="565">
        <v>175</v>
      </c>
    </row>
    <row r="54" spans="1:10" ht="15.75" x14ac:dyDescent="0.25">
      <c r="A54" s="816">
        <f t="shared" si="0"/>
        <v>43</v>
      </c>
      <c r="B54" s="836"/>
      <c r="C54" s="563" t="s">
        <v>734</v>
      </c>
      <c r="D54" s="837" t="s">
        <v>325</v>
      </c>
      <c r="E54" s="565">
        <v>55</v>
      </c>
      <c r="F54" s="565">
        <v>55</v>
      </c>
      <c r="G54" s="565">
        <v>55</v>
      </c>
      <c r="H54" s="565">
        <v>55</v>
      </c>
    </row>
    <row r="55" spans="1:10" ht="15" x14ac:dyDescent="0.25">
      <c r="A55" s="816">
        <f t="shared" si="0"/>
        <v>44</v>
      </c>
      <c r="B55" s="836"/>
      <c r="C55" s="563" t="s">
        <v>735</v>
      </c>
      <c r="D55" s="838">
        <v>45291</v>
      </c>
      <c r="E55" s="565">
        <v>19500</v>
      </c>
      <c r="F55" s="565">
        <v>19500</v>
      </c>
      <c r="G55" s="565">
        <v>19500</v>
      </c>
      <c r="H55" s="565">
        <v>19500</v>
      </c>
    </row>
    <row r="56" spans="1:10" ht="15.75" x14ac:dyDescent="0.25">
      <c r="A56" s="816">
        <f t="shared" si="0"/>
        <v>45</v>
      </c>
      <c r="B56" s="836"/>
      <c r="C56" s="563" t="s">
        <v>736</v>
      </c>
      <c r="D56" s="837" t="s">
        <v>325</v>
      </c>
      <c r="E56" s="565">
        <v>37</v>
      </c>
      <c r="F56" s="565">
        <v>37</v>
      </c>
      <c r="G56" s="565">
        <v>37</v>
      </c>
      <c r="H56" s="565">
        <v>37</v>
      </c>
    </row>
    <row r="57" spans="1:10" ht="15.75" x14ac:dyDescent="0.25">
      <c r="A57" s="816">
        <f t="shared" si="0"/>
        <v>46</v>
      </c>
      <c r="B57" s="836"/>
      <c r="C57" s="563" t="s">
        <v>737</v>
      </c>
      <c r="D57" s="837" t="s">
        <v>325</v>
      </c>
      <c r="E57" s="565">
        <v>53</v>
      </c>
      <c r="F57" s="565">
        <v>53</v>
      </c>
      <c r="G57" s="565">
        <v>53</v>
      </c>
      <c r="H57" s="565">
        <v>53</v>
      </c>
      <c r="J57" s="565"/>
    </row>
    <row r="58" spans="1:10" ht="15.75" x14ac:dyDescent="0.25">
      <c r="A58" s="816">
        <f t="shared" si="0"/>
        <v>47</v>
      </c>
      <c r="B58" s="836"/>
      <c r="C58" s="563" t="s">
        <v>738</v>
      </c>
      <c r="D58" s="837" t="s">
        <v>325</v>
      </c>
      <c r="E58" s="565">
        <v>104</v>
      </c>
      <c r="F58" s="565">
        <v>104</v>
      </c>
      <c r="G58" s="565">
        <v>104</v>
      </c>
      <c r="H58" s="565">
        <v>104</v>
      </c>
    </row>
    <row r="59" spans="1:10" ht="15.75" x14ac:dyDescent="0.25">
      <c r="A59" s="816">
        <f t="shared" si="0"/>
        <v>48</v>
      </c>
      <c r="B59" s="841"/>
      <c r="C59" s="563" t="s">
        <v>739</v>
      </c>
      <c r="D59" s="837" t="s">
        <v>325</v>
      </c>
      <c r="E59" s="565">
        <v>192</v>
      </c>
      <c r="F59" s="565">
        <v>192</v>
      </c>
      <c r="G59" s="565">
        <v>192</v>
      </c>
      <c r="H59" s="565">
        <v>192</v>
      </c>
    </row>
    <row r="60" spans="1:10" ht="15.75" x14ac:dyDescent="0.25">
      <c r="A60" s="816">
        <f t="shared" si="0"/>
        <v>49</v>
      </c>
      <c r="B60" s="841"/>
      <c r="C60" s="563" t="s">
        <v>740</v>
      </c>
      <c r="D60" s="837" t="s">
        <v>325</v>
      </c>
      <c r="E60" s="565">
        <v>134</v>
      </c>
      <c r="F60" s="565">
        <v>134</v>
      </c>
      <c r="G60" s="565">
        <v>134</v>
      </c>
      <c r="H60" s="565">
        <v>134</v>
      </c>
    </row>
    <row r="61" spans="1:10" ht="30" x14ac:dyDescent="0.25">
      <c r="A61" s="1158">
        <f t="shared" si="0"/>
        <v>50</v>
      </c>
      <c r="B61" s="1159"/>
      <c r="C61" s="620" t="s">
        <v>741</v>
      </c>
      <c r="D61" s="1160" t="s">
        <v>325</v>
      </c>
      <c r="E61" s="1161">
        <v>159</v>
      </c>
      <c r="F61" s="1161">
        <v>159</v>
      </c>
      <c r="G61" s="1161">
        <v>159</v>
      </c>
      <c r="H61" s="1161">
        <v>159</v>
      </c>
    </row>
    <row r="62" spans="1:10" ht="15" x14ac:dyDescent="0.25">
      <c r="A62" s="816">
        <f t="shared" si="0"/>
        <v>51</v>
      </c>
      <c r="B62" s="1162">
        <v>68360</v>
      </c>
      <c r="C62" s="563" t="s">
        <v>899</v>
      </c>
      <c r="D62" s="839" t="s">
        <v>325</v>
      </c>
      <c r="E62" s="565">
        <v>1844</v>
      </c>
      <c r="F62" s="565">
        <v>1844</v>
      </c>
      <c r="G62" s="565">
        <v>1844</v>
      </c>
      <c r="H62" s="565">
        <v>1844</v>
      </c>
    </row>
    <row r="63" spans="1:10" ht="30" x14ac:dyDescent="0.25">
      <c r="A63" s="1158">
        <f t="shared" si="0"/>
        <v>52</v>
      </c>
      <c r="B63" s="1163" t="s">
        <v>1248</v>
      </c>
      <c r="C63" s="620" t="s">
        <v>851</v>
      </c>
      <c r="D63" s="1164">
        <v>43830</v>
      </c>
      <c r="E63" s="1161">
        <v>25000</v>
      </c>
      <c r="F63" s="1161">
        <v>25000</v>
      </c>
      <c r="G63" s="1161">
        <v>25000</v>
      </c>
      <c r="H63" s="1161">
        <v>25000</v>
      </c>
    </row>
    <row r="64" spans="1:10" ht="15" x14ac:dyDescent="0.25">
      <c r="A64" s="816">
        <f t="shared" si="0"/>
        <v>53</v>
      </c>
      <c r="B64" s="840" t="s">
        <v>852</v>
      </c>
      <c r="C64" s="563" t="s">
        <v>853</v>
      </c>
      <c r="D64" s="839" t="s">
        <v>325</v>
      </c>
      <c r="E64" s="565">
        <v>31000</v>
      </c>
      <c r="F64" s="565">
        <v>31000</v>
      </c>
      <c r="G64" s="565">
        <v>31000</v>
      </c>
      <c r="H64" s="565">
        <v>31000</v>
      </c>
    </row>
    <row r="65" spans="1:10" ht="15" x14ac:dyDescent="0.25">
      <c r="A65" s="816">
        <f t="shared" si="0"/>
        <v>54</v>
      </c>
      <c r="B65" s="841"/>
      <c r="C65" s="563" t="s">
        <v>854</v>
      </c>
      <c r="D65" s="839" t="s">
        <v>325</v>
      </c>
      <c r="E65" s="565">
        <v>732</v>
      </c>
      <c r="F65" s="565">
        <v>732</v>
      </c>
      <c r="G65" s="565">
        <v>732</v>
      </c>
      <c r="H65" s="565">
        <v>732</v>
      </c>
    </row>
    <row r="66" spans="1:10" ht="30" x14ac:dyDescent="0.25">
      <c r="A66" s="1158">
        <v>56</v>
      </c>
      <c r="B66" s="1163" t="s">
        <v>913</v>
      </c>
      <c r="C66" s="620" t="s">
        <v>914</v>
      </c>
      <c r="D66" s="1165" t="s">
        <v>325</v>
      </c>
      <c r="E66" s="1161">
        <v>3277</v>
      </c>
      <c r="F66" s="1161">
        <v>3277</v>
      </c>
      <c r="G66" s="1161">
        <v>3277</v>
      </c>
      <c r="H66" s="1161">
        <v>3277</v>
      </c>
    </row>
    <row r="67" spans="1:10" ht="30" x14ac:dyDescent="0.25">
      <c r="A67" s="816">
        <v>57</v>
      </c>
      <c r="B67" s="840" t="s">
        <v>1004</v>
      </c>
      <c r="C67" s="620" t="s">
        <v>1005</v>
      </c>
      <c r="D67" s="839" t="s">
        <v>325</v>
      </c>
      <c r="E67" s="565">
        <v>600</v>
      </c>
      <c r="F67" s="565">
        <v>600</v>
      </c>
      <c r="G67" s="565">
        <v>600</v>
      </c>
      <c r="H67" s="565">
        <v>600</v>
      </c>
      <c r="I67" s="666"/>
      <c r="J67" s="666"/>
    </row>
    <row r="68" spans="1:10" ht="15" x14ac:dyDescent="0.25">
      <c r="A68" s="816">
        <v>58</v>
      </c>
      <c r="B68" s="1166">
        <v>42928</v>
      </c>
      <c r="C68" s="563" t="s">
        <v>1249</v>
      </c>
      <c r="D68" s="839" t="s">
        <v>325</v>
      </c>
      <c r="E68" s="565">
        <v>283</v>
      </c>
      <c r="F68" s="565">
        <v>283</v>
      </c>
      <c r="G68" s="565">
        <v>283</v>
      </c>
      <c r="H68" s="565">
        <v>283</v>
      </c>
      <c r="I68" s="842"/>
      <c r="J68" s="842"/>
    </row>
    <row r="69" spans="1:10" ht="15.75" x14ac:dyDescent="0.25">
      <c r="A69" s="816">
        <v>59</v>
      </c>
      <c r="B69" s="840" t="s">
        <v>1006</v>
      </c>
      <c r="C69" s="1167" t="s">
        <v>1007</v>
      </c>
      <c r="D69" s="838">
        <v>46727</v>
      </c>
      <c r="E69" s="565">
        <v>155395</v>
      </c>
      <c r="F69" s="565">
        <v>155395</v>
      </c>
      <c r="G69" s="565">
        <v>155395</v>
      </c>
      <c r="H69" s="565">
        <v>155395</v>
      </c>
      <c r="I69" s="842"/>
      <c r="J69" s="842"/>
    </row>
    <row r="70" spans="1:10" ht="15.75" x14ac:dyDescent="0.25">
      <c r="A70" s="816">
        <v>60</v>
      </c>
      <c r="B70" s="840" t="s">
        <v>1250</v>
      </c>
      <c r="C70" s="1167" t="s">
        <v>1008</v>
      </c>
      <c r="D70" s="1168" t="s">
        <v>325</v>
      </c>
      <c r="E70" s="565">
        <v>8534</v>
      </c>
      <c r="F70" s="565">
        <v>8534</v>
      </c>
      <c r="G70" s="565">
        <v>8534</v>
      </c>
      <c r="H70" s="565">
        <v>8534</v>
      </c>
      <c r="I70" s="842"/>
      <c r="J70" s="842"/>
    </row>
    <row r="71" spans="1:10" ht="15.75" x14ac:dyDescent="0.25">
      <c r="A71" s="816">
        <v>61</v>
      </c>
      <c r="B71" s="840" t="s">
        <v>1251</v>
      </c>
      <c r="C71" s="1167" t="s">
        <v>1009</v>
      </c>
      <c r="D71" s="838">
        <v>44105</v>
      </c>
      <c r="E71" s="565">
        <v>263</v>
      </c>
      <c r="F71" s="565">
        <v>0</v>
      </c>
      <c r="G71" s="565">
        <v>0</v>
      </c>
      <c r="H71" s="565">
        <v>0</v>
      </c>
      <c r="I71" s="1169"/>
      <c r="J71" s="1169"/>
    </row>
    <row r="72" spans="1:10" ht="15.75" x14ac:dyDescent="0.25">
      <c r="A72" s="816">
        <v>62</v>
      </c>
      <c r="B72" s="840" t="s">
        <v>1252</v>
      </c>
      <c r="C72" s="1167" t="s">
        <v>1253</v>
      </c>
      <c r="D72" s="837" t="s">
        <v>325</v>
      </c>
      <c r="E72" s="565">
        <v>900</v>
      </c>
      <c r="F72" s="565">
        <v>900</v>
      </c>
      <c r="G72" s="565">
        <v>900</v>
      </c>
      <c r="H72" s="565">
        <v>900</v>
      </c>
    </row>
    <row r="73" spans="1:10" ht="15.75" x14ac:dyDescent="0.25">
      <c r="A73" s="816">
        <v>63</v>
      </c>
      <c r="B73" s="840" t="s">
        <v>1254</v>
      </c>
      <c r="C73" s="1167" t="s">
        <v>1255</v>
      </c>
      <c r="D73" s="1168" t="s">
        <v>325</v>
      </c>
      <c r="E73" s="1170">
        <v>5760</v>
      </c>
      <c r="F73" s="1170">
        <v>5760</v>
      </c>
      <c r="G73" s="1170">
        <v>5760</v>
      </c>
      <c r="H73" s="1170">
        <v>5760</v>
      </c>
    </row>
    <row r="74" spans="1:10" ht="15.75" x14ac:dyDescent="0.25">
      <c r="A74" s="1171">
        <v>64</v>
      </c>
      <c r="B74" s="1172" t="s">
        <v>1256</v>
      </c>
      <c r="C74" s="1167" t="s">
        <v>1257</v>
      </c>
      <c r="D74" s="21" t="s">
        <v>325</v>
      </c>
      <c r="E74" s="1172">
        <v>217</v>
      </c>
      <c r="F74" s="1172">
        <v>217</v>
      </c>
      <c r="G74" s="1172">
        <v>217</v>
      </c>
      <c r="H74" s="1172">
        <v>217</v>
      </c>
      <c r="I74" s="4"/>
    </row>
    <row r="75" spans="1:10" ht="31.5" x14ac:dyDescent="0.25">
      <c r="A75" s="1171">
        <v>65</v>
      </c>
      <c r="B75" s="1173" t="s">
        <v>1258</v>
      </c>
      <c r="C75" s="1174" t="s">
        <v>1259</v>
      </c>
      <c r="D75" s="1175" t="s">
        <v>325</v>
      </c>
      <c r="E75" s="1176">
        <v>1524</v>
      </c>
      <c r="F75" s="1176">
        <v>1524</v>
      </c>
      <c r="G75" s="1176">
        <v>1524</v>
      </c>
      <c r="H75" s="1176">
        <v>1524</v>
      </c>
      <c r="I75" s="4"/>
    </row>
    <row r="76" spans="1:10" ht="15.75" x14ac:dyDescent="0.25">
      <c r="A76" s="1171">
        <v>66</v>
      </c>
      <c r="B76" s="1172" t="s">
        <v>1260</v>
      </c>
      <c r="C76" s="31" t="s">
        <v>1261</v>
      </c>
      <c r="D76" s="21" t="s">
        <v>325</v>
      </c>
      <c r="E76" s="1172">
        <v>671</v>
      </c>
      <c r="F76" s="1172">
        <v>671</v>
      </c>
      <c r="G76" s="1172">
        <v>671</v>
      </c>
      <c r="H76" s="1172">
        <v>671</v>
      </c>
      <c r="I76" s="4"/>
    </row>
    <row r="77" spans="1:10" ht="31.5" x14ac:dyDescent="0.25">
      <c r="A77" s="1171">
        <v>67</v>
      </c>
      <c r="B77" s="1173" t="s">
        <v>723</v>
      </c>
      <c r="C77" s="1174" t="s">
        <v>724</v>
      </c>
      <c r="D77" s="1175" t="s">
        <v>325</v>
      </c>
      <c r="E77" s="1161">
        <v>5760</v>
      </c>
      <c r="F77" s="1161">
        <v>5760</v>
      </c>
      <c r="G77" s="1161">
        <v>5760</v>
      </c>
      <c r="H77" s="1161">
        <v>5760</v>
      </c>
      <c r="I77" s="4"/>
    </row>
    <row r="78" spans="1:10" ht="30" x14ac:dyDescent="0.25">
      <c r="A78" s="1177">
        <v>68</v>
      </c>
      <c r="B78" s="1173" t="s">
        <v>1262</v>
      </c>
      <c r="C78" s="1173" t="s">
        <v>1263</v>
      </c>
      <c r="D78" s="1177" t="s">
        <v>325</v>
      </c>
      <c r="E78" s="1173">
        <v>200</v>
      </c>
      <c r="F78" s="1173">
        <v>200</v>
      </c>
      <c r="G78" s="1173">
        <v>200</v>
      </c>
      <c r="H78" s="1173">
        <v>200</v>
      </c>
    </row>
    <row r="79" spans="1:10" ht="15" x14ac:dyDescent="0.25">
      <c r="A79" s="1171">
        <v>69</v>
      </c>
      <c r="B79" s="1172" t="s">
        <v>1264</v>
      </c>
      <c r="C79" s="1172" t="s">
        <v>1265</v>
      </c>
      <c r="D79" s="1171" t="s">
        <v>325</v>
      </c>
      <c r="E79" s="1172">
        <v>55</v>
      </c>
      <c r="F79" s="1172">
        <v>55</v>
      </c>
      <c r="G79" s="1172">
        <v>55</v>
      </c>
      <c r="H79" s="1172">
        <v>55</v>
      </c>
    </row>
    <row r="80" spans="1:10" ht="30" x14ac:dyDescent="0.25">
      <c r="A80" s="1177">
        <v>70</v>
      </c>
      <c r="B80" s="1173" t="s">
        <v>1266</v>
      </c>
      <c r="C80" s="1173" t="s">
        <v>1267</v>
      </c>
      <c r="D80" s="1177" t="s">
        <v>325</v>
      </c>
      <c r="E80" s="1173">
        <v>31</v>
      </c>
      <c r="F80" s="1173">
        <v>31</v>
      </c>
      <c r="G80" s="1173">
        <v>31</v>
      </c>
      <c r="H80" s="1173">
        <v>31</v>
      </c>
    </row>
    <row r="81" spans="1:9" ht="15" x14ac:dyDescent="0.25">
      <c r="A81" s="1171">
        <v>71</v>
      </c>
      <c r="B81" s="1172" t="s">
        <v>1268</v>
      </c>
      <c r="C81" s="1172" t="s">
        <v>1269</v>
      </c>
      <c r="D81" s="1178">
        <v>44196</v>
      </c>
      <c r="E81" s="1172">
        <v>381</v>
      </c>
      <c r="F81" s="1172">
        <v>381</v>
      </c>
      <c r="G81" s="1172">
        <v>381</v>
      </c>
      <c r="H81" s="1172">
        <v>381</v>
      </c>
    </row>
    <row r="82" spans="1:9" ht="15" x14ac:dyDescent="0.25">
      <c r="A82" s="1171">
        <v>72</v>
      </c>
      <c r="B82" s="1172" t="s">
        <v>1270</v>
      </c>
      <c r="C82" s="1172" t="s">
        <v>1271</v>
      </c>
      <c r="D82" s="1178">
        <v>43982</v>
      </c>
      <c r="E82" s="565">
        <v>991</v>
      </c>
      <c r="F82" s="565">
        <v>991</v>
      </c>
      <c r="G82" s="565">
        <v>991</v>
      </c>
      <c r="H82" s="565">
        <v>991</v>
      </c>
    </row>
    <row r="83" spans="1:9" ht="15" x14ac:dyDescent="0.25">
      <c r="A83" s="1171">
        <v>72</v>
      </c>
      <c r="B83" s="1172" t="s">
        <v>1272</v>
      </c>
      <c r="C83" s="1172" t="s">
        <v>1273</v>
      </c>
      <c r="D83" s="1178">
        <v>44074</v>
      </c>
      <c r="E83" s="565">
        <v>2552</v>
      </c>
      <c r="F83" s="565">
        <v>2552</v>
      </c>
      <c r="G83" s="565">
        <v>2552</v>
      </c>
      <c r="H83" s="565">
        <v>2552</v>
      </c>
    </row>
    <row r="84" spans="1:9" ht="15" x14ac:dyDescent="0.25">
      <c r="A84" s="1171">
        <v>73</v>
      </c>
      <c r="B84" s="1172" t="s">
        <v>1274</v>
      </c>
      <c r="C84" s="1172" t="s">
        <v>1275</v>
      </c>
      <c r="D84" s="1178">
        <v>43830</v>
      </c>
      <c r="E84" s="1170">
        <v>2188</v>
      </c>
      <c r="F84" s="1170">
        <v>2188</v>
      </c>
      <c r="G84" s="1170">
        <v>2188</v>
      </c>
      <c r="H84" s="1170">
        <v>2188</v>
      </c>
    </row>
    <row r="85" spans="1:9" ht="15" x14ac:dyDescent="0.25">
      <c r="A85" s="1171">
        <v>74</v>
      </c>
      <c r="B85" s="1172" t="s">
        <v>1276</v>
      </c>
      <c r="C85" s="1172" t="s">
        <v>1277</v>
      </c>
      <c r="D85" s="1171" t="s">
        <v>325</v>
      </c>
      <c r="E85" s="1170">
        <v>1067</v>
      </c>
      <c r="F85" s="1170">
        <v>1067</v>
      </c>
      <c r="G85" s="1170">
        <v>1067</v>
      </c>
      <c r="H85" s="1170">
        <v>1067</v>
      </c>
    </row>
    <row r="86" spans="1:9" ht="15" x14ac:dyDescent="0.25">
      <c r="A86" s="1171">
        <v>75</v>
      </c>
      <c r="B86" s="1172" t="s">
        <v>1278</v>
      </c>
      <c r="C86" s="1172" t="s">
        <v>1279</v>
      </c>
      <c r="D86" s="1171" t="s">
        <v>325</v>
      </c>
      <c r="E86" s="1170">
        <v>3048</v>
      </c>
      <c r="F86" s="1170">
        <v>3048</v>
      </c>
      <c r="G86" s="1170">
        <v>3048</v>
      </c>
      <c r="H86" s="1170">
        <v>3048</v>
      </c>
    </row>
    <row r="87" spans="1:9" ht="30" x14ac:dyDescent="0.25">
      <c r="A87" s="1171">
        <v>76</v>
      </c>
      <c r="B87" s="1172" t="s">
        <v>1280</v>
      </c>
      <c r="C87" s="1173" t="s">
        <v>1281</v>
      </c>
      <c r="D87" s="1178">
        <v>44196</v>
      </c>
      <c r="E87" s="1170">
        <v>873</v>
      </c>
      <c r="F87" s="1172">
        <v>873</v>
      </c>
      <c r="G87" s="1172">
        <v>873</v>
      </c>
      <c r="H87" s="1172">
        <v>873</v>
      </c>
    </row>
    <row r="88" spans="1:9" ht="15" x14ac:dyDescent="0.25">
      <c r="A88" s="1171">
        <v>77</v>
      </c>
      <c r="B88" s="1172" t="s">
        <v>1282</v>
      </c>
      <c r="C88" s="1172" t="s">
        <v>1283</v>
      </c>
      <c r="D88" s="1178">
        <v>44196</v>
      </c>
      <c r="E88" s="565">
        <v>873</v>
      </c>
      <c r="F88" s="565">
        <v>873</v>
      </c>
      <c r="G88" s="565">
        <v>873</v>
      </c>
      <c r="H88" s="565">
        <v>873</v>
      </c>
    </row>
    <row r="89" spans="1:9" ht="30" x14ac:dyDescent="0.25">
      <c r="A89" s="1171">
        <v>78</v>
      </c>
      <c r="B89" s="1172" t="s">
        <v>1284</v>
      </c>
      <c r="C89" s="1173" t="s">
        <v>1285</v>
      </c>
      <c r="D89" s="1178">
        <v>44196</v>
      </c>
      <c r="E89" s="565">
        <v>873</v>
      </c>
      <c r="F89" s="565">
        <v>873</v>
      </c>
      <c r="G89" s="565">
        <v>873</v>
      </c>
      <c r="H89" s="565">
        <v>873</v>
      </c>
    </row>
    <row r="90" spans="1:9" ht="15" x14ac:dyDescent="0.25">
      <c r="A90" s="816">
        <v>67</v>
      </c>
      <c r="B90" s="840" t="s">
        <v>1286</v>
      </c>
      <c r="C90" s="563" t="s">
        <v>1287</v>
      </c>
      <c r="D90" s="838" t="s">
        <v>325</v>
      </c>
      <c r="E90" s="565">
        <v>800</v>
      </c>
      <c r="F90" s="565">
        <v>2400</v>
      </c>
      <c r="G90" s="565">
        <v>2400</v>
      </c>
      <c r="H90" s="565">
        <v>2400</v>
      </c>
    </row>
    <row r="91" spans="1:9" ht="47.25" x14ac:dyDescent="0.25">
      <c r="A91" s="816">
        <v>68</v>
      </c>
      <c r="B91" s="1179" t="s">
        <v>1288</v>
      </c>
      <c r="C91" s="31" t="s">
        <v>1289</v>
      </c>
      <c r="D91" s="1174" t="s">
        <v>1290</v>
      </c>
      <c r="E91" s="1176">
        <v>2280</v>
      </c>
      <c r="F91" s="1170">
        <v>2280</v>
      </c>
      <c r="G91" s="1170">
        <v>2280</v>
      </c>
      <c r="H91" s="1170">
        <v>2280</v>
      </c>
      <c r="I91" s="1180"/>
    </row>
    <row r="92" spans="1:9" ht="15.75" x14ac:dyDescent="0.25">
      <c r="A92" s="816">
        <v>69</v>
      </c>
      <c r="B92" s="840" t="s">
        <v>1291</v>
      </c>
      <c r="C92" s="1172" t="s">
        <v>1292</v>
      </c>
      <c r="D92" s="1181">
        <v>44561</v>
      </c>
      <c r="E92" s="1176">
        <v>254</v>
      </c>
      <c r="F92" s="1170">
        <v>297</v>
      </c>
      <c r="G92" s="1170">
        <v>297</v>
      </c>
      <c r="H92" s="1170">
        <v>297</v>
      </c>
      <c r="I92" s="1180"/>
    </row>
    <row r="93" spans="1:9" ht="15.75" x14ac:dyDescent="0.25">
      <c r="A93" s="816"/>
      <c r="B93" s="1179"/>
      <c r="C93" s="31"/>
      <c r="D93" s="1174"/>
      <c r="E93" s="1182"/>
      <c r="F93" s="34"/>
      <c r="G93" s="34"/>
      <c r="H93" s="34"/>
      <c r="I93" s="1180"/>
    </row>
    <row r="94" spans="1:9" ht="15.75" x14ac:dyDescent="0.25">
      <c r="A94" s="816"/>
      <c r="B94" s="1179"/>
      <c r="C94" s="31"/>
      <c r="D94" s="1174"/>
      <c r="E94" s="1182"/>
      <c r="F94" s="34"/>
      <c r="G94" s="34"/>
      <c r="H94" s="34"/>
      <c r="I94" s="1180"/>
    </row>
    <row r="95" spans="1:9" ht="15.75" x14ac:dyDescent="0.25">
      <c r="A95" s="816"/>
      <c r="B95" s="1179"/>
      <c r="C95" s="31"/>
      <c r="D95" s="1174"/>
      <c r="E95" s="1182"/>
      <c r="F95" s="34"/>
      <c r="G95" s="34"/>
      <c r="H95" s="34"/>
      <c r="I95" s="1180"/>
    </row>
    <row r="96" spans="1:9" ht="15.75" x14ac:dyDescent="0.25">
      <c r="A96" s="816"/>
      <c r="B96" s="1179"/>
      <c r="C96" s="31"/>
      <c r="D96" s="1174"/>
      <c r="E96" s="1182"/>
      <c r="F96" s="34"/>
      <c r="G96" s="34"/>
      <c r="H96" s="34"/>
      <c r="I96" s="1180"/>
    </row>
    <row r="97" spans="1:9" ht="15.75" x14ac:dyDescent="0.25">
      <c r="A97" s="816"/>
      <c r="B97" s="1179"/>
      <c r="C97" s="31"/>
      <c r="D97" s="1174"/>
      <c r="E97" s="1182"/>
      <c r="F97" s="34"/>
      <c r="G97" s="34"/>
      <c r="H97" s="34"/>
      <c r="I97" s="1180"/>
    </row>
    <row r="98" spans="1:9" ht="15.75" x14ac:dyDescent="0.25">
      <c r="B98" s="1179"/>
      <c r="D98" s="1172"/>
      <c r="E98" s="843">
        <f>SUM(E12:E97)</f>
        <v>1091077</v>
      </c>
      <c r="F98" s="1183">
        <f>SUM(F12:F92)</f>
        <v>1092457</v>
      </c>
      <c r="G98" s="1183">
        <f>SUM(G12:G92)</f>
        <v>1092457</v>
      </c>
      <c r="H98" s="1183">
        <f>SUM(H12:H92)</f>
        <v>1092457</v>
      </c>
    </row>
    <row r="99" spans="1:9" ht="14.25" x14ac:dyDescent="0.2">
      <c r="E99" s="843"/>
      <c r="F99" s="1183"/>
      <c r="G99" s="1183"/>
    </row>
  </sheetData>
  <mergeCells count="9">
    <mergeCell ref="A1:H1"/>
    <mergeCell ref="A5:H5"/>
    <mergeCell ref="A6:H6"/>
    <mergeCell ref="A8:A10"/>
    <mergeCell ref="B9:B10"/>
    <mergeCell ref="C9:C10"/>
    <mergeCell ref="D9:D10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24" customWidth="1"/>
    <col min="2" max="2" width="27.7109375" style="336" customWidth="1"/>
    <col min="3" max="3" width="47.85546875" style="336" customWidth="1"/>
    <col min="4" max="4" width="9.140625" style="325"/>
    <col min="5" max="5" width="8.7109375" style="336" bestFit="1" customWidth="1"/>
    <col min="6" max="6" width="8.42578125" style="336" bestFit="1" customWidth="1"/>
    <col min="7" max="7" width="8.7109375" style="336" customWidth="1"/>
    <col min="8" max="8" width="8.85546875" style="336" customWidth="1"/>
    <col min="9" max="9" width="9.140625" style="336"/>
    <col min="10" max="16384" width="9.140625" style="327"/>
  </cols>
  <sheetData>
    <row r="1" spans="1:11" ht="14.1" customHeight="1" x14ac:dyDescent="0.25">
      <c r="C1" s="1664" t="s">
        <v>155</v>
      </c>
      <c r="D1" s="1664"/>
      <c r="E1" s="1664"/>
      <c r="F1" s="1664"/>
      <c r="G1" s="1664"/>
      <c r="H1" s="1664"/>
    </row>
    <row r="2" spans="1:11" ht="20.100000000000001" customHeight="1" x14ac:dyDescent="0.25">
      <c r="A2" s="1648" t="s">
        <v>309</v>
      </c>
      <c r="B2" s="1665"/>
      <c r="C2" s="1665"/>
      <c r="D2" s="1665"/>
      <c r="E2" s="1665"/>
      <c r="F2" s="1665"/>
      <c r="G2" s="1665"/>
      <c r="H2" s="1665"/>
    </row>
    <row r="3" spans="1:11" ht="14.1" customHeight="1" x14ac:dyDescent="0.25">
      <c r="A3" s="1648" t="s">
        <v>310</v>
      </c>
      <c r="B3" s="1665"/>
      <c r="C3" s="1665"/>
      <c r="D3" s="1665"/>
      <c r="E3" s="1665"/>
      <c r="F3" s="1665"/>
      <c r="G3" s="1665"/>
      <c r="H3" s="1665"/>
    </row>
    <row r="4" spans="1:11" ht="14.1" customHeight="1" x14ac:dyDescent="0.25">
      <c r="A4" s="1649" t="s">
        <v>55</v>
      </c>
      <c r="B4" s="1666"/>
      <c r="C4" s="1666"/>
      <c r="D4" s="1666"/>
      <c r="E4" s="1666"/>
      <c r="F4" s="1666"/>
      <c r="G4" s="1666"/>
      <c r="H4" s="1666"/>
    </row>
    <row r="5" spans="1:11" ht="14.1" customHeight="1" x14ac:dyDescent="0.25">
      <c r="A5" s="323"/>
      <c r="B5" s="324"/>
      <c r="C5" s="324"/>
      <c r="D5" s="324"/>
      <c r="E5" s="324"/>
      <c r="F5" s="324"/>
      <c r="G5" s="324"/>
      <c r="H5" s="324"/>
    </row>
    <row r="6" spans="1:11" ht="14.1" customHeight="1" x14ac:dyDescent="0.25">
      <c r="A6" s="1667"/>
      <c r="B6" s="326" t="s">
        <v>57</v>
      </c>
      <c r="C6" s="326" t="s">
        <v>58</v>
      </c>
      <c r="D6" s="326" t="s">
        <v>59</v>
      </c>
      <c r="E6" s="326" t="s">
        <v>60</v>
      </c>
      <c r="F6" s="326" t="s">
        <v>461</v>
      </c>
      <c r="G6" s="326" t="s">
        <v>462</v>
      </c>
      <c r="H6" s="326" t="s">
        <v>463</v>
      </c>
      <c r="I6" s="326" t="s">
        <v>580</v>
      </c>
    </row>
    <row r="7" spans="1:11" s="366" customFormat="1" ht="13.5" customHeight="1" x14ac:dyDescent="0.25">
      <c r="A7" s="1667"/>
      <c r="B7" s="1663" t="s">
        <v>311</v>
      </c>
      <c r="C7" s="1668" t="s">
        <v>312</v>
      </c>
      <c r="D7" s="1668" t="s">
        <v>313</v>
      </c>
      <c r="E7" s="1661" t="s">
        <v>314</v>
      </c>
      <c r="F7" s="1662"/>
      <c r="G7" s="1662"/>
      <c r="H7" s="1662"/>
      <c r="I7" s="1663"/>
      <c r="J7" s="365"/>
      <c r="K7" s="365"/>
    </row>
    <row r="8" spans="1:11" s="366" customFormat="1" ht="13.5" customHeight="1" x14ac:dyDescent="0.25">
      <c r="A8" s="1667"/>
      <c r="B8" s="1663"/>
      <c r="C8" s="1668"/>
      <c r="D8" s="1668"/>
      <c r="E8" s="367" t="s">
        <v>315</v>
      </c>
      <c r="F8" s="367" t="s">
        <v>316</v>
      </c>
      <c r="G8" s="367" t="s">
        <v>317</v>
      </c>
      <c r="H8" s="368" t="s">
        <v>318</v>
      </c>
      <c r="I8" s="367" t="s">
        <v>153</v>
      </c>
      <c r="J8" s="369"/>
      <c r="K8" s="369"/>
    </row>
    <row r="9" spans="1:11" s="366" customFormat="1" ht="13.5" customHeight="1" x14ac:dyDescent="0.25">
      <c r="A9" s="334" t="s">
        <v>470</v>
      </c>
      <c r="B9" s="370" t="s">
        <v>319</v>
      </c>
      <c r="C9" s="371"/>
      <c r="D9" s="372"/>
      <c r="E9" s="371"/>
      <c r="F9" s="371"/>
      <c r="G9" s="371"/>
      <c r="H9" s="371"/>
      <c r="I9" s="322"/>
    </row>
    <row r="10" spans="1:11" ht="13.5" customHeight="1" x14ac:dyDescent="0.25">
      <c r="A10" s="334" t="s">
        <v>478</v>
      </c>
      <c r="B10" s="373" t="s">
        <v>320</v>
      </c>
    </row>
    <row r="11" spans="1:11" ht="13.5" customHeight="1" x14ac:dyDescent="0.25">
      <c r="A11" s="334" t="s">
        <v>479</v>
      </c>
      <c r="B11" s="356" t="s">
        <v>321</v>
      </c>
      <c r="C11" s="357" t="s">
        <v>322</v>
      </c>
      <c r="D11" s="358"/>
      <c r="E11" s="357"/>
      <c r="F11" s="357"/>
      <c r="G11" s="357"/>
      <c r="H11" s="357"/>
    </row>
    <row r="12" spans="1:11" ht="13.5" customHeight="1" x14ac:dyDescent="0.25">
      <c r="A12" s="334" t="s">
        <v>480</v>
      </c>
      <c r="B12" s="356" t="s">
        <v>323</v>
      </c>
      <c r="C12" s="357" t="s">
        <v>324</v>
      </c>
      <c r="D12" s="325" t="s">
        <v>325</v>
      </c>
      <c r="E12" s="359">
        <v>300</v>
      </c>
      <c r="F12" s="359">
        <v>300</v>
      </c>
      <c r="G12" s="359">
        <v>300</v>
      </c>
      <c r="H12" s="359">
        <v>300</v>
      </c>
    </row>
    <row r="13" spans="1:11" ht="13.5" customHeight="1" x14ac:dyDescent="0.25">
      <c r="A13" s="334" t="s">
        <v>481</v>
      </c>
      <c r="B13" s="335" t="s">
        <v>326</v>
      </c>
      <c r="C13" s="336" t="s">
        <v>327</v>
      </c>
      <c r="D13" s="325" t="s">
        <v>325</v>
      </c>
      <c r="E13" s="333">
        <v>100</v>
      </c>
      <c r="F13" s="333">
        <v>100</v>
      </c>
      <c r="G13" s="333">
        <v>100</v>
      </c>
      <c r="H13" s="333">
        <v>100</v>
      </c>
      <c r="I13" s="336">
        <v>100</v>
      </c>
    </row>
    <row r="14" spans="1:11" ht="13.5" customHeight="1" x14ac:dyDescent="0.25">
      <c r="A14" s="334" t="s">
        <v>482</v>
      </c>
      <c r="B14" s="335" t="s">
        <v>328</v>
      </c>
      <c r="C14" s="336" t="s">
        <v>329</v>
      </c>
      <c r="D14" s="325" t="s">
        <v>325</v>
      </c>
      <c r="E14" s="333">
        <v>24554</v>
      </c>
      <c r="F14" s="333">
        <v>19393</v>
      </c>
      <c r="G14" s="333"/>
      <c r="H14" s="333">
        <v>24241</v>
      </c>
      <c r="I14" s="336">
        <v>24250</v>
      </c>
    </row>
    <row r="15" spans="1:11" ht="13.5" customHeight="1" x14ac:dyDescent="0.25">
      <c r="A15" s="334" t="s">
        <v>483</v>
      </c>
      <c r="B15" s="335" t="s">
        <v>330</v>
      </c>
      <c r="C15" s="336" t="s">
        <v>331</v>
      </c>
      <c r="D15" s="325" t="s">
        <v>325</v>
      </c>
      <c r="E15" s="333"/>
      <c r="F15" s="333"/>
      <c r="G15" s="333"/>
      <c r="H15" s="333"/>
    </row>
    <row r="16" spans="1:11" ht="13.5" customHeight="1" x14ac:dyDescent="0.25">
      <c r="A16" s="334" t="s">
        <v>484</v>
      </c>
      <c r="B16" s="335" t="s">
        <v>332</v>
      </c>
      <c r="C16" s="336" t="s">
        <v>333</v>
      </c>
      <c r="D16" s="325" t="s">
        <v>325</v>
      </c>
      <c r="E16" s="333">
        <v>17280</v>
      </c>
      <c r="F16" s="333">
        <v>17280</v>
      </c>
      <c r="G16" s="333">
        <v>17280</v>
      </c>
      <c r="H16" s="333">
        <v>17280</v>
      </c>
      <c r="I16" s="336">
        <v>17280</v>
      </c>
    </row>
    <row r="17" spans="1:13" ht="13.5" customHeight="1" x14ac:dyDescent="0.25">
      <c r="A17" s="334" t="s">
        <v>485</v>
      </c>
      <c r="B17" s="335" t="s">
        <v>334</v>
      </c>
      <c r="C17" s="336" t="s">
        <v>335</v>
      </c>
      <c r="D17" s="325" t="s">
        <v>325</v>
      </c>
      <c r="E17" s="333">
        <v>32739</v>
      </c>
      <c r="F17" s="333">
        <v>25858</v>
      </c>
      <c r="G17" s="333"/>
      <c r="H17" s="333">
        <v>27321</v>
      </c>
      <c r="I17" s="336">
        <v>27350</v>
      </c>
    </row>
    <row r="18" spans="1:13" ht="13.5" customHeight="1" x14ac:dyDescent="0.25">
      <c r="A18" s="334" t="s">
        <v>519</v>
      </c>
      <c r="B18" s="335"/>
      <c r="C18" s="336" t="s">
        <v>336</v>
      </c>
      <c r="D18" s="325" t="s">
        <v>325</v>
      </c>
      <c r="E18" s="333"/>
      <c r="F18" s="333"/>
      <c r="G18" s="333"/>
      <c r="H18" s="333"/>
    </row>
    <row r="19" spans="1:13" ht="13.5" customHeight="1" x14ac:dyDescent="0.25">
      <c r="A19" s="334" t="s">
        <v>520</v>
      </c>
      <c r="B19" s="335"/>
      <c r="C19" s="336" t="s">
        <v>337</v>
      </c>
      <c r="D19" s="325" t="s">
        <v>325</v>
      </c>
      <c r="E19" s="333">
        <v>23050</v>
      </c>
      <c r="F19" s="333">
        <v>23050</v>
      </c>
      <c r="G19" s="333">
        <v>23050</v>
      </c>
      <c r="H19" s="333">
        <v>23050</v>
      </c>
      <c r="I19" s="336">
        <v>23050</v>
      </c>
    </row>
    <row r="20" spans="1:13" ht="18" customHeight="1" x14ac:dyDescent="0.25">
      <c r="A20" s="334" t="s">
        <v>521</v>
      </c>
      <c r="B20" s="335" t="s">
        <v>338</v>
      </c>
      <c r="C20" s="336" t="s">
        <v>339</v>
      </c>
      <c r="D20" s="325" t="s">
        <v>325</v>
      </c>
      <c r="E20" s="333">
        <v>9</v>
      </c>
      <c r="F20" s="333">
        <v>9</v>
      </c>
      <c r="G20" s="333">
        <v>9</v>
      </c>
      <c r="H20" s="333">
        <v>9</v>
      </c>
      <c r="I20" s="336">
        <v>9</v>
      </c>
    </row>
    <row r="21" spans="1:13" ht="13.5" customHeight="1" x14ac:dyDescent="0.25">
      <c r="A21" s="334" t="s">
        <v>522</v>
      </c>
      <c r="B21" s="335" t="s">
        <v>340</v>
      </c>
      <c r="C21" s="336" t="s">
        <v>341</v>
      </c>
      <c r="D21" s="325" t="s">
        <v>325</v>
      </c>
      <c r="E21" s="333">
        <v>50</v>
      </c>
      <c r="F21" s="333">
        <v>50</v>
      </c>
      <c r="G21" s="333">
        <v>50</v>
      </c>
      <c r="H21" s="333">
        <v>100</v>
      </c>
      <c r="I21" s="336">
        <v>100</v>
      </c>
    </row>
    <row r="22" spans="1:13" ht="21" customHeight="1" x14ac:dyDescent="0.25">
      <c r="A22" s="334" t="s">
        <v>523</v>
      </c>
      <c r="B22" s="335" t="s">
        <v>342</v>
      </c>
      <c r="C22" s="336" t="s">
        <v>343</v>
      </c>
      <c r="D22" s="337" t="s">
        <v>325</v>
      </c>
      <c r="E22" s="333">
        <v>875</v>
      </c>
      <c r="F22" s="333">
        <v>875</v>
      </c>
      <c r="G22" s="333">
        <v>875</v>
      </c>
      <c r="H22" s="333">
        <v>875</v>
      </c>
      <c r="I22" s="336">
        <v>875</v>
      </c>
    </row>
    <row r="23" spans="1:13" s="329" customFormat="1" ht="30" x14ac:dyDescent="0.25">
      <c r="A23" s="334" t="s">
        <v>524</v>
      </c>
      <c r="B23" s="338" t="s">
        <v>344</v>
      </c>
      <c r="C23" s="360" t="s">
        <v>345</v>
      </c>
      <c r="D23" s="340" t="s">
        <v>325</v>
      </c>
      <c r="E23" s="361">
        <v>129</v>
      </c>
      <c r="F23" s="361">
        <v>129</v>
      </c>
      <c r="G23" s="361">
        <v>129</v>
      </c>
      <c r="H23" s="361">
        <v>193</v>
      </c>
      <c r="I23" s="346">
        <v>193</v>
      </c>
      <c r="J23" s="353"/>
      <c r="K23" s="362"/>
      <c r="M23" s="363"/>
    </row>
    <row r="24" spans="1:13" ht="17.25" customHeight="1" x14ac:dyDescent="0.25">
      <c r="A24" s="334" t="s">
        <v>525</v>
      </c>
      <c r="B24" s="335" t="s">
        <v>104</v>
      </c>
      <c r="C24" s="336" t="s">
        <v>346</v>
      </c>
      <c r="D24" s="337" t="s">
        <v>325</v>
      </c>
      <c r="E24" s="333">
        <v>125</v>
      </c>
      <c r="F24" s="333">
        <v>125</v>
      </c>
      <c r="G24" s="333">
        <v>125</v>
      </c>
      <c r="H24" s="333">
        <v>147</v>
      </c>
      <c r="I24" s="336">
        <v>147</v>
      </c>
    </row>
    <row r="25" spans="1:13" ht="15.75" customHeight="1" x14ac:dyDescent="0.25">
      <c r="A25" s="334" t="s">
        <v>526</v>
      </c>
      <c r="B25" s="335"/>
      <c r="C25" s="336" t="s">
        <v>347</v>
      </c>
      <c r="D25" s="337" t="s">
        <v>325</v>
      </c>
      <c r="E25" s="333">
        <v>54</v>
      </c>
      <c r="F25" s="333">
        <v>54</v>
      </c>
      <c r="G25" s="333">
        <v>54</v>
      </c>
      <c r="H25" s="333">
        <v>54</v>
      </c>
      <c r="I25" s="336">
        <v>54</v>
      </c>
    </row>
    <row r="26" spans="1:13" ht="13.5" customHeight="1" x14ac:dyDescent="0.25">
      <c r="A26" s="334" t="s">
        <v>528</v>
      </c>
      <c r="B26" s="335" t="s">
        <v>348</v>
      </c>
      <c r="C26" s="336" t="s">
        <v>349</v>
      </c>
      <c r="D26" s="337" t="s">
        <v>325</v>
      </c>
      <c r="E26" s="333">
        <v>100</v>
      </c>
      <c r="F26" s="333">
        <v>100</v>
      </c>
      <c r="G26" s="333">
        <v>100</v>
      </c>
      <c r="H26" s="333">
        <v>100</v>
      </c>
      <c r="I26" s="336">
        <v>100</v>
      </c>
    </row>
    <row r="27" spans="1:13" ht="13.5" customHeight="1" x14ac:dyDescent="0.25">
      <c r="A27" s="334" t="s">
        <v>529</v>
      </c>
      <c r="B27" s="335" t="s">
        <v>350</v>
      </c>
      <c r="C27" s="336" t="s">
        <v>351</v>
      </c>
      <c r="D27" s="337" t="s">
        <v>325</v>
      </c>
      <c r="E27" s="333">
        <v>1575</v>
      </c>
      <c r="F27" s="333">
        <v>1575</v>
      </c>
      <c r="G27" s="333">
        <v>1575</v>
      </c>
      <c r="H27" s="333">
        <v>1575</v>
      </c>
      <c r="I27" s="336">
        <v>1575</v>
      </c>
    </row>
    <row r="28" spans="1:13" ht="13.5" customHeight="1" x14ac:dyDescent="0.25">
      <c r="A28" s="334" t="s">
        <v>530</v>
      </c>
      <c r="B28" s="335" t="s">
        <v>352</v>
      </c>
      <c r="C28" s="336" t="s">
        <v>353</v>
      </c>
      <c r="D28" s="337" t="s">
        <v>325</v>
      </c>
      <c r="E28" s="333">
        <v>60</v>
      </c>
      <c r="F28" s="333">
        <v>60</v>
      </c>
      <c r="G28" s="333">
        <v>60</v>
      </c>
      <c r="H28" s="333">
        <v>60</v>
      </c>
      <c r="I28" s="336">
        <v>60</v>
      </c>
    </row>
    <row r="29" spans="1:13" ht="13.5" customHeight="1" x14ac:dyDescent="0.25">
      <c r="A29" s="334" t="s">
        <v>531</v>
      </c>
      <c r="B29" s="335" t="s">
        <v>354</v>
      </c>
      <c r="C29" s="336" t="s">
        <v>355</v>
      </c>
      <c r="D29" s="325" t="s">
        <v>325</v>
      </c>
      <c r="E29" s="333">
        <v>2900</v>
      </c>
      <c r="F29" s="333">
        <v>2900</v>
      </c>
      <c r="G29" s="333">
        <v>2900</v>
      </c>
      <c r="H29" s="333">
        <v>2000</v>
      </c>
      <c r="I29" s="336">
        <v>2000</v>
      </c>
    </row>
    <row r="30" spans="1:13" ht="18" customHeight="1" x14ac:dyDescent="0.25">
      <c r="A30" s="334" t="s">
        <v>532</v>
      </c>
      <c r="B30" s="338" t="s">
        <v>356</v>
      </c>
      <c r="C30" s="339" t="s">
        <v>357</v>
      </c>
      <c r="D30" s="340" t="s">
        <v>325</v>
      </c>
      <c r="E30" s="341">
        <v>383</v>
      </c>
      <c r="F30" s="341">
        <v>383</v>
      </c>
      <c r="G30" s="341">
        <v>383</v>
      </c>
      <c r="H30" s="341">
        <v>250</v>
      </c>
      <c r="I30" s="336">
        <v>250</v>
      </c>
    </row>
    <row r="31" spans="1:13" ht="18" customHeight="1" x14ac:dyDescent="0.25">
      <c r="A31" s="334" t="s">
        <v>533</v>
      </c>
      <c r="B31" s="338"/>
      <c r="C31" s="339" t="s">
        <v>105</v>
      </c>
      <c r="D31" s="340"/>
      <c r="E31" s="341"/>
      <c r="F31" s="341"/>
      <c r="G31" s="341"/>
      <c r="H31" s="341">
        <v>2980</v>
      </c>
      <c r="I31" s="336">
        <v>2980</v>
      </c>
    </row>
    <row r="32" spans="1:13" ht="18" customHeight="1" x14ac:dyDescent="0.25">
      <c r="A32" s="334" t="s">
        <v>534</v>
      </c>
      <c r="B32" s="338" t="s">
        <v>106</v>
      </c>
      <c r="C32" s="339" t="s">
        <v>107</v>
      </c>
      <c r="D32" s="340" t="s">
        <v>325</v>
      </c>
      <c r="E32" s="341"/>
      <c r="F32" s="341"/>
      <c r="G32" s="341">
        <v>248</v>
      </c>
      <c r="H32" s="341">
        <v>248</v>
      </c>
      <c r="I32" s="336">
        <v>248</v>
      </c>
    </row>
    <row r="33" spans="1:13" ht="15.75" x14ac:dyDescent="0.25">
      <c r="A33" s="334" t="s">
        <v>535</v>
      </c>
      <c r="B33" s="336" t="s">
        <v>358</v>
      </c>
      <c r="C33" s="336" t="s">
        <v>359</v>
      </c>
      <c r="D33" s="325" t="s">
        <v>360</v>
      </c>
      <c r="E33" s="336">
        <v>1936</v>
      </c>
      <c r="F33" s="336">
        <v>1718</v>
      </c>
      <c r="G33" s="336">
        <v>1718</v>
      </c>
      <c r="H33" s="336">
        <v>1650</v>
      </c>
      <c r="I33" s="336">
        <v>1650</v>
      </c>
    </row>
    <row r="34" spans="1:13" ht="17.25" customHeight="1" x14ac:dyDescent="0.25">
      <c r="A34" s="334" t="s">
        <v>552</v>
      </c>
      <c r="B34" s="335" t="s">
        <v>361</v>
      </c>
      <c r="C34" s="336" t="s">
        <v>362</v>
      </c>
      <c r="D34" s="325" t="s">
        <v>325</v>
      </c>
      <c r="E34" s="333">
        <v>2500</v>
      </c>
      <c r="F34" s="333">
        <v>2500</v>
      </c>
      <c r="G34" s="333">
        <v>2500</v>
      </c>
      <c r="H34" s="333">
        <v>2500</v>
      </c>
      <c r="I34" s="336">
        <v>2500</v>
      </c>
    </row>
    <row r="35" spans="1:13" ht="20.25" customHeight="1" x14ac:dyDescent="0.25">
      <c r="A35" s="334" t="s">
        <v>553</v>
      </c>
      <c r="B35" s="335" t="s">
        <v>363</v>
      </c>
      <c r="C35" s="336" t="s">
        <v>364</v>
      </c>
      <c r="D35" s="337">
        <v>42124</v>
      </c>
      <c r="E35" s="333">
        <v>1250</v>
      </c>
      <c r="F35" s="333">
        <v>1250</v>
      </c>
      <c r="G35" s="349">
        <v>1250</v>
      </c>
      <c r="H35" s="349">
        <v>312</v>
      </c>
    </row>
    <row r="36" spans="1:13" ht="13.5" customHeight="1" x14ac:dyDescent="0.25">
      <c r="A36" s="334" t="s">
        <v>554</v>
      </c>
      <c r="B36" s="335"/>
      <c r="C36" s="336" t="s">
        <v>365</v>
      </c>
      <c r="D36" s="325" t="s">
        <v>325</v>
      </c>
      <c r="E36" s="333">
        <v>200</v>
      </c>
      <c r="F36" s="333">
        <v>200</v>
      </c>
      <c r="G36" s="333">
        <v>258</v>
      </c>
      <c r="H36" s="333">
        <v>258</v>
      </c>
      <c r="I36" s="336">
        <v>258</v>
      </c>
    </row>
    <row r="37" spans="1:13" ht="13.5" customHeight="1" x14ac:dyDescent="0.25">
      <c r="A37" s="334" t="s">
        <v>555</v>
      </c>
      <c r="B37" s="335" t="s">
        <v>366</v>
      </c>
      <c r="C37" s="336" t="s">
        <v>367</v>
      </c>
      <c r="D37" s="325" t="s">
        <v>325</v>
      </c>
      <c r="E37" s="333">
        <v>994</v>
      </c>
      <c r="F37" s="333">
        <v>994</v>
      </c>
      <c r="G37" s="333">
        <v>994</v>
      </c>
      <c r="H37" s="333">
        <v>994</v>
      </c>
      <c r="I37" s="336">
        <v>971</v>
      </c>
    </row>
    <row r="38" spans="1:13" ht="13.5" customHeight="1" x14ac:dyDescent="0.25">
      <c r="A38" s="334" t="s">
        <v>556</v>
      </c>
      <c r="B38" s="335" t="s">
        <v>108</v>
      </c>
      <c r="C38" s="336" t="s">
        <v>109</v>
      </c>
      <c r="D38" s="325" t="s">
        <v>325</v>
      </c>
      <c r="E38" s="333">
        <v>750</v>
      </c>
      <c r="F38" s="333">
        <v>750</v>
      </c>
      <c r="G38" s="333">
        <v>762</v>
      </c>
      <c r="H38" s="333">
        <v>762</v>
      </c>
      <c r="I38" s="336">
        <v>762</v>
      </c>
    </row>
    <row r="39" spans="1:13" ht="15.75" x14ac:dyDescent="0.25">
      <c r="A39" s="334" t="s">
        <v>557</v>
      </c>
      <c r="B39" s="335" t="s">
        <v>368</v>
      </c>
      <c r="C39" s="336" t="s">
        <v>369</v>
      </c>
      <c r="D39" s="337" t="s">
        <v>325</v>
      </c>
      <c r="E39" s="325">
        <v>330</v>
      </c>
      <c r="F39" s="336">
        <v>330</v>
      </c>
      <c r="G39" s="336">
        <v>330</v>
      </c>
      <c r="H39" s="336">
        <v>330</v>
      </c>
      <c r="I39" s="336">
        <v>330</v>
      </c>
      <c r="K39" s="350"/>
      <c r="M39" s="328"/>
    </row>
    <row r="40" spans="1:13" ht="15.75" x14ac:dyDescent="0.25">
      <c r="A40" s="334" t="s">
        <v>558</v>
      </c>
      <c r="B40" s="335" t="s">
        <v>370</v>
      </c>
      <c r="C40" s="336" t="s">
        <v>371</v>
      </c>
      <c r="D40" s="337" t="s">
        <v>325</v>
      </c>
      <c r="E40" s="325">
        <v>930</v>
      </c>
      <c r="F40" s="336">
        <v>930</v>
      </c>
      <c r="G40" s="336">
        <v>930</v>
      </c>
      <c r="H40" s="336">
        <v>930</v>
      </c>
      <c r="I40" s="336">
        <v>930</v>
      </c>
      <c r="K40" s="350"/>
      <c r="M40" s="328"/>
    </row>
    <row r="41" spans="1:13" ht="15.75" x14ac:dyDescent="0.25">
      <c r="A41" s="334" t="s">
        <v>559</v>
      </c>
      <c r="B41" s="335" t="s">
        <v>110</v>
      </c>
      <c r="C41" s="336" t="s">
        <v>111</v>
      </c>
      <c r="D41" s="337" t="s">
        <v>325</v>
      </c>
      <c r="E41" s="325"/>
      <c r="G41" s="336">
        <v>823</v>
      </c>
      <c r="H41" s="336">
        <v>823</v>
      </c>
      <c r="I41" s="336">
        <v>823</v>
      </c>
      <c r="K41" s="350"/>
      <c r="M41" s="328"/>
    </row>
    <row r="42" spans="1:13" ht="14.1" customHeight="1" x14ac:dyDescent="0.25">
      <c r="A42" s="334" t="s">
        <v>560</v>
      </c>
      <c r="B42" s="336" t="s">
        <v>372</v>
      </c>
      <c r="C42" s="336" t="s">
        <v>373</v>
      </c>
      <c r="D42" s="325" t="s">
        <v>325</v>
      </c>
      <c r="E42" s="336">
        <v>16</v>
      </c>
      <c r="F42" s="336">
        <v>16</v>
      </c>
      <c r="G42" s="336">
        <v>16</v>
      </c>
      <c r="H42" s="336">
        <v>16</v>
      </c>
      <c r="I42" s="336">
        <v>16</v>
      </c>
    </row>
    <row r="43" spans="1:13" s="329" customFormat="1" ht="30" x14ac:dyDescent="0.25">
      <c r="A43" s="334" t="s">
        <v>612</v>
      </c>
      <c r="B43" s="342" t="s">
        <v>374</v>
      </c>
      <c r="C43" s="351" t="s">
        <v>375</v>
      </c>
      <c r="D43" s="344" t="s">
        <v>325</v>
      </c>
      <c r="E43" s="352">
        <v>40</v>
      </c>
      <c r="F43" s="352">
        <v>40</v>
      </c>
      <c r="G43" s="352">
        <v>40</v>
      </c>
      <c r="H43" s="352">
        <v>40</v>
      </c>
      <c r="I43" s="346">
        <v>40</v>
      </c>
      <c r="J43" s="353"/>
      <c r="K43" s="354"/>
      <c r="M43" s="330"/>
    </row>
    <row r="44" spans="1:13" s="329" customFormat="1" ht="18" customHeight="1" x14ac:dyDescent="0.25">
      <c r="A44" s="334" t="s">
        <v>613</v>
      </c>
      <c r="B44" s="342" t="s">
        <v>376</v>
      </c>
      <c r="C44" s="351" t="s">
        <v>377</v>
      </c>
      <c r="D44" s="344" t="s">
        <v>325</v>
      </c>
      <c r="E44" s="352">
        <v>994</v>
      </c>
      <c r="F44" s="352">
        <v>994</v>
      </c>
      <c r="G44" s="352">
        <v>994</v>
      </c>
      <c r="H44" s="346">
        <v>994</v>
      </c>
      <c r="I44" s="346">
        <v>994</v>
      </c>
      <c r="J44" s="353"/>
      <c r="K44" s="354"/>
      <c r="M44" s="330"/>
    </row>
    <row r="45" spans="1:13" s="329" customFormat="1" ht="15.75" x14ac:dyDescent="0.25">
      <c r="A45" s="334" t="s">
        <v>614</v>
      </c>
      <c r="B45" s="342" t="s">
        <v>378</v>
      </c>
      <c r="C45" s="351" t="s">
        <v>379</v>
      </c>
      <c r="D45" s="344" t="s">
        <v>325</v>
      </c>
      <c r="E45" s="352">
        <v>176</v>
      </c>
      <c r="F45" s="352">
        <v>176</v>
      </c>
      <c r="G45" s="352">
        <v>176</v>
      </c>
      <c r="H45" s="346">
        <v>176</v>
      </c>
      <c r="I45" s="346">
        <v>176</v>
      </c>
      <c r="J45" s="353"/>
      <c r="K45" s="354"/>
      <c r="M45" s="330"/>
    </row>
    <row r="46" spans="1:13" ht="13.5" customHeight="1" x14ac:dyDescent="0.25">
      <c r="A46" s="334" t="s">
        <v>615</v>
      </c>
      <c r="B46" s="338" t="s">
        <v>380</v>
      </c>
      <c r="C46" s="339" t="s">
        <v>381</v>
      </c>
      <c r="D46" s="340" t="s">
        <v>325</v>
      </c>
      <c r="E46" s="341">
        <v>199</v>
      </c>
      <c r="F46" s="341">
        <v>199</v>
      </c>
      <c r="G46" s="334">
        <v>199</v>
      </c>
      <c r="H46" s="341">
        <v>199</v>
      </c>
      <c r="I46" s="336">
        <v>199</v>
      </c>
    </row>
    <row r="47" spans="1:13" ht="13.5" customHeight="1" x14ac:dyDescent="0.25">
      <c r="A47" s="334" t="s">
        <v>112</v>
      </c>
      <c r="B47" s="338" t="s">
        <v>382</v>
      </c>
      <c r="C47" s="339" t="s">
        <v>383</v>
      </c>
      <c r="D47" s="340" t="s">
        <v>325</v>
      </c>
      <c r="E47" s="341">
        <v>1863</v>
      </c>
      <c r="F47" s="341">
        <v>1863</v>
      </c>
      <c r="G47" s="341">
        <v>1863</v>
      </c>
      <c r="H47" s="341">
        <v>1863</v>
      </c>
      <c r="I47" s="336">
        <v>1900</v>
      </c>
    </row>
    <row r="48" spans="1:13" ht="13.5" customHeight="1" x14ac:dyDescent="0.25">
      <c r="A48" s="334" t="s">
        <v>640</v>
      </c>
      <c r="B48" s="338" t="s">
        <v>113</v>
      </c>
      <c r="C48" s="339" t="s">
        <v>114</v>
      </c>
      <c r="D48" s="340" t="s">
        <v>325</v>
      </c>
      <c r="E48" s="341"/>
      <c r="F48" s="341"/>
      <c r="G48" s="341">
        <v>29600</v>
      </c>
      <c r="H48" s="341">
        <v>29600</v>
      </c>
      <c r="I48" s="336">
        <v>29600</v>
      </c>
    </row>
    <row r="49" spans="1:13" s="329" customFormat="1" ht="15.75" x14ac:dyDescent="0.25">
      <c r="A49" s="334" t="s">
        <v>641</v>
      </c>
      <c r="B49" s="342" t="s">
        <v>384</v>
      </c>
      <c r="C49" s="343" t="s">
        <v>385</v>
      </c>
      <c r="D49" s="344" t="s">
        <v>325</v>
      </c>
      <c r="E49" s="345">
        <v>3600</v>
      </c>
      <c r="F49" s="345">
        <v>3600</v>
      </c>
      <c r="G49" s="345">
        <v>3600</v>
      </c>
      <c r="H49" s="345">
        <v>6553</v>
      </c>
      <c r="I49" s="346">
        <v>6553</v>
      </c>
      <c r="J49" s="353"/>
      <c r="K49" s="354"/>
      <c r="M49" s="330"/>
    </row>
    <row r="50" spans="1:13" s="329" customFormat="1" ht="15.75" x14ac:dyDescent="0.25">
      <c r="A50" s="334" t="s">
        <v>115</v>
      </c>
      <c r="B50" s="342" t="s">
        <v>386</v>
      </c>
      <c r="C50" s="343" t="s">
        <v>387</v>
      </c>
      <c r="D50" s="344" t="s">
        <v>325</v>
      </c>
      <c r="E50" s="345">
        <v>123</v>
      </c>
      <c r="F50" s="345">
        <v>123</v>
      </c>
      <c r="G50" s="345">
        <v>123</v>
      </c>
      <c r="H50" s="345">
        <v>123</v>
      </c>
      <c r="I50" s="346">
        <v>123</v>
      </c>
      <c r="J50" s="353"/>
      <c r="K50" s="354"/>
      <c r="M50" s="330"/>
    </row>
    <row r="51" spans="1:13" ht="14.1" customHeight="1" x14ac:dyDescent="0.25">
      <c r="A51" s="334" t="s">
        <v>116</v>
      </c>
      <c r="B51" s="336" t="s">
        <v>388</v>
      </c>
      <c r="C51" s="336" t="s">
        <v>389</v>
      </c>
      <c r="D51" s="325" t="s">
        <v>325</v>
      </c>
      <c r="E51" s="336">
        <v>225</v>
      </c>
      <c r="F51" s="336">
        <v>225</v>
      </c>
      <c r="G51" s="336">
        <v>225</v>
      </c>
      <c r="H51" s="336">
        <v>241</v>
      </c>
      <c r="I51" s="336">
        <v>241</v>
      </c>
    </row>
    <row r="52" spans="1:13" ht="14.1" customHeight="1" x14ac:dyDescent="0.25">
      <c r="A52" s="334" t="s">
        <v>117</v>
      </c>
      <c r="B52" s="336" t="s">
        <v>118</v>
      </c>
      <c r="C52" s="336" t="s">
        <v>119</v>
      </c>
      <c r="D52" s="325" t="s">
        <v>421</v>
      </c>
      <c r="G52" s="336">
        <v>600</v>
      </c>
      <c r="H52" s="336">
        <v>1200</v>
      </c>
      <c r="I52" s="336">
        <v>1200</v>
      </c>
    </row>
    <row r="53" spans="1:13" ht="14.1" customHeight="1" x14ac:dyDescent="0.25">
      <c r="A53" s="334" t="s">
        <v>120</v>
      </c>
      <c r="B53" s="336" t="s">
        <v>121</v>
      </c>
      <c r="C53" s="336" t="s">
        <v>122</v>
      </c>
      <c r="D53" s="325" t="s">
        <v>325</v>
      </c>
      <c r="H53" s="336">
        <v>243</v>
      </c>
      <c r="I53" s="336">
        <v>243</v>
      </c>
    </row>
    <row r="54" spans="1:13" ht="14.1" customHeight="1" x14ac:dyDescent="0.25">
      <c r="A54" s="334" t="s">
        <v>123</v>
      </c>
      <c r="B54" s="336" t="s">
        <v>390</v>
      </c>
      <c r="C54" s="336" t="s">
        <v>391</v>
      </c>
      <c r="D54" s="325" t="s">
        <v>325</v>
      </c>
      <c r="E54" s="336">
        <v>26</v>
      </c>
      <c r="F54" s="336">
        <v>26</v>
      </c>
      <c r="G54" s="336">
        <v>26</v>
      </c>
      <c r="H54" s="336">
        <v>26</v>
      </c>
      <c r="I54" s="336">
        <v>26</v>
      </c>
    </row>
    <row r="55" spans="1:13" s="329" customFormat="1" ht="15.75" x14ac:dyDescent="0.25">
      <c r="A55" s="334" t="s">
        <v>124</v>
      </c>
      <c r="B55" s="342" t="s">
        <v>392</v>
      </c>
      <c r="C55" s="343" t="s">
        <v>393</v>
      </c>
      <c r="D55" s="344" t="s">
        <v>325</v>
      </c>
      <c r="E55" s="345">
        <v>5</v>
      </c>
      <c r="F55" s="345">
        <v>5</v>
      </c>
      <c r="G55" s="345">
        <v>5</v>
      </c>
      <c r="H55" s="346">
        <v>5</v>
      </c>
      <c r="I55" s="346">
        <v>5</v>
      </c>
      <c r="J55" s="353"/>
      <c r="K55" s="354"/>
      <c r="M55" s="330"/>
    </row>
    <row r="56" spans="1:13" s="331" customFormat="1" ht="13.5" customHeight="1" x14ac:dyDescent="0.25">
      <c r="A56" s="334" t="s">
        <v>125</v>
      </c>
      <c r="B56" s="342" t="s">
        <v>394</v>
      </c>
      <c r="C56" s="343" t="s">
        <v>395</v>
      </c>
      <c r="D56" s="344" t="s">
        <v>325</v>
      </c>
      <c r="E56" s="345">
        <v>250</v>
      </c>
      <c r="F56" s="345">
        <v>250</v>
      </c>
      <c r="G56" s="345">
        <v>250</v>
      </c>
      <c r="H56" s="345">
        <v>250</v>
      </c>
      <c r="I56" s="346">
        <v>250</v>
      </c>
      <c r="J56" s="347"/>
      <c r="K56" s="348"/>
      <c r="M56" s="332"/>
    </row>
    <row r="57" spans="1:13" s="331" customFormat="1" ht="13.5" customHeight="1" x14ac:dyDescent="0.25">
      <c r="A57" s="334" t="s">
        <v>126</v>
      </c>
      <c r="B57" s="342" t="s">
        <v>127</v>
      </c>
      <c r="C57" s="343" t="s">
        <v>128</v>
      </c>
      <c r="D57" s="344" t="s">
        <v>421</v>
      </c>
      <c r="E57" s="345"/>
      <c r="F57" s="345"/>
      <c r="G57" s="345">
        <v>2439</v>
      </c>
      <c r="H57" s="345">
        <v>3658</v>
      </c>
      <c r="I57" s="346">
        <v>3658</v>
      </c>
      <c r="J57" s="347"/>
      <c r="K57" s="348"/>
      <c r="M57" s="332"/>
    </row>
    <row r="58" spans="1:13" s="331" customFormat="1" ht="13.5" customHeight="1" x14ac:dyDescent="0.25">
      <c r="A58" s="334" t="s">
        <v>129</v>
      </c>
      <c r="B58" s="342" t="s">
        <v>130</v>
      </c>
      <c r="C58" s="343" t="s">
        <v>131</v>
      </c>
      <c r="D58" s="344" t="s">
        <v>421</v>
      </c>
      <c r="E58" s="345"/>
      <c r="F58" s="345"/>
      <c r="G58" s="345">
        <v>2438</v>
      </c>
      <c r="H58" s="345">
        <v>2438</v>
      </c>
      <c r="I58" s="346">
        <v>2438</v>
      </c>
      <c r="J58" s="347"/>
      <c r="K58" s="348"/>
      <c r="M58" s="332"/>
    </row>
    <row r="59" spans="1:13" s="331" customFormat="1" ht="13.5" customHeight="1" x14ac:dyDescent="0.25">
      <c r="A59" s="334" t="s">
        <v>132</v>
      </c>
      <c r="B59" s="342" t="s">
        <v>133</v>
      </c>
      <c r="C59" s="343" t="s">
        <v>134</v>
      </c>
      <c r="D59" s="344" t="s">
        <v>325</v>
      </c>
      <c r="E59" s="345"/>
      <c r="F59" s="345"/>
      <c r="G59" s="345">
        <v>610</v>
      </c>
      <c r="H59" s="345">
        <v>610</v>
      </c>
      <c r="I59" s="346">
        <v>610</v>
      </c>
      <c r="J59" s="347"/>
      <c r="K59" s="348"/>
      <c r="M59" s="332"/>
    </row>
    <row r="60" spans="1:13" s="331" customFormat="1" ht="13.5" customHeight="1" x14ac:dyDescent="0.25">
      <c r="A60" s="334" t="s">
        <v>135</v>
      </c>
      <c r="B60" s="342" t="s">
        <v>396</v>
      </c>
      <c r="C60" s="343" t="s">
        <v>397</v>
      </c>
      <c r="D60" s="344">
        <v>43496</v>
      </c>
      <c r="E60" s="345">
        <v>2865</v>
      </c>
      <c r="F60" s="345">
        <v>2865</v>
      </c>
      <c r="G60" s="345">
        <v>2865</v>
      </c>
      <c r="H60" s="345">
        <v>2865</v>
      </c>
      <c r="I60" s="346">
        <v>2865</v>
      </c>
      <c r="J60" s="347"/>
      <c r="K60" s="348"/>
      <c r="M60" s="332"/>
    </row>
    <row r="61" spans="1:13" s="331" customFormat="1" ht="13.5" customHeight="1" x14ac:dyDescent="0.25">
      <c r="A61" s="334" t="s">
        <v>136</v>
      </c>
      <c r="B61" s="342" t="s">
        <v>137</v>
      </c>
      <c r="C61" s="343" t="s">
        <v>138</v>
      </c>
      <c r="D61" s="344"/>
      <c r="E61" s="345">
        <v>175</v>
      </c>
      <c r="F61" s="345">
        <v>175</v>
      </c>
      <c r="G61" s="345">
        <v>175</v>
      </c>
      <c r="H61" s="345">
        <v>175</v>
      </c>
      <c r="I61" s="346">
        <v>175</v>
      </c>
      <c r="J61" s="347"/>
      <c r="K61" s="348"/>
      <c r="M61" s="332"/>
    </row>
    <row r="62" spans="1:13" s="331" customFormat="1" ht="13.5" customHeight="1" x14ac:dyDescent="0.25">
      <c r="A62" s="334" t="s">
        <v>139</v>
      </c>
      <c r="B62" s="342" t="s">
        <v>398</v>
      </c>
      <c r="C62" s="343" t="s">
        <v>399</v>
      </c>
      <c r="D62" s="344" t="s">
        <v>325</v>
      </c>
      <c r="E62" s="345">
        <v>217</v>
      </c>
      <c r="F62" s="345">
        <v>217</v>
      </c>
      <c r="G62" s="345">
        <v>217</v>
      </c>
      <c r="H62" s="345">
        <v>217</v>
      </c>
      <c r="I62" s="346">
        <v>217</v>
      </c>
      <c r="J62" s="347"/>
      <c r="K62" s="348"/>
      <c r="M62" s="332"/>
    </row>
    <row r="63" spans="1:13" s="331" customFormat="1" ht="13.5" customHeight="1" x14ac:dyDescent="0.25">
      <c r="A63" s="334" t="s">
        <v>140</v>
      </c>
      <c r="B63" s="335" t="s">
        <v>400</v>
      </c>
      <c r="C63" s="355" t="s">
        <v>401</v>
      </c>
      <c r="D63" s="344" t="s">
        <v>325</v>
      </c>
      <c r="E63" s="364">
        <v>15</v>
      </c>
      <c r="F63" s="364">
        <v>15</v>
      </c>
      <c r="G63" s="345">
        <v>15</v>
      </c>
      <c r="H63" s="345">
        <v>15</v>
      </c>
      <c r="I63" s="346">
        <v>15</v>
      </c>
      <c r="J63" s="347"/>
      <c r="K63" s="348"/>
      <c r="M63" s="332"/>
    </row>
    <row r="64" spans="1:13" s="331" customFormat="1" ht="13.5" customHeight="1" x14ac:dyDescent="0.25">
      <c r="A64" s="334" t="s">
        <v>141</v>
      </c>
      <c r="B64" s="335" t="s">
        <v>400</v>
      </c>
      <c r="C64" s="355" t="s">
        <v>402</v>
      </c>
      <c r="D64" s="344" t="s">
        <v>325</v>
      </c>
      <c r="E64" s="364">
        <v>150</v>
      </c>
      <c r="F64" s="364">
        <v>150</v>
      </c>
      <c r="G64" s="345">
        <v>150</v>
      </c>
      <c r="H64" s="345">
        <v>226</v>
      </c>
      <c r="I64" s="346">
        <v>226</v>
      </c>
      <c r="J64" s="347"/>
      <c r="K64" s="348"/>
      <c r="M64" s="332"/>
    </row>
    <row r="65" spans="1:13" s="331" customFormat="1" ht="13.5" customHeight="1" x14ac:dyDescent="0.25">
      <c r="A65" s="334" t="s">
        <v>142</v>
      </c>
      <c r="B65" s="335" t="s">
        <v>403</v>
      </c>
      <c r="C65" s="355" t="s">
        <v>404</v>
      </c>
      <c r="D65" s="344" t="s">
        <v>325</v>
      </c>
      <c r="E65" s="364">
        <v>75</v>
      </c>
      <c r="F65" s="364">
        <v>75</v>
      </c>
      <c r="G65" s="345">
        <v>75</v>
      </c>
      <c r="H65" s="345">
        <v>45</v>
      </c>
      <c r="I65" s="346">
        <v>45</v>
      </c>
      <c r="J65" s="347"/>
      <c r="K65" s="348"/>
      <c r="M65" s="332"/>
    </row>
    <row r="66" spans="1:13" s="331" customFormat="1" ht="13.5" customHeight="1" x14ac:dyDescent="0.25">
      <c r="A66" s="334" t="s">
        <v>143</v>
      </c>
      <c r="B66" s="342"/>
      <c r="C66" s="343" t="s">
        <v>144</v>
      </c>
      <c r="D66" s="344" t="s">
        <v>421</v>
      </c>
      <c r="E66" s="345"/>
      <c r="F66" s="345"/>
      <c r="G66" s="345">
        <v>347</v>
      </c>
      <c r="H66" s="345">
        <v>347</v>
      </c>
      <c r="I66" s="346">
        <v>347</v>
      </c>
      <c r="J66" s="347"/>
      <c r="K66" s="348"/>
      <c r="M66" s="332"/>
    </row>
    <row r="67" spans="1:13" s="331" customFormat="1" ht="13.5" customHeight="1" x14ac:dyDescent="0.25">
      <c r="A67" s="334" t="s">
        <v>145</v>
      </c>
      <c r="B67" s="342" t="s">
        <v>146</v>
      </c>
      <c r="C67" s="343" t="s">
        <v>147</v>
      </c>
      <c r="D67" s="344" t="s">
        <v>421</v>
      </c>
      <c r="E67" s="345"/>
      <c r="F67" s="345"/>
      <c r="G67" s="345">
        <v>54</v>
      </c>
      <c r="H67" s="345">
        <v>216</v>
      </c>
      <c r="I67" s="346">
        <v>216</v>
      </c>
      <c r="J67" s="347"/>
      <c r="K67" s="348"/>
      <c r="M67" s="332"/>
    </row>
    <row r="68" spans="1:13" s="331" customFormat="1" ht="13.5" customHeight="1" x14ac:dyDescent="0.25">
      <c r="A68" s="334" t="s">
        <v>148</v>
      </c>
      <c r="B68" s="342"/>
      <c r="C68" s="343" t="s">
        <v>149</v>
      </c>
      <c r="D68" s="344" t="s">
        <v>421</v>
      </c>
      <c r="E68" s="345"/>
      <c r="F68" s="345"/>
      <c r="G68" s="345">
        <v>380</v>
      </c>
      <c r="H68" s="345">
        <v>380</v>
      </c>
      <c r="I68" s="346">
        <v>380</v>
      </c>
      <c r="J68" s="347"/>
      <c r="K68" s="348"/>
      <c r="M68" s="332"/>
    </row>
    <row r="69" spans="1:13" s="331" customFormat="1" ht="13.5" customHeight="1" x14ac:dyDescent="0.25">
      <c r="A69" s="334" t="s">
        <v>150</v>
      </c>
      <c r="B69" s="342" t="s">
        <v>405</v>
      </c>
      <c r="C69" s="343" t="s">
        <v>406</v>
      </c>
      <c r="D69" s="344" t="s">
        <v>325</v>
      </c>
      <c r="E69" s="345">
        <v>1800</v>
      </c>
      <c r="F69" s="345">
        <v>1800</v>
      </c>
      <c r="G69" s="345">
        <v>1800</v>
      </c>
      <c r="H69" s="345">
        <v>1500</v>
      </c>
      <c r="I69" s="346">
        <v>1500</v>
      </c>
      <c r="J69" s="347"/>
      <c r="K69" s="348"/>
      <c r="M69" s="332"/>
    </row>
    <row r="70" spans="1:13" s="331" customFormat="1" ht="13.5" customHeight="1" x14ac:dyDescent="0.25">
      <c r="A70" s="334" t="s">
        <v>151</v>
      </c>
      <c r="B70" s="342" t="s">
        <v>407</v>
      </c>
      <c r="C70" s="343" t="s">
        <v>408</v>
      </c>
      <c r="D70" s="344" t="s">
        <v>325</v>
      </c>
      <c r="E70" s="345">
        <v>1875</v>
      </c>
      <c r="F70" s="345">
        <v>2000</v>
      </c>
      <c r="G70" s="345">
        <v>2000</v>
      </c>
      <c r="H70" s="345">
        <v>1700</v>
      </c>
      <c r="I70" s="346">
        <v>1700</v>
      </c>
      <c r="J70" s="347"/>
      <c r="K70" s="348"/>
      <c r="M70" s="332"/>
    </row>
    <row r="71" spans="1:13" ht="13.5" customHeight="1" x14ac:dyDescent="0.25">
      <c r="A71" s="334" t="s">
        <v>152</v>
      </c>
      <c r="B71" s="1660" t="s">
        <v>409</v>
      </c>
      <c r="C71" s="1660"/>
      <c r="E71" s="374">
        <f>SUM(E12:E70)</f>
        <v>127862</v>
      </c>
      <c r="F71" s="374">
        <f>SUM(F12:F70)</f>
        <v>115727</v>
      </c>
      <c r="G71" s="374">
        <f>SUM(G12:G70)</f>
        <v>108085</v>
      </c>
      <c r="H71" s="374">
        <f>SUM(H12:H70)</f>
        <v>165363</v>
      </c>
      <c r="I71" s="374">
        <f>SUM(I12:I70)</f>
        <v>164803</v>
      </c>
    </row>
    <row r="72" spans="1:13" ht="9.75" customHeight="1" x14ac:dyDescent="0.25">
      <c r="A72" s="334"/>
      <c r="B72" s="322"/>
      <c r="C72" s="335"/>
      <c r="E72" s="333"/>
      <c r="F72" s="333"/>
      <c r="G72" s="333"/>
      <c r="H72" s="333"/>
    </row>
    <row r="73" spans="1:13" ht="6.75" customHeight="1" x14ac:dyDescent="0.25">
      <c r="E73" s="333"/>
      <c r="F73" s="333"/>
      <c r="G73" s="333"/>
      <c r="H73" s="333"/>
    </row>
    <row r="74" spans="1:13" ht="13.5" customHeight="1" x14ac:dyDescent="0.25">
      <c r="E74" s="333"/>
      <c r="F74" s="333"/>
      <c r="G74" s="333"/>
      <c r="H74" s="333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3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32"/>
  <sheetViews>
    <sheetView workbookViewId="0">
      <selection activeCell="G13" sqref="G13"/>
    </sheetView>
  </sheetViews>
  <sheetFormatPr defaultColWidth="9.140625" defaultRowHeight="20.100000000000001" customHeight="1" x14ac:dyDescent="0.25"/>
  <cols>
    <col min="1" max="1" width="5.5703125" style="312" customWidth="1"/>
    <col min="2" max="2" width="71.7109375" style="312" customWidth="1"/>
    <col min="3" max="3" width="13.5703125" style="312" customWidth="1"/>
    <col min="4" max="4" width="9.140625" style="300"/>
    <col min="5" max="16384" width="9.140625" style="301"/>
  </cols>
  <sheetData>
    <row r="2" spans="1:4" ht="32.25" customHeight="1" x14ac:dyDescent="0.25">
      <c r="A2" s="301"/>
      <c r="B2" s="1669" t="s">
        <v>1359</v>
      </c>
      <c r="C2" s="1669"/>
    </row>
    <row r="3" spans="1:4" ht="20.100000000000001" customHeight="1" x14ac:dyDescent="0.25">
      <c r="A3" s="301"/>
      <c r="B3" s="388"/>
      <c r="C3" s="388"/>
    </row>
    <row r="4" spans="1:4" ht="20.100000000000001" customHeight="1" x14ac:dyDescent="0.25">
      <c r="A4" s="301"/>
      <c r="B4" s="1671" t="s">
        <v>77</v>
      </c>
      <c r="C4" s="1671"/>
    </row>
    <row r="5" spans="1:4" ht="20.100000000000001" customHeight="1" x14ac:dyDescent="0.25">
      <c r="A5" s="301"/>
      <c r="B5" s="1671" t="s">
        <v>1199</v>
      </c>
      <c r="C5" s="1671"/>
    </row>
    <row r="6" spans="1:4" ht="20.100000000000001" customHeight="1" x14ac:dyDescent="0.25">
      <c r="A6" s="301"/>
      <c r="B6" s="1671" t="s">
        <v>1089</v>
      </c>
      <c r="C6" s="1671"/>
    </row>
    <row r="7" spans="1:4" s="303" customFormat="1" ht="20.100000000000001" customHeight="1" x14ac:dyDescent="0.25">
      <c r="B7" s="1671"/>
      <c r="C7" s="1671"/>
      <c r="D7" s="302"/>
    </row>
    <row r="8" spans="1:4" s="303" customFormat="1" ht="20.100000000000001" customHeight="1" x14ac:dyDescent="0.25">
      <c r="B8" s="389"/>
      <c r="C8" s="389"/>
      <c r="D8" s="302"/>
    </row>
    <row r="9" spans="1:4" s="305" customFormat="1" ht="20.100000000000001" customHeight="1" x14ac:dyDescent="0.25">
      <c r="B9" s="390"/>
      <c r="C9" s="391" t="s">
        <v>307</v>
      </c>
      <c r="D9" s="304"/>
    </row>
    <row r="10" spans="1:4" ht="20.100000000000001" customHeight="1" x14ac:dyDescent="0.25">
      <c r="A10" s="1670" t="s">
        <v>460</v>
      </c>
      <c r="B10" s="392" t="s">
        <v>57</v>
      </c>
      <c r="C10" s="392" t="s">
        <v>58</v>
      </c>
    </row>
    <row r="11" spans="1:4" s="305" customFormat="1" ht="30.75" customHeight="1" x14ac:dyDescent="0.25">
      <c r="A11" s="1670"/>
      <c r="B11" s="393" t="s">
        <v>85</v>
      </c>
      <c r="C11" s="393" t="s">
        <v>410</v>
      </c>
      <c r="D11" s="304"/>
    </row>
    <row r="12" spans="1:4" ht="22.5" customHeight="1" x14ac:dyDescent="0.25">
      <c r="A12" s="394"/>
      <c r="B12" s="303" t="s">
        <v>1090</v>
      </c>
      <c r="C12" s="301"/>
    </row>
    <row r="13" spans="1:4" ht="69" customHeight="1" x14ac:dyDescent="0.25">
      <c r="A13" s="395" t="s">
        <v>470</v>
      </c>
      <c r="B13" s="944" t="s">
        <v>1200</v>
      </c>
      <c r="C13" s="631">
        <v>157657</v>
      </c>
    </row>
    <row r="14" spans="1:4" ht="20.100000000000001" customHeight="1" x14ac:dyDescent="0.25">
      <c r="A14" s="394"/>
      <c r="B14" s="301"/>
      <c r="C14" s="632"/>
    </row>
    <row r="15" spans="1:4" ht="35.25" customHeight="1" x14ac:dyDescent="0.25">
      <c r="A15" s="395" t="s">
        <v>478</v>
      </c>
      <c r="B15" s="396" t="s">
        <v>1105</v>
      </c>
      <c r="C15" s="631">
        <v>876</v>
      </c>
    </row>
    <row r="16" spans="1:4" ht="29.25" customHeight="1" x14ac:dyDescent="0.25">
      <c r="A16" s="394"/>
      <c r="B16" s="396" t="s">
        <v>1106</v>
      </c>
      <c r="C16" s="632">
        <v>1188</v>
      </c>
    </row>
    <row r="17" spans="1:4" ht="19.5" customHeight="1" x14ac:dyDescent="0.25">
      <c r="A17" s="394"/>
      <c r="B17" s="396"/>
      <c r="C17" s="632"/>
    </row>
    <row r="18" spans="1:4" ht="36" customHeight="1" x14ac:dyDescent="0.25">
      <c r="A18" s="395" t="s">
        <v>479</v>
      </c>
      <c r="B18" s="396" t="s">
        <v>1095</v>
      </c>
      <c r="C18" s="633">
        <v>40</v>
      </c>
    </row>
    <row r="19" spans="1:4" ht="20.100000000000001" customHeight="1" x14ac:dyDescent="0.25">
      <c r="A19" s="394"/>
      <c r="B19" s="397"/>
      <c r="C19" s="632"/>
    </row>
    <row r="20" spans="1:4" s="303" customFormat="1" ht="20.100000000000001" customHeight="1" x14ac:dyDescent="0.25">
      <c r="A20" s="394" t="s">
        <v>480</v>
      </c>
      <c r="B20" s="303" t="s">
        <v>1093</v>
      </c>
      <c r="C20" s="634">
        <f>SUM(C13:C19)</f>
        <v>159761</v>
      </c>
      <c r="D20" s="302"/>
    </row>
    <row r="21" spans="1:4" ht="20.100000000000001" customHeight="1" x14ac:dyDescent="0.25">
      <c r="A21" s="301"/>
      <c r="B21" s="301"/>
      <c r="C21" s="632"/>
    </row>
    <row r="22" spans="1:4" ht="20.100000000000001" customHeight="1" x14ac:dyDescent="0.25">
      <c r="C22" s="313"/>
    </row>
    <row r="23" spans="1:4" ht="20.100000000000001" customHeight="1" x14ac:dyDescent="0.25">
      <c r="B23" s="303" t="s">
        <v>1088</v>
      </c>
      <c r="C23" s="632"/>
    </row>
    <row r="24" spans="1:4" ht="20.100000000000001" customHeight="1" x14ac:dyDescent="0.25">
      <c r="B24" s="301" t="s">
        <v>1091</v>
      </c>
      <c r="C24" s="632">
        <v>2425</v>
      </c>
    </row>
    <row r="25" spans="1:4" ht="20.100000000000001" customHeight="1" x14ac:dyDescent="0.25">
      <c r="B25" s="301"/>
      <c r="C25" s="1074"/>
    </row>
    <row r="26" spans="1:4" ht="33" customHeight="1" x14ac:dyDescent="0.25">
      <c r="B26" s="396" t="s">
        <v>1217</v>
      </c>
      <c r="C26" s="632">
        <v>2088</v>
      </c>
    </row>
    <row r="27" spans="1:4" ht="21" customHeight="1" x14ac:dyDescent="0.25">
      <c r="B27" s="396"/>
      <c r="C27" s="632"/>
    </row>
    <row r="28" spans="1:4" ht="32.25" customHeight="1" x14ac:dyDescent="0.25">
      <c r="B28" s="396" t="s">
        <v>1218</v>
      </c>
      <c r="C28" s="632">
        <v>194</v>
      </c>
    </row>
    <row r="29" spans="1:4" ht="33" customHeight="1" x14ac:dyDescent="0.25">
      <c r="B29" s="396"/>
      <c r="C29" s="1075"/>
    </row>
    <row r="30" spans="1:4" ht="20.100000000000001" customHeight="1" x14ac:dyDescent="0.25">
      <c r="B30" s="303" t="s">
        <v>1092</v>
      </c>
      <c r="C30" s="634">
        <f>SUM(C24:C28)</f>
        <v>4707</v>
      </c>
    </row>
    <row r="31" spans="1:4" ht="20.100000000000001" customHeight="1" x14ac:dyDescent="0.25">
      <c r="B31" s="301"/>
      <c r="C31" s="301"/>
    </row>
    <row r="32" spans="1:4" ht="20.100000000000001" customHeight="1" x14ac:dyDescent="0.25">
      <c r="B32" s="303" t="s">
        <v>1094</v>
      </c>
      <c r="C32" s="634">
        <f>C20+C30</f>
        <v>164468</v>
      </c>
    </row>
  </sheetData>
  <mergeCells count="6">
    <mergeCell ref="B2:C2"/>
    <mergeCell ref="A10:A11"/>
    <mergeCell ref="B4:C4"/>
    <mergeCell ref="B5:C5"/>
    <mergeCell ref="B6:C6"/>
    <mergeCell ref="B7:C7"/>
  </mergeCells>
  <phoneticPr fontId="93" type="noConversion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6"/>
  <sheetViews>
    <sheetView zoomScaleNormal="100" workbookViewId="0">
      <selection activeCell="M32" sqref="M32"/>
    </sheetView>
  </sheetViews>
  <sheetFormatPr defaultColWidth="10.28515625" defaultRowHeight="12.75" x14ac:dyDescent="0.2"/>
  <cols>
    <col min="1" max="1" width="3.140625" style="306" customWidth="1"/>
    <col min="2" max="2" width="31" style="306" bestFit="1" customWidth="1"/>
    <col min="3" max="3" width="16.85546875" style="306" bestFit="1" customWidth="1"/>
    <col min="4" max="4" width="15.5703125" style="306" customWidth="1"/>
    <col min="5" max="5" width="9.85546875" style="306" bestFit="1" customWidth="1"/>
    <col min="6" max="6" width="12.7109375" style="306" bestFit="1" customWidth="1"/>
    <col min="7" max="7" width="12.140625" style="306" bestFit="1" customWidth="1"/>
    <col min="8" max="8" width="10.85546875" style="306" bestFit="1" customWidth="1"/>
    <col min="9" max="9" width="27.28515625" style="306" bestFit="1" customWidth="1"/>
    <col min="10" max="10" width="9" style="306" bestFit="1" customWidth="1"/>
    <col min="11" max="11" width="10.28515625" style="306" customWidth="1"/>
    <col min="12" max="12" width="10.28515625" style="306"/>
    <col min="13" max="16384" width="10.28515625" style="311"/>
  </cols>
  <sheetData>
    <row r="1" spans="1:12" s="306" customFormat="1" ht="15.75" x14ac:dyDescent="0.25">
      <c r="A1" s="1683" t="s">
        <v>1360</v>
      </c>
      <c r="B1" s="1683"/>
      <c r="C1" s="1683"/>
      <c r="D1" s="1683"/>
      <c r="E1" s="1683"/>
      <c r="F1" s="1683"/>
      <c r="G1" s="1683"/>
      <c r="H1" s="1683"/>
      <c r="I1" s="1683"/>
      <c r="J1" s="1683"/>
    </row>
    <row r="2" spans="1:12" s="306" customFormat="1" ht="14.1" customHeight="1" x14ac:dyDescent="0.2"/>
    <row r="3" spans="1:12" s="306" customFormat="1" ht="15" customHeight="1" x14ac:dyDescent="0.25">
      <c r="B3" s="1672" t="s">
        <v>77</v>
      </c>
      <c r="C3" s="1672"/>
      <c r="D3" s="1672"/>
      <c r="E3" s="1672"/>
      <c r="F3" s="1672"/>
      <c r="G3" s="1672"/>
      <c r="H3" s="1672"/>
      <c r="I3" s="1672"/>
      <c r="J3" s="1672"/>
    </row>
    <row r="4" spans="1:12" s="306" customFormat="1" ht="15" customHeight="1" x14ac:dyDescent="0.25">
      <c r="B4" s="1672" t="s">
        <v>1195</v>
      </c>
      <c r="C4" s="1672"/>
      <c r="D4" s="1672"/>
      <c r="E4" s="1672"/>
      <c r="F4" s="1672"/>
      <c r="G4" s="1672"/>
      <c r="H4" s="1672"/>
      <c r="I4" s="1672"/>
      <c r="J4" s="1672"/>
    </row>
    <row r="5" spans="1:12" s="306" customFormat="1" ht="15" customHeight="1" x14ac:dyDescent="0.25">
      <c r="B5" s="1672" t="s">
        <v>1204</v>
      </c>
      <c r="C5" s="1672"/>
      <c r="D5" s="1672"/>
      <c r="E5" s="1672"/>
      <c r="F5" s="1672"/>
      <c r="G5" s="1672"/>
      <c r="H5" s="1672"/>
      <c r="I5" s="1672"/>
      <c r="J5" s="1672"/>
    </row>
    <row r="6" spans="1:12" s="306" customFormat="1" ht="15" customHeight="1" x14ac:dyDescent="0.25">
      <c r="B6" s="1672"/>
      <c r="C6" s="1672"/>
      <c r="D6" s="1672"/>
      <c r="E6" s="1672"/>
      <c r="F6" s="1672"/>
      <c r="G6" s="1672"/>
      <c r="H6" s="1672"/>
      <c r="I6" s="1672"/>
      <c r="J6" s="1672"/>
    </row>
    <row r="7" spans="1:12" s="306" customFormat="1" ht="15" customHeight="1" x14ac:dyDescent="0.25">
      <c r="B7" s="1673" t="s">
        <v>307</v>
      </c>
      <c r="C7" s="1673"/>
      <c r="D7" s="1673"/>
      <c r="E7" s="1673"/>
      <c r="F7" s="1673"/>
      <c r="G7" s="1673"/>
      <c r="H7" s="1673"/>
      <c r="I7" s="1673"/>
      <c r="J7" s="1673"/>
    </row>
    <row r="8" spans="1:12" s="307" customFormat="1" ht="14.1" customHeight="1" x14ac:dyDescent="0.25">
      <c r="A8" s="1684" t="s">
        <v>460</v>
      </c>
      <c r="B8" s="1079" t="s">
        <v>57</v>
      </c>
      <c r="C8" s="1079" t="s">
        <v>58</v>
      </c>
      <c r="D8" s="1079" t="s">
        <v>59</v>
      </c>
      <c r="E8" s="1079" t="s">
        <v>60</v>
      </c>
      <c r="F8" s="1079" t="s">
        <v>461</v>
      </c>
      <c r="G8" s="1079" t="s">
        <v>462</v>
      </c>
      <c r="H8" s="1079" t="s">
        <v>463</v>
      </c>
      <c r="I8" s="1079" t="s">
        <v>580</v>
      </c>
      <c r="J8" s="1079" t="s">
        <v>588</v>
      </c>
    </row>
    <row r="9" spans="1:12" s="308" customFormat="1" ht="17.25" customHeight="1" x14ac:dyDescent="0.25">
      <c r="A9" s="1684"/>
      <c r="B9" s="1676" t="s">
        <v>85</v>
      </c>
      <c r="C9" s="1678" t="s">
        <v>1205</v>
      </c>
      <c r="D9" s="1678" t="s">
        <v>1196</v>
      </c>
      <c r="E9" s="1676" t="s">
        <v>413</v>
      </c>
      <c r="F9" s="1680" t="s">
        <v>414</v>
      </c>
      <c r="G9" s="1676" t="s">
        <v>415</v>
      </c>
      <c r="H9" s="1678" t="s">
        <v>884</v>
      </c>
      <c r="I9" s="1682" t="s">
        <v>416</v>
      </c>
      <c r="J9" s="1682"/>
    </row>
    <row r="10" spans="1:12" s="308" customFormat="1" ht="30" customHeight="1" x14ac:dyDescent="0.25">
      <c r="A10" s="1684"/>
      <c r="B10" s="1677"/>
      <c r="C10" s="1679"/>
      <c r="D10" s="1679"/>
      <c r="E10" s="1677"/>
      <c r="F10" s="1681"/>
      <c r="G10" s="1677"/>
      <c r="H10" s="1679"/>
      <c r="I10" s="1079" t="s">
        <v>417</v>
      </c>
      <c r="J10" s="1079" t="s">
        <v>418</v>
      </c>
    </row>
    <row r="11" spans="1:12" s="307" customFormat="1" ht="16.5" customHeight="1" x14ac:dyDescent="0.25">
      <c r="A11" s="309" t="s">
        <v>470</v>
      </c>
      <c r="B11" s="1070" t="s">
        <v>419</v>
      </c>
    </row>
    <row r="12" spans="1:12" s="308" customFormat="1" ht="15" customHeight="1" x14ac:dyDescent="0.25">
      <c r="A12" s="309" t="s">
        <v>478</v>
      </c>
      <c r="B12" s="315" t="s">
        <v>1206</v>
      </c>
      <c r="C12" s="316">
        <v>1197791</v>
      </c>
      <c r="D12" s="316">
        <v>1197791</v>
      </c>
      <c r="E12" s="317" t="s">
        <v>1207</v>
      </c>
      <c r="F12" s="1077" t="s">
        <v>898</v>
      </c>
      <c r="G12" s="1077">
        <v>46727</v>
      </c>
      <c r="H12" s="316">
        <v>155395</v>
      </c>
      <c r="I12" s="318" t="s">
        <v>1208</v>
      </c>
      <c r="J12" s="316">
        <v>14605</v>
      </c>
    </row>
    <row r="13" spans="1:12" s="310" customFormat="1" ht="15" customHeight="1" x14ac:dyDescent="0.25">
      <c r="A13" s="309" t="s">
        <v>479</v>
      </c>
      <c r="B13" s="308" t="s">
        <v>424</v>
      </c>
      <c r="C13" s="319">
        <f>SUM(C12:C12)</f>
        <v>1197791</v>
      </c>
      <c r="D13" s="319">
        <f>SUM(D12:D12)</f>
        <v>1197791</v>
      </c>
      <c r="E13" s="320"/>
      <c r="F13" s="320"/>
      <c r="G13" s="320"/>
      <c r="H13" s="319">
        <f>SUM(H12:H12)</f>
        <v>155395</v>
      </c>
      <c r="I13" s="318"/>
      <c r="J13" s="319">
        <f>SUM(J12)</f>
        <v>14605</v>
      </c>
      <c r="K13" s="307"/>
      <c r="L13" s="307"/>
    </row>
    <row r="14" spans="1:12" s="310" customFormat="1" ht="15" customHeight="1" x14ac:dyDescent="0.25">
      <c r="A14" s="309"/>
      <c r="B14" s="308"/>
      <c r="C14" s="319"/>
      <c r="D14" s="319"/>
      <c r="E14" s="320"/>
      <c r="F14" s="320"/>
      <c r="G14" s="320"/>
      <c r="H14" s="319"/>
      <c r="I14" s="318"/>
      <c r="J14" s="317"/>
      <c r="K14" s="307"/>
      <c r="L14" s="307"/>
    </row>
    <row r="15" spans="1:12" s="310" customFormat="1" ht="16.5" customHeight="1" x14ac:dyDescent="0.25">
      <c r="A15" s="309"/>
      <c r="B15" s="308"/>
      <c r="C15" s="319"/>
      <c r="D15" s="319"/>
      <c r="E15" s="320"/>
      <c r="F15" s="320"/>
      <c r="G15" s="320"/>
      <c r="H15" s="319"/>
      <c r="I15" s="318"/>
      <c r="J15" s="317"/>
      <c r="K15" s="307"/>
      <c r="L15" s="307"/>
    </row>
    <row r="16" spans="1:12" s="310" customFormat="1" ht="15.75" x14ac:dyDescent="0.25">
      <c r="A16" s="309"/>
      <c r="B16" s="1672" t="s">
        <v>77</v>
      </c>
      <c r="C16" s="1672"/>
      <c r="D16" s="1672"/>
      <c r="E16" s="1672"/>
      <c r="F16" s="1672"/>
      <c r="G16" s="1672"/>
      <c r="H16" s="1672"/>
      <c r="I16" s="1672"/>
      <c r="J16" s="1672"/>
      <c r="K16" s="307"/>
      <c r="L16" s="307"/>
    </row>
    <row r="17" spans="1:12" s="310" customFormat="1" ht="15.75" x14ac:dyDescent="0.25">
      <c r="A17" s="309"/>
      <c r="B17" s="1672" t="s">
        <v>1195</v>
      </c>
      <c r="C17" s="1672"/>
      <c r="D17" s="1672"/>
      <c r="E17" s="1672"/>
      <c r="F17" s="1672"/>
      <c r="G17" s="1672"/>
      <c r="H17" s="1672"/>
      <c r="I17" s="1672"/>
      <c r="J17" s="1672"/>
      <c r="K17" s="307"/>
      <c r="L17" s="307"/>
    </row>
    <row r="18" spans="1:12" s="310" customFormat="1" ht="15.75" x14ac:dyDescent="0.25">
      <c r="A18" s="309"/>
      <c r="B18" s="1672" t="s">
        <v>411</v>
      </c>
      <c r="C18" s="1672"/>
      <c r="D18" s="1672"/>
      <c r="E18" s="1672"/>
      <c r="F18" s="1672"/>
      <c r="G18" s="1672"/>
      <c r="H18" s="1672"/>
      <c r="I18" s="1672"/>
      <c r="J18" s="1672"/>
      <c r="K18" s="307"/>
      <c r="L18" s="307"/>
    </row>
    <row r="19" spans="1:12" s="310" customFormat="1" ht="15.75" x14ac:dyDescent="0.25">
      <c r="A19" s="309"/>
      <c r="B19" s="308"/>
      <c r="C19" s="319"/>
      <c r="D19" s="319"/>
      <c r="E19" s="320"/>
      <c r="F19" s="320"/>
      <c r="G19" s="320"/>
      <c r="H19" s="319"/>
      <c r="I19" s="318"/>
      <c r="J19" s="317"/>
      <c r="K19" s="307"/>
      <c r="L19" s="307"/>
    </row>
    <row r="20" spans="1:12" ht="15.75" x14ac:dyDescent="0.25">
      <c r="B20" s="1673" t="s">
        <v>307</v>
      </c>
      <c r="C20" s="1673"/>
      <c r="D20" s="1673"/>
      <c r="E20" s="1673"/>
      <c r="F20" s="1673"/>
      <c r="G20" s="1673"/>
      <c r="H20" s="1673"/>
      <c r="I20" s="1673"/>
      <c r="J20" s="1673"/>
    </row>
    <row r="21" spans="1:12" s="307" customFormat="1" ht="15.75" x14ac:dyDescent="0.25">
      <c r="A21" s="1674" t="s">
        <v>460</v>
      </c>
      <c r="B21" s="1079" t="s">
        <v>57</v>
      </c>
      <c r="C21" s="1079" t="s">
        <v>58</v>
      </c>
      <c r="D21" s="1079" t="s">
        <v>59</v>
      </c>
      <c r="E21" s="1079" t="s">
        <v>60</v>
      </c>
      <c r="F21" s="1079" t="s">
        <v>461</v>
      </c>
      <c r="G21" s="1079" t="s">
        <v>462</v>
      </c>
      <c r="H21" s="1079" t="s">
        <v>463</v>
      </c>
      <c r="I21" s="1079" t="s">
        <v>580</v>
      </c>
      <c r="J21" s="1079" t="s">
        <v>588</v>
      </c>
    </row>
    <row r="22" spans="1:12" s="308" customFormat="1" ht="15.75" customHeight="1" x14ac:dyDescent="0.25">
      <c r="A22" s="1675"/>
      <c r="B22" s="1676" t="s">
        <v>85</v>
      </c>
      <c r="C22" s="1678" t="s">
        <v>412</v>
      </c>
      <c r="D22" s="1678" t="s">
        <v>1196</v>
      </c>
      <c r="E22" s="1676" t="s">
        <v>413</v>
      </c>
      <c r="F22" s="1680" t="s">
        <v>414</v>
      </c>
      <c r="G22" s="1676" t="s">
        <v>415</v>
      </c>
      <c r="H22" s="1678" t="s">
        <v>884</v>
      </c>
      <c r="I22" s="1682" t="s">
        <v>416</v>
      </c>
      <c r="J22" s="1682"/>
    </row>
    <row r="23" spans="1:12" s="308" customFormat="1" ht="15.75" x14ac:dyDescent="0.25">
      <c r="A23" s="1675"/>
      <c r="B23" s="1677"/>
      <c r="C23" s="1679"/>
      <c r="D23" s="1679"/>
      <c r="E23" s="1677"/>
      <c r="F23" s="1681"/>
      <c r="G23" s="1677"/>
      <c r="H23" s="1679"/>
      <c r="I23" s="1079" t="s">
        <v>417</v>
      </c>
      <c r="J23" s="1079" t="s">
        <v>418</v>
      </c>
    </row>
    <row r="24" spans="1:12" s="307" customFormat="1" ht="15.75" x14ac:dyDescent="0.25">
      <c r="A24" s="309" t="s">
        <v>470</v>
      </c>
      <c r="B24" s="1070" t="s">
        <v>419</v>
      </c>
    </row>
    <row r="25" spans="1:12" s="308" customFormat="1" ht="15.75" x14ac:dyDescent="0.25">
      <c r="A25" s="309" t="s">
        <v>478</v>
      </c>
      <c r="B25" s="315" t="s">
        <v>423</v>
      </c>
      <c r="C25" s="316">
        <v>31530</v>
      </c>
      <c r="D25" s="316">
        <v>19031</v>
      </c>
      <c r="E25" s="317" t="s">
        <v>420</v>
      </c>
      <c r="F25" s="317" t="s">
        <v>421</v>
      </c>
      <c r="G25" s="317" t="s">
        <v>421</v>
      </c>
      <c r="H25" s="316">
        <v>3006</v>
      </c>
      <c r="I25" s="318">
        <v>0</v>
      </c>
      <c r="J25" s="317" t="s">
        <v>422</v>
      </c>
    </row>
    <row r="26" spans="1:12" s="310" customFormat="1" ht="15.75" x14ac:dyDescent="0.25">
      <c r="A26" s="309" t="s">
        <v>479</v>
      </c>
      <c r="B26" s="308" t="s">
        <v>424</v>
      </c>
      <c r="C26" s="319">
        <f>SUM(C25:C25)</f>
        <v>31530</v>
      </c>
      <c r="D26" s="319">
        <f>SUM(D25:D25)</f>
        <v>19031</v>
      </c>
      <c r="E26" s="320"/>
      <c r="F26" s="320"/>
      <c r="G26" s="320"/>
      <c r="H26" s="319">
        <f>SUM(H25:H25)</f>
        <v>3006</v>
      </c>
      <c r="I26" s="318"/>
      <c r="J26" s="317" t="s">
        <v>422</v>
      </c>
      <c r="K26" s="307"/>
      <c r="L26" s="307"/>
    </row>
  </sheetData>
  <mergeCells count="28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  <mergeCell ref="B16:J16"/>
    <mergeCell ref="B17:J17"/>
    <mergeCell ref="B18:J18"/>
    <mergeCell ref="B20:J20"/>
    <mergeCell ref="A21:A23"/>
    <mergeCell ref="B22:B23"/>
    <mergeCell ref="C22:C23"/>
    <mergeCell ref="D22:D23"/>
    <mergeCell ref="E22:E23"/>
    <mergeCell ref="F22:F23"/>
    <mergeCell ref="G22:G23"/>
    <mergeCell ref="H22:H23"/>
    <mergeCell ref="I22:J22"/>
  </mergeCells>
  <phoneticPr fontId="93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W85"/>
  <sheetViews>
    <sheetView workbookViewId="0">
      <selection activeCell="L23" sqref="L23"/>
    </sheetView>
  </sheetViews>
  <sheetFormatPr defaultColWidth="61.7109375" defaultRowHeight="12" x14ac:dyDescent="0.2"/>
  <cols>
    <col min="1" max="1" width="61.7109375" style="148" customWidth="1"/>
    <col min="2" max="2" width="9.85546875" style="148" hidden="1" customWidth="1"/>
    <col min="3" max="3" width="11.7109375" style="148" hidden="1" customWidth="1"/>
    <col min="4" max="4" width="9.85546875" style="148" hidden="1" customWidth="1"/>
    <col min="5" max="5" width="15.85546875" style="15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1.42578125" style="6" customWidth="1"/>
    <col min="11" max="11" width="10" style="6" bestFit="1" customWidth="1"/>
    <col min="12" max="13" width="11.42578125" style="6" bestFit="1" customWidth="1"/>
    <col min="14" max="15" width="8" style="6" customWidth="1"/>
    <col min="16" max="16" width="10.85546875" style="6" bestFit="1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451" t="s">
        <v>1356</v>
      </c>
      <c r="B1" s="1451"/>
      <c r="C1" s="1451"/>
      <c r="D1" s="1451"/>
      <c r="E1" s="1451"/>
      <c r="F1" s="1451"/>
      <c r="G1" s="1451"/>
      <c r="H1" s="1451"/>
      <c r="I1" s="1451"/>
      <c r="J1" s="1451"/>
      <c r="K1" s="909"/>
      <c r="L1" s="909"/>
      <c r="M1" s="909"/>
      <c r="N1" s="909"/>
      <c r="O1" s="909"/>
      <c r="P1" s="909"/>
      <c r="Q1" s="909"/>
      <c r="R1" s="909"/>
    </row>
    <row r="2" spans="1:257" x14ac:dyDescent="0.2">
      <c r="A2" s="910"/>
      <c r="B2" s="910"/>
      <c r="C2" s="910"/>
      <c r="D2" s="910"/>
      <c r="E2" s="911"/>
      <c r="F2" s="1440"/>
      <c r="G2" s="1440"/>
      <c r="H2" s="1440"/>
      <c r="I2" s="1440"/>
      <c r="J2" s="1017"/>
      <c r="K2" s="909"/>
      <c r="L2" s="909"/>
      <c r="M2" s="909"/>
      <c r="N2" s="909"/>
      <c r="O2" s="909"/>
      <c r="P2" s="909"/>
      <c r="Q2" s="909"/>
      <c r="R2" s="909"/>
    </row>
    <row r="3" spans="1:257" ht="30" customHeight="1" x14ac:dyDescent="0.2">
      <c r="A3" s="1452" t="s">
        <v>77</v>
      </c>
      <c r="B3" s="1452"/>
      <c r="C3" s="1452"/>
      <c r="D3" s="1452"/>
      <c r="E3" s="1452"/>
      <c r="F3" s="1452"/>
      <c r="G3" s="1452"/>
      <c r="H3" s="1452"/>
      <c r="I3" s="1452"/>
      <c r="J3" s="1452"/>
      <c r="K3" s="909"/>
      <c r="L3" s="909"/>
      <c r="M3" s="909"/>
      <c r="N3" s="909"/>
      <c r="O3" s="909"/>
      <c r="P3" s="909"/>
      <c r="Q3" s="909"/>
      <c r="R3" s="909"/>
    </row>
    <row r="4" spans="1:257" ht="33" customHeight="1" x14ac:dyDescent="0.2">
      <c r="A4" s="1452" t="s">
        <v>1137</v>
      </c>
      <c r="B4" s="1452"/>
      <c r="C4" s="1452"/>
      <c r="D4" s="1452"/>
      <c r="E4" s="1452"/>
      <c r="F4" s="1452"/>
      <c r="G4" s="1452"/>
      <c r="H4" s="1452"/>
      <c r="I4" s="1452"/>
      <c r="J4" s="1452"/>
      <c r="K4" s="909"/>
      <c r="L4" s="909"/>
      <c r="M4" s="909"/>
      <c r="N4" s="909"/>
      <c r="O4" s="909"/>
      <c r="P4" s="909"/>
      <c r="Q4" s="909"/>
      <c r="R4" s="909"/>
    </row>
    <row r="5" spans="1:257" x14ac:dyDescent="0.2">
      <c r="A5" s="910"/>
      <c r="B5" s="910"/>
      <c r="C5" s="910"/>
      <c r="D5" s="910"/>
      <c r="E5" s="911"/>
      <c r="F5" s="909"/>
      <c r="G5" s="909"/>
      <c r="H5" s="909"/>
      <c r="I5" s="909"/>
      <c r="J5" s="909"/>
      <c r="K5" s="909"/>
      <c r="L5" s="909"/>
      <c r="M5" s="909"/>
      <c r="N5" s="909"/>
      <c r="O5" s="909"/>
      <c r="P5" s="909"/>
      <c r="Q5" s="909"/>
      <c r="R5" s="909"/>
    </row>
    <row r="6" spans="1:257" ht="13.5" thickBot="1" x14ac:dyDescent="0.25">
      <c r="A6" s="910"/>
      <c r="B6" s="910"/>
      <c r="C6" s="910"/>
      <c r="D6" s="910"/>
      <c r="E6" s="1024" t="s">
        <v>20</v>
      </c>
      <c r="F6" s="1025"/>
      <c r="G6" s="909"/>
      <c r="H6" s="909"/>
      <c r="I6" s="909"/>
      <c r="J6" s="909"/>
      <c r="K6" s="909"/>
      <c r="L6" s="909"/>
      <c r="M6" s="909"/>
      <c r="N6" s="909"/>
      <c r="O6" s="909"/>
      <c r="P6" s="909"/>
      <c r="Q6" s="909"/>
      <c r="R6" s="909"/>
    </row>
    <row r="7" spans="1:257" ht="30.75" customHeight="1" thickBot="1" x14ac:dyDescent="0.25">
      <c r="A7" s="1441" t="s">
        <v>78</v>
      </c>
      <c r="B7" s="1443" t="s">
        <v>103</v>
      </c>
      <c r="C7" s="1444"/>
      <c r="D7" s="1444"/>
      <c r="E7" s="1444"/>
      <c r="F7" s="1445" t="s">
        <v>1138</v>
      </c>
      <c r="G7" s="1446"/>
      <c r="H7" s="1446"/>
      <c r="I7" s="1446"/>
      <c r="J7" s="1453" t="s">
        <v>1139</v>
      </c>
      <c r="K7" s="909"/>
      <c r="L7" s="909"/>
      <c r="M7" s="909"/>
      <c r="N7" s="909"/>
      <c r="O7" s="909"/>
      <c r="P7" s="909"/>
      <c r="Q7" s="909"/>
      <c r="R7" s="909"/>
    </row>
    <row r="8" spans="1:257" ht="36.75" thickBot="1" x14ac:dyDescent="0.25">
      <c r="A8" s="1442"/>
      <c r="B8" s="912" t="s">
        <v>79</v>
      </c>
      <c r="C8" s="913" t="s">
        <v>80</v>
      </c>
      <c r="D8" s="913" t="s">
        <v>662</v>
      </c>
      <c r="E8" s="914" t="s">
        <v>81</v>
      </c>
      <c r="F8" s="912" t="s">
        <v>79</v>
      </c>
      <c r="G8" s="913" t="s">
        <v>80</v>
      </c>
      <c r="H8" s="913" t="s">
        <v>662</v>
      </c>
      <c r="I8" s="1026" t="s">
        <v>81</v>
      </c>
      <c r="J8" s="1454"/>
      <c r="K8" s="915"/>
      <c r="L8" s="915"/>
      <c r="M8" s="915"/>
      <c r="N8" s="915"/>
      <c r="O8" s="915"/>
      <c r="P8" s="915"/>
      <c r="Q8" s="915"/>
      <c r="R8" s="915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spans="1:257" ht="12.75" x14ac:dyDescent="0.2">
      <c r="A9" s="916" t="s">
        <v>82</v>
      </c>
      <c r="B9" s="917"/>
      <c r="C9" s="917"/>
      <c r="D9" s="917"/>
      <c r="E9" s="917"/>
      <c r="F9" s="918"/>
      <c r="G9" s="918"/>
      <c r="H9" s="918"/>
      <c r="I9" s="1027"/>
      <c r="J9" s="918"/>
      <c r="K9" s="915"/>
      <c r="L9" s="909"/>
      <c r="M9" s="909"/>
      <c r="N9" s="909"/>
      <c r="O9" s="909"/>
      <c r="P9" s="909"/>
      <c r="Q9" s="909"/>
      <c r="R9" s="909"/>
    </row>
    <row r="10" spans="1:257" ht="12.75" x14ac:dyDescent="0.2">
      <c r="A10" s="919" t="s">
        <v>782</v>
      </c>
      <c r="B10" s="586"/>
      <c r="C10" s="586"/>
      <c r="D10" s="586"/>
      <c r="E10" s="586"/>
      <c r="F10" s="635"/>
      <c r="G10" s="635"/>
      <c r="H10" s="635"/>
      <c r="I10" s="1028"/>
      <c r="J10" s="635"/>
      <c r="K10" s="915"/>
      <c r="L10" s="909"/>
      <c r="M10" s="909"/>
      <c r="N10" s="909"/>
      <c r="O10" s="909"/>
      <c r="P10" s="909"/>
      <c r="Q10" s="909"/>
      <c r="R10" s="909"/>
    </row>
    <row r="11" spans="1:257" ht="36" x14ac:dyDescent="0.2">
      <c r="A11" s="583" t="s">
        <v>1140</v>
      </c>
      <c r="B11" s="586">
        <v>4865</v>
      </c>
      <c r="C11" s="636">
        <v>18.690000000000001</v>
      </c>
      <c r="D11" s="586">
        <v>4580000</v>
      </c>
      <c r="E11" s="586">
        <f>C11*D11</f>
        <v>85600200</v>
      </c>
      <c r="F11" s="667" t="s">
        <v>1141</v>
      </c>
      <c r="G11" s="466">
        <v>18.399999999999999</v>
      </c>
      <c r="H11" s="773">
        <v>5450000</v>
      </c>
      <c r="I11" s="1029">
        <v>84363600</v>
      </c>
      <c r="J11" s="467">
        <v>100280000</v>
      </c>
      <c r="K11" s="915"/>
      <c r="L11" s="1447" t="s">
        <v>1142</v>
      </c>
      <c r="M11" s="1447"/>
      <c r="N11" s="1447"/>
      <c r="O11" s="1447"/>
      <c r="P11" s="1447"/>
      <c r="Q11" s="1447"/>
      <c r="R11" s="1447"/>
      <c r="S11" s="1447"/>
    </row>
    <row r="12" spans="1:257" ht="12.75" x14ac:dyDescent="0.2">
      <c r="A12" s="471" t="s">
        <v>1057</v>
      </c>
      <c r="B12" s="586"/>
      <c r="C12" s="586"/>
      <c r="D12" s="586"/>
      <c r="E12" s="586"/>
      <c r="F12" s="542"/>
      <c r="G12" s="591"/>
      <c r="H12" s="591"/>
      <c r="I12" s="1030"/>
      <c r="J12" s="542"/>
      <c r="K12" s="915"/>
      <c r="L12" s="909"/>
      <c r="M12" s="909"/>
      <c r="N12" s="909"/>
      <c r="O12" s="909"/>
      <c r="P12" s="909"/>
      <c r="Q12" s="909"/>
      <c r="R12" s="909"/>
    </row>
    <row r="13" spans="1:257" ht="12.75" x14ac:dyDescent="0.2">
      <c r="A13" s="583" t="s">
        <v>785</v>
      </c>
      <c r="B13" s="586"/>
      <c r="C13" s="595"/>
      <c r="D13" s="586" t="s">
        <v>287</v>
      </c>
      <c r="E13" s="586">
        <v>8328800</v>
      </c>
      <c r="F13" s="637"/>
      <c r="G13" s="466" t="s">
        <v>1143</v>
      </c>
      <c r="H13" s="1031" t="s">
        <v>1144</v>
      </c>
      <c r="I13" s="1029">
        <v>9412200</v>
      </c>
      <c r="J13" s="542"/>
      <c r="K13" s="915"/>
      <c r="L13" s="909"/>
      <c r="M13" s="909"/>
      <c r="N13" s="909"/>
      <c r="O13" s="909"/>
      <c r="P13" s="909"/>
      <c r="Q13" s="909"/>
      <c r="R13" s="909"/>
    </row>
    <row r="14" spans="1:257" ht="12.75" x14ac:dyDescent="0.2">
      <c r="A14" s="583" t="s">
        <v>786</v>
      </c>
      <c r="B14" s="586"/>
      <c r="C14" s="595"/>
      <c r="D14" s="586"/>
      <c r="E14" s="586"/>
      <c r="F14" s="542"/>
      <c r="G14" s="591"/>
      <c r="H14" s="591"/>
      <c r="I14" s="1029">
        <v>-9412200</v>
      </c>
      <c r="J14" s="542"/>
      <c r="K14" s="915"/>
      <c r="L14" s="909"/>
      <c r="M14" s="909"/>
      <c r="N14" s="909"/>
      <c r="O14" s="909"/>
      <c r="P14" s="909"/>
      <c r="Q14" s="909"/>
      <c r="R14" s="909"/>
    </row>
    <row r="15" spans="1:257" ht="24" x14ac:dyDescent="0.2">
      <c r="A15" s="583" t="s">
        <v>787</v>
      </c>
      <c r="B15" s="586"/>
      <c r="C15" s="595"/>
      <c r="D15" s="586"/>
      <c r="E15" s="586"/>
      <c r="F15" s="542"/>
      <c r="G15" s="591"/>
      <c r="H15" s="591"/>
      <c r="I15" s="1029">
        <f>I13+I14</f>
        <v>0</v>
      </c>
      <c r="J15" s="542"/>
      <c r="K15" s="915"/>
      <c r="L15" s="909"/>
      <c r="M15" s="909"/>
      <c r="N15" s="909"/>
      <c r="O15" s="909"/>
      <c r="P15" s="909"/>
      <c r="Q15" s="909"/>
      <c r="R15" s="909"/>
    </row>
    <row r="16" spans="1:257" ht="12.75" x14ac:dyDescent="0.2">
      <c r="A16" s="471" t="s">
        <v>788</v>
      </c>
      <c r="B16" s="586"/>
      <c r="C16" s="586"/>
      <c r="D16" s="639" t="s">
        <v>288</v>
      </c>
      <c r="E16" s="586">
        <v>18272000</v>
      </c>
      <c r="F16" s="542"/>
      <c r="G16" s="591"/>
      <c r="H16" s="920" t="s">
        <v>288</v>
      </c>
      <c r="I16" s="1029">
        <v>18400000</v>
      </c>
      <c r="J16" s="542"/>
      <c r="K16" s="915"/>
      <c r="L16" s="909"/>
      <c r="M16" s="909"/>
      <c r="N16" s="909"/>
      <c r="O16" s="909"/>
      <c r="P16" s="909"/>
      <c r="Q16" s="909"/>
      <c r="R16" s="909"/>
    </row>
    <row r="17" spans="1:18" ht="12.75" x14ac:dyDescent="0.2">
      <c r="A17" s="471" t="s">
        <v>786</v>
      </c>
      <c r="B17" s="586"/>
      <c r="C17" s="586"/>
      <c r="D17" s="639"/>
      <c r="E17" s="586"/>
      <c r="F17" s="542"/>
      <c r="G17" s="591"/>
      <c r="H17" s="591"/>
      <c r="I17" s="1029">
        <v>-18400000</v>
      </c>
      <c r="J17" s="542"/>
      <c r="K17" s="915"/>
      <c r="L17" s="909"/>
      <c r="M17" s="909"/>
      <c r="N17" s="909"/>
      <c r="O17" s="909"/>
      <c r="P17" s="909"/>
      <c r="Q17" s="909"/>
      <c r="R17" s="909"/>
    </row>
    <row r="18" spans="1:18" ht="12.75" x14ac:dyDescent="0.2">
      <c r="A18" s="471" t="s">
        <v>789</v>
      </c>
      <c r="B18" s="586"/>
      <c r="C18" s="586"/>
      <c r="D18" s="639"/>
      <c r="E18" s="586"/>
      <c r="F18" s="542"/>
      <c r="G18" s="591"/>
      <c r="H18" s="591"/>
      <c r="I18" s="1029">
        <f>I16+I17</f>
        <v>0</v>
      </c>
      <c r="J18" s="542"/>
      <c r="K18" s="915"/>
      <c r="L18" s="909"/>
      <c r="M18" s="909"/>
      <c r="N18" s="909"/>
      <c r="O18" s="909"/>
      <c r="P18" s="909"/>
      <c r="Q18" s="909"/>
      <c r="R18" s="909"/>
    </row>
    <row r="19" spans="1:18" ht="12.75" x14ac:dyDescent="0.2">
      <c r="A19" s="471" t="s">
        <v>790</v>
      </c>
      <c r="B19" s="586"/>
      <c r="C19" s="586" t="s">
        <v>1058</v>
      </c>
      <c r="D19" s="587" t="s">
        <v>663</v>
      </c>
      <c r="E19" s="586">
        <v>1355022</v>
      </c>
      <c r="F19" s="542"/>
      <c r="G19" s="468">
        <v>19638</v>
      </c>
      <c r="H19" s="588" t="s">
        <v>663</v>
      </c>
      <c r="I19" s="1029">
        <v>1355022</v>
      </c>
      <c r="J19" s="542"/>
      <c r="K19" s="915"/>
      <c r="L19" s="909"/>
      <c r="M19" s="909"/>
      <c r="N19" s="909"/>
      <c r="O19" s="909"/>
      <c r="P19" s="909"/>
      <c r="Q19" s="909"/>
      <c r="R19" s="909"/>
    </row>
    <row r="20" spans="1:18" ht="12.75" x14ac:dyDescent="0.2">
      <c r="A20" s="471" t="s">
        <v>792</v>
      </c>
      <c r="B20" s="586"/>
      <c r="C20" s="586"/>
      <c r="D20" s="587"/>
      <c r="E20" s="586"/>
      <c r="F20" s="542"/>
      <c r="G20" s="586"/>
      <c r="H20" s="587"/>
      <c r="I20" s="1029">
        <v>-1355022</v>
      </c>
      <c r="J20" s="542"/>
      <c r="K20" s="915"/>
      <c r="L20" s="909"/>
      <c r="M20" s="909"/>
      <c r="N20" s="909"/>
      <c r="O20" s="909"/>
      <c r="P20" s="909"/>
      <c r="Q20" s="909"/>
      <c r="R20" s="909"/>
    </row>
    <row r="21" spans="1:18" ht="12.75" x14ac:dyDescent="0.2">
      <c r="A21" s="471" t="s">
        <v>793</v>
      </c>
      <c r="B21" s="586"/>
      <c r="C21" s="586"/>
      <c r="D21" s="587"/>
      <c r="E21" s="586"/>
      <c r="F21" s="542"/>
      <c r="G21" s="586"/>
      <c r="H21" s="587"/>
      <c r="I21" s="1029">
        <f>I19+I20</f>
        <v>0</v>
      </c>
      <c r="J21" s="542"/>
      <c r="K21" s="915"/>
      <c r="L21" s="909"/>
      <c r="M21" s="909"/>
      <c r="N21" s="909"/>
      <c r="O21" s="909"/>
      <c r="P21" s="909"/>
      <c r="Q21" s="909"/>
      <c r="R21" s="909"/>
    </row>
    <row r="22" spans="1:18" ht="12.75" x14ac:dyDescent="0.2">
      <c r="A22" s="471" t="s">
        <v>794</v>
      </c>
      <c r="B22" s="586"/>
      <c r="C22" s="595"/>
      <c r="D22" s="639" t="s">
        <v>664</v>
      </c>
      <c r="E22" s="586">
        <v>6369620</v>
      </c>
      <c r="F22" s="542"/>
      <c r="G22" s="591"/>
      <c r="H22" s="585" t="s">
        <v>664</v>
      </c>
      <c r="I22" s="1029">
        <v>6212990</v>
      </c>
      <c r="J22" s="542"/>
      <c r="K22" s="915"/>
      <c r="L22" s="909"/>
      <c r="M22" s="909"/>
      <c r="N22" s="909"/>
      <c r="O22" s="909"/>
      <c r="P22" s="909"/>
      <c r="Q22" s="909"/>
      <c r="R22" s="909"/>
    </row>
    <row r="23" spans="1:18" ht="12.75" x14ac:dyDescent="0.2">
      <c r="A23" s="471" t="s">
        <v>792</v>
      </c>
      <c r="B23" s="586"/>
      <c r="C23" s="595"/>
      <c r="D23" s="639"/>
      <c r="E23" s="586"/>
      <c r="F23" s="542"/>
      <c r="G23" s="591"/>
      <c r="H23" s="639"/>
      <c r="I23" s="1029">
        <v>-6212990</v>
      </c>
      <c r="J23" s="542"/>
      <c r="K23" s="915"/>
      <c r="L23" s="909"/>
      <c r="M23" s="909"/>
      <c r="N23" s="909"/>
      <c r="O23" s="909"/>
      <c r="P23" s="909"/>
      <c r="Q23" s="909"/>
      <c r="R23" s="909"/>
    </row>
    <row r="24" spans="1:18" ht="12.75" x14ac:dyDescent="0.2">
      <c r="A24" s="471" t="s">
        <v>795</v>
      </c>
      <c r="B24" s="586"/>
      <c r="C24" s="595"/>
      <c r="D24" s="639"/>
      <c r="E24" s="586"/>
      <c r="F24" s="542"/>
      <c r="G24" s="591"/>
      <c r="H24" s="639"/>
      <c r="I24" s="1029">
        <f>I22+I23</f>
        <v>0</v>
      </c>
      <c r="J24" s="542"/>
      <c r="K24" s="915"/>
      <c r="L24" s="909"/>
      <c r="M24" s="909"/>
      <c r="N24" s="909"/>
      <c r="O24" s="909"/>
      <c r="P24" s="909"/>
      <c r="Q24" s="909"/>
      <c r="R24" s="909"/>
    </row>
    <row r="25" spans="1:18" ht="12.75" x14ac:dyDescent="0.2">
      <c r="A25" s="471" t="s">
        <v>796</v>
      </c>
      <c r="B25" s="586">
        <v>4865</v>
      </c>
      <c r="C25" s="586"/>
      <c r="D25" s="586">
        <v>2700</v>
      </c>
      <c r="E25" s="586">
        <f>B25*D25</f>
        <v>13135500</v>
      </c>
      <c r="F25" s="467">
        <v>4740</v>
      </c>
      <c r="G25" s="591"/>
      <c r="H25" s="468">
        <v>2700</v>
      </c>
      <c r="I25" s="1029">
        <f>F25*H25</f>
        <v>12798000</v>
      </c>
      <c r="J25" s="467"/>
      <c r="K25" s="7"/>
      <c r="L25" s="909"/>
      <c r="M25" s="909"/>
      <c r="N25" s="909"/>
      <c r="O25" s="909"/>
      <c r="P25" s="909"/>
      <c r="Q25" s="909"/>
      <c r="R25" s="909"/>
    </row>
    <row r="26" spans="1:18" ht="12.75" x14ac:dyDescent="0.2">
      <c r="A26" s="471" t="s">
        <v>797</v>
      </c>
      <c r="B26" s="586"/>
      <c r="C26" s="586"/>
      <c r="D26" s="586"/>
      <c r="E26" s="586">
        <v>-13135500</v>
      </c>
      <c r="F26" s="542"/>
      <c r="G26" s="591"/>
      <c r="H26" s="591"/>
      <c r="I26" s="1029">
        <v>-12798000</v>
      </c>
      <c r="J26" s="467"/>
      <c r="K26" s="915"/>
      <c r="L26" s="909"/>
      <c r="M26" s="909"/>
      <c r="N26" s="909"/>
      <c r="O26" s="909"/>
      <c r="P26" s="909"/>
      <c r="Q26" s="909"/>
      <c r="R26" s="909"/>
    </row>
    <row r="27" spans="1:18" ht="12.75" x14ac:dyDescent="0.2">
      <c r="A27" s="471" t="s">
        <v>798</v>
      </c>
      <c r="B27" s="586"/>
      <c r="C27" s="586"/>
      <c r="D27" s="586"/>
      <c r="E27" s="586">
        <f>E25+E26</f>
        <v>0</v>
      </c>
      <c r="F27" s="542"/>
      <c r="G27" s="591"/>
      <c r="H27" s="591"/>
      <c r="I27" s="1029">
        <f>I25+I26</f>
        <v>0</v>
      </c>
      <c r="J27" s="467"/>
      <c r="K27" s="915"/>
      <c r="L27" s="909"/>
      <c r="M27" s="909"/>
      <c r="N27" s="909"/>
      <c r="O27" s="909"/>
      <c r="P27" s="909"/>
      <c r="Q27" s="909"/>
      <c r="R27" s="909"/>
    </row>
    <row r="28" spans="1:18" ht="12.75" x14ac:dyDescent="0.2">
      <c r="A28" s="471" t="s">
        <v>799</v>
      </c>
      <c r="B28" s="586">
        <v>10</v>
      </c>
      <c r="C28" s="586"/>
      <c r="D28" s="586" t="s">
        <v>290</v>
      </c>
      <c r="E28" s="589">
        <v>25500</v>
      </c>
      <c r="F28" s="467">
        <v>20</v>
      </c>
      <c r="G28" s="591"/>
      <c r="H28" s="468" t="s">
        <v>290</v>
      </c>
      <c r="I28" s="1029">
        <v>51000</v>
      </c>
      <c r="J28" s="467"/>
      <c r="K28" s="915"/>
      <c r="L28" s="909"/>
      <c r="M28" s="909"/>
      <c r="N28" s="909"/>
      <c r="O28" s="909"/>
      <c r="P28" s="909"/>
      <c r="Q28" s="909"/>
      <c r="R28" s="909"/>
    </row>
    <row r="29" spans="1:18" ht="12.75" x14ac:dyDescent="0.2">
      <c r="A29" s="471" t="s">
        <v>800</v>
      </c>
      <c r="B29" s="586"/>
      <c r="C29" s="586"/>
      <c r="D29" s="586"/>
      <c r="E29" s="586">
        <v>-25500</v>
      </c>
      <c r="F29" s="542"/>
      <c r="G29" s="591"/>
      <c r="H29" s="591"/>
      <c r="I29" s="1029">
        <v>-51000</v>
      </c>
      <c r="J29" s="467"/>
      <c r="K29" s="915"/>
      <c r="L29" s="909"/>
      <c r="M29" s="909"/>
      <c r="N29" s="909"/>
      <c r="O29" s="909"/>
      <c r="P29" s="909"/>
      <c r="Q29" s="909"/>
      <c r="R29" s="909"/>
    </row>
    <row r="30" spans="1:18" ht="12.75" x14ac:dyDescent="0.2">
      <c r="A30" s="471" t="s">
        <v>801</v>
      </c>
      <c r="B30" s="586"/>
      <c r="C30" s="586"/>
      <c r="D30" s="586"/>
      <c r="E30" s="589">
        <v>0</v>
      </c>
      <c r="F30" s="542"/>
      <c r="G30" s="591"/>
      <c r="H30" s="591"/>
      <c r="I30" s="1029">
        <f>I28+I29</f>
        <v>0</v>
      </c>
      <c r="J30" s="467"/>
      <c r="K30" s="915"/>
      <c r="L30" s="909"/>
      <c r="M30" s="909"/>
      <c r="N30" s="909"/>
      <c r="O30" s="909"/>
      <c r="P30" s="909"/>
      <c r="Q30" s="909"/>
      <c r="R30" s="909"/>
    </row>
    <row r="31" spans="1:18" ht="12.75" x14ac:dyDescent="0.2">
      <c r="A31" s="471" t="s">
        <v>1059</v>
      </c>
      <c r="B31" s="586"/>
      <c r="C31" s="586">
        <v>487729000</v>
      </c>
      <c r="D31" s="595">
        <v>1.55</v>
      </c>
      <c r="E31" s="586">
        <f>C31*D31</f>
        <v>755979950</v>
      </c>
      <c r="F31" s="542"/>
      <c r="G31" s="467">
        <v>610672214</v>
      </c>
      <c r="H31" s="469">
        <v>1</v>
      </c>
      <c r="I31" s="1029">
        <f>G31*H31</f>
        <v>610672214</v>
      </c>
      <c r="J31" s="467"/>
      <c r="K31" s="915"/>
      <c r="L31" s="909"/>
      <c r="M31" s="909"/>
      <c r="N31" s="909"/>
      <c r="O31" s="909"/>
      <c r="P31" s="909"/>
      <c r="Q31" s="909"/>
      <c r="R31" s="909"/>
    </row>
    <row r="32" spans="1:18" ht="12.75" x14ac:dyDescent="0.2">
      <c r="A32" s="471" t="s">
        <v>797</v>
      </c>
      <c r="B32" s="586"/>
      <c r="C32" s="586"/>
      <c r="D32" s="600"/>
      <c r="E32" s="586">
        <v>-98054262</v>
      </c>
      <c r="F32" s="542"/>
      <c r="G32" s="591"/>
      <c r="H32" s="591"/>
      <c r="I32" s="1029">
        <v>-98302859</v>
      </c>
      <c r="J32" s="467"/>
      <c r="K32" s="915"/>
      <c r="L32" s="909"/>
      <c r="M32" s="909"/>
      <c r="N32" s="909"/>
      <c r="O32" s="909"/>
      <c r="P32" s="909"/>
      <c r="Q32" s="909"/>
      <c r="R32" s="909"/>
    </row>
    <row r="33" spans="1:23" ht="12.75" x14ac:dyDescent="0.2">
      <c r="A33" s="471" t="s">
        <v>803</v>
      </c>
      <c r="B33" s="586"/>
      <c r="C33" s="586"/>
      <c r="D33" s="600"/>
      <c r="E33" s="586">
        <f>E31+E32</f>
        <v>657925688</v>
      </c>
      <c r="F33" s="542"/>
      <c r="G33" s="591"/>
      <c r="H33" s="591"/>
      <c r="I33" s="1029">
        <f>I31+I32</f>
        <v>512369355</v>
      </c>
      <c r="J33" s="467"/>
      <c r="K33" s="915"/>
      <c r="L33" s="909"/>
      <c r="M33" s="909"/>
      <c r="N33" s="909"/>
      <c r="O33" s="909"/>
      <c r="P33" s="909"/>
      <c r="Q33" s="909"/>
      <c r="R33" s="909"/>
    </row>
    <row r="34" spans="1:23" ht="36" x14ac:dyDescent="0.2">
      <c r="A34" s="583" t="s">
        <v>1145</v>
      </c>
      <c r="B34" s="586"/>
      <c r="C34" s="586"/>
      <c r="D34" s="586"/>
      <c r="E34" s="586"/>
      <c r="F34" s="542"/>
      <c r="G34" s="591"/>
      <c r="H34" s="591"/>
      <c r="I34" s="1030"/>
      <c r="J34" s="542"/>
      <c r="K34" s="915"/>
      <c r="L34" s="592"/>
      <c r="N34" s="909"/>
      <c r="O34" s="909"/>
      <c r="P34" s="909"/>
      <c r="Q34" s="909"/>
      <c r="R34" s="909"/>
    </row>
    <row r="35" spans="1:23" ht="24" x14ac:dyDescent="0.2">
      <c r="A35" s="583" t="s">
        <v>1314</v>
      </c>
      <c r="B35" s="586"/>
      <c r="C35" s="586"/>
      <c r="D35" s="586"/>
      <c r="E35" s="586"/>
      <c r="F35" s="542"/>
      <c r="G35" s="591"/>
      <c r="H35" s="591"/>
      <c r="I35" s="1030"/>
      <c r="J35" s="542"/>
      <c r="K35" s="915"/>
      <c r="L35" s="921"/>
      <c r="N35" s="909"/>
      <c r="O35" s="909"/>
      <c r="P35" s="909"/>
      <c r="Q35" s="909"/>
      <c r="R35" s="909"/>
    </row>
    <row r="36" spans="1:23" ht="12.75" x14ac:dyDescent="0.2">
      <c r="A36" s="597"/>
      <c r="B36" s="586"/>
      <c r="C36" s="586"/>
      <c r="D36" s="586"/>
      <c r="E36" s="586"/>
      <c r="F36" s="637"/>
      <c r="G36" s="591"/>
      <c r="H36" s="591"/>
      <c r="I36" s="1030"/>
      <c r="J36" s="542"/>
      <c r="K36" s="915"/>
      <c r="L36" s="592">
        <f>I11+I15+I18+I21+I24+I27+I30+I33+I34+I35+I36</f>
        <v>596732955</v>
      </c>
      <c r="M36" s="6" t="s">
        <v>874</v>
      </c>
      <c r="N36" s="909"/>
      <c r="O36" s="909"/>
      <c r="P36" s="909"/>
      <c r="Q36" s="909"/>
      <c r="R36" s="909"/>
    </row>
    <row r="37" spans="1:23" ht="12.75" x14ac:dyDescent="0.2">
      <c r="A37" s="593" t="s">
        <v>83</v>
      </c>
      <c r="B37" s="468"/>
      <c r="C37" s="468"/>
      <c r="D37" s="468"/>
      <c r="E37" s="468"/>
      <c r="F37" s="467"/>
      <c r="G37" s="466"/>
      <c r="H37" s="466"/>
      <c r="I37" s="1029"/>
      <c r="J37" s="467"/>
      <c r="K37" s="915"/>
      <c r="L37" s="909"/>
      <c r="M37" s="909"/>
      <c r="N37" s="909"/>
      <c r="O37" s="909"/>
      <c r="P37" s="909"/>
      <c r="Q37" s="909"/>
      <c r="R37" s="909"/>
    </row>
    <row r="38" spans="1:23" ht="24" x14ac:dyDescent="0.2">
      <c r="A38" s="583" t="s">
        <v>1146</v>
      </c>
      <c r="B38" s="468"/>
      <c r="C38" s="468"/>
      <c r="D38" s="468"/>
      <c r="E38" s="468"/>
      <c r="F38" s="467"/>
      <c r="G38" s="466"/>
      <c r="H38" s="466"/>
      <c r="I38" s="1029"/>
      <c r="J38" s="467"/>
      <c r="K38" s="915"/>
      <c r="L38" s="909"/>
      <c r="M38" s="909"/>
      <c r="N38" s="909"/>
      <c r="O38" s="909"/>
      <c r="P38" s="909"/>
      <c r="Q38" s="909"/>
      <c r="R38" s="909"/>
    </row>
    <row r="39" spans="1:23" ht="24" x14ac:dyDescent="0.2">
      <c r="A39" s="583" t="s">
        <v>1147</v>
      </c>
      <c r="B39" s="468"/>
      <c r="C39" s="469">
        <v>13.1</v>
      </c>
      <c r="D39" s="468">
        <v>4152000</v>
      </c>
      <c r="E39" s="468">
        <f>C39*D39*8/12</f>
        <v>36260800</v>
      </c>
      <c r="F39" s="922" t="s">
        <v>1148</v>
      </c>
      <c r="G39" s="640">
        <v>11.3</v>
      </c>
      <c r="H39" s="1032">
        <v>4371500</v>
      </c>
      <c r="I39" s="1029">
        <f>G39*H39</f>
        <v>49397950</v>
      </c>
      <c r="J39" s="467"/>
      <c r="K39" s="915"/>
      <c r="L39" s="909"/>
      <c r="M39" s="909"/>
      <c r="N39" s="909"/>
      <c r="O39" s="909"/>
      <c r="P39" s="909"/>
      <c r="Q39" s="909"/>
      <c r="R39" s="909"/>
    </row>
    <row r="40" spans="1:23" ht="24" x14ac:dyDescent="0.2">
      <c r="A40" s="583" t="s">
        <v>1149</v>
      </c>
      <c r="B40" s="468"/>
      <c r="C40" s="468">
        <v>10</v>
      </c>
      <c r="D40" s="468">
        <v>1800000</v>
      </c>
      <c r="E40" s="468">
        <f>C40*D40*8/12</f>
        <v>12000000</v>
      </c>
      <c r="F40" s="667"/>
      <c r="G40" s="594">
        <v>8.3000000000000007</v>
      </c>
      <c r="H40" s="773">
        <v>2400000</v>
      </c>
      <c r="I40" s="1029">
        <f>G40*H40</f>
        <v>19920000</v>
      </c>
      <c r="J40" s="467"/>
      <c r="K40" s="915"/>
      <c r="L40" s="909"/>
      <c r="M40" s="909"/>
      <c r="N40" s="909"/>
      <c r="O40" s="909"/>
      <c r="P40" s="909"/>
      <c r="Q40" s="909"/>
      <c r="R40" s="909"/>
    </row>
    <row r="41" spans="1:23" ht="33.75" customHeight="1" x14ac:dyDescent="0.2">
      <c r="A41" s="471" t="s">
        <v>813</v>
      </c>
      <c r="B41" s="468"/>
      <c r="C41" s="468"/>
      <c r="D41" s="468"/>
      <c r="E41" s="468"/>
      <c r="F41" s="467"/>
      <c r="G41" s="594"/>
      <c r="H41" s="542"/>
      <c r="I41" s="1030"/>
      <c r="J41" s="542"/>
      <c r="K41" s="1033"/>
      <c r="L41" s="709" t="s">
        <v>1060</v>
      </c>
      <c r="M41" s="592">
        <f>I11+I13+I16+I19+I22+I25+I28+I31</f>
        <v>743265026</v>
      </c>
      <c r="N41" s="909"/>
      <c r="O41" s="710" t="s">
        <v>1150</v>
      </c>
      <c r="P41" s="592">
        <v>146532071</v>
      </c>
      <c r="Q41" s="592">
        <f>I14+I17+I20+I23+I26+I29</f>
        <v>-48229212</v>
      </c>
      <c r="R41" s="592">
        <f>P41+Q41</f>
        <v>98302859</v>
      </c>
      <c r="S41" s="710" t="s">
        <v>876</v>
      </c>
    </row>
    <row r="42" spans="1:23" ht="12.75" x14ac:dyDescent="0.2">
      <c r="A42" s="583" t="s">
        <v>1151</v>
      </c>
      <c r="B42" s="468"/>
      <c r="C42" s="468">
        <v>142</v>
      </c>
      <c r="D42" s="468">
        <v>70000</v>
      </c>
      <c r="E42" s="468">
        <f>C42*D42*8/12</f>
        <v>6626666.666666667</v>
      </c>
      <c r="F42" s="667"/>
      <c r="G42" s="640">
        <v>123.7</v>
      </c>
      <c r="H42" s="468">
        <v>97400</v>
      </c>
      <c r="I42" s="1029">
        <f>G42*H42</f>
        <v>12048380</v>
      </c>
      <c r="J42" s="467"/>
      <c r="K42" s="7"/>
      <c r="L42" s="909"/>
      <c r="M42" s="909"/>
      <c r="N42" s="909"/>
      <c r="O42" s="909"/>
      <c r="P42" s="909"/>
      <c r="Q42" s="909"/>
      <c r="R42" s="909"/>
    </row>
    <row r="43" spans="1:23" ht="24" x14ac:dyDescent="0.2">
      <c r="A43" s="583" t="s">
        <v>1152</v>
      </c>
      <c r="B43" s="586"/>
      <c r="C43" s="586"/>
      <c r="D43" s="586"/>
      <c r="E43" s="586"/>
      <c r="F43" s="542"/>
      <c r="G43" s="591"/>
      <c r="H43" s="591"/>
      <c r="I43" s="1030"/>
      <c r="J43" s="542"/>
      <c r="K43" s="915"/>
      <c r="L43" s="909"/>
      <c r="M43" s="909"/>
      <c r="N43" s="909"/>
      <c r="O43" s="909"/>
      <c r="P43" s="909"/>
      <c r="Q43" s="909"/>
      <c r="R43" s="909"/>
    </row>
    <row r="44" spans="1:23" ht="24" x14ac:dyDescent="0.2">
      <c r="A44" s="583" t="s">
        <v>1153</v>
      </c>
      <c r="B44" s="468"/>
      <c r="C44" s="468">
        <v>5</v>
      </c>
      <c r="D44" s="598" t="s">
        <v>291</v>
      </c>
      <c r="E44" s="468">
        <v>1760000</v>
      </c>
      <c r="F44" s="467"/>
      <c r="G44" s="466">
        <v>1</v>
      </c>
      <c r="H44" s="467">
        <v>396700</v>
      </c>
      <c r="I44" s="1029">
        <f>G44*H44</f>
        <v>396700</v>
      </c>
      <c r="J44" s="467"/>
      <c r="K44" s="915"/>
      <c r="L44" s="1448" t="s">
        <v>1154</v>
      </c>
      <c r="M44" s="1448"/>
      <c r="N44" s="1448"/>
      <c r="O44" s="1448"/>
      <c r="P44" s="1448"/>
      <c r="Q44" s="1448"/>
      <c r="R44" s="1448"/>
      <c r="S44" s="1448"/>
    </row>
    <row r="45" spans="1:23" ht="36" x14ac:dyDescent="0.2">
      <c r="A45" s="583" t="s">
        <v>1155</v>
      </c>
      <c r="B45" s="468"/>
      <c r="C45" s="468"/>
      <c r="D45" s="468"/>
      <c r="E45" s="468"/>
      <c r="F45" s="467"/>
      <c r="G45" s="466">
        <v>1</v>
      </c>
      <c r="H45" s="467">
        <v>1447300</v>
      </c>
      <c r="I45" s="1029">
        <f>G45*H45</f>
        <v>1447300</v>
      </c>
      <c r="J45" s="467"/>
      <c r="K45" s="915"/>
      <c r="L45" s="1449" t="s">
        <v>1156</v>
      </c>
      <c r="M45" s="1449"/>
      <c r="N45" s="1449"/>
      <c r="O45" s="1449"/>
      <c r="P45" s="1449"/>
      <c r="Q45" s="1449"/>
      <c r="R45" s="1449"/>
      <c r="S45" s="1449"/>
      <c r="T45" s="1034"/>
      <c r="U45" s="1034"/>
      <c r="V45" s="1034"/>
      <c r="W45" s="1034"/>
    </row>
    <row r="46" spans="1:23" ht="12.75" x14ac:dyDescent="0.2">
      <c r="A46" s="597"/>
      <c r="B46" s="586"/>
      <c r="C46" s="586"/>
      <c r="D46" s="586"/>
      <c r="E46" s="586"/>
      <c r="F46" s="542"/>
      <c r="G46" s="591"/>
      <c r="H46" s="591"/>
      <c r="I46" s="1030"/>
      <c r="J46" s="542"/>
      <c r="K46" s="915"/>
      <c r="L46" s="592">
        <f>I39+I40+I42+I44+I45</f>
        <v>83210330</v>
      </c>
      <c r="M46" s="6" t="s">
        <v>1157</v>
      </c>
      <c r="N46" s="909"/>
      <c r="O46" s="909"/>
      <c r="P46" s="909"/>
      <c r="Q46" s="909"/>
      <c r="R46" s="909"/>
    </row>
    <row r="47" spans="1:23" ht="12.75" x14ac:dyDescent="0.2">
      <c r="A47" s="593" t="s">
        <v>84</v>
      </c>
      <c r="B47" s="586"/>
      <c r="C47" s="586"/>
      <c r="D47" s="586"/>
      <c r="E47" s="586"/>
      <c r="F47" s="542"/>
      <c r="G47" s="591"/>
      <c r="H47" s="591"/>
      <c r="I47" s="1030"/>
      <c r="J47" s="542"/>
      <c r="K47" s="915"/>
      <c r="L47" s="909"/>
      <c r="M47" s="909"/>
      <c r="N47" s="909"/>
      <c r="O47" s="909"/>
      <c r="P47" s="909"/>
      <c r="Q47" s="909"/>
      <c r="R47" s="909"/>
    </row>
    <row r="48" spans="1:23" ht="24" x14ac:dyDescent="0.2">
      <c r="A48" s="583" t="s">
        <v>1158</v>
      </c>
      <c r="B48" s="586"/>
      <c r="C48" s="586"/>
      <c r="D48" s="586"/>
      <c r="E48" s="589">
        <v>0</v>
      </c>
      <c r="F48" s="542"/>
      <c r="G48" s="591"/>
      <c r="H48" s="591"/>
      <c r="I48" s="1029">
        <v>0</v>
      </c>
      <c r="J48" s="467"/>
      <c r="K48" s="915"/>
      <c r="L48" s="909"/>
      <c r="M48" s="909"/>
      <c r="N48" s="909"/>
      <c r="O48" s="909"/>
      <c r="P48" s="909"/>
      <c r="Q48" s="909"/>
      <c r="R48" s="909"/>
    </row>
    <row r="49" spans="1:18" ht="12.75" x14ac:dyDescent="0.2">
      <c r="A49" s="471" t="s">
        <v>1159</v>
      </c>
      <c r="B49" s="586"/>
      <c r="C49" s="586"/>
      <c r="D49" s="586"/>
      <c r="E49" s="586"/>
      <c r="F49" s="542"/>
      <c r="G49" s="591"/>
      <c r="H49" s="591"/>
      <c r="I49" s="1030"/>
      <c r="J49" s="542"/>
      <c r="K49" s="915"/>
      <c r="L49" s="909"/>
      <c r="M49" s="909"/>
      <c r="N49" s="909"/>
      <c r="O49" s="909"/>
      <c r="P49" s="909"/>
      <c r="Q49" s="909"/>
      <c r="R49" s="909"/>
    </row>
    <row r="50" spans="1:18" ht="12.75" x14ac:dyDescent="0.2">
      <c r="A50" s="471" t="s">
        <v>1160</v>
      </c>
      <c r="B50" s="586"/>
      <c r="C50" s="586"/>
      <c r="D50" s="586"/>
      <c r="E50" s="586"/>
      <c r="F50" s="542"/>
      <c r="G50" s="591"/>
      <c r="H50" s="591"/>
      <c r="I50" s="1030"/>
      <c r="J50" s="542"/>
      <c r="K50" s="915"/>
      <c r="L50" s="909"/>
      <c r="M50" s="909"/>
      <c r="N50" s="909"/>
      <c r="O50" s="909"/>
      <c r="P50" s="909"/>
      <c r="Q50" s="909"/>
      <c r="R50" s="909"/>
    </row>
    <row r="51" spans="1:18" ht="12.75" x14ac:dyDescent="0.2">
      <c r="A51" s="471" t="s">
        <v>1161</v>
      </c>
      <c r="B51" s="586"/>
      <c r="C51" s="586"/>
      <c r="D51" s="586"/>
      <c r="E51" s="586"/>
      <c r="F51" s="542"/>
      <c r="G51" s="591"/>
      <c r="H51" s="591"/>
      <c r="I51" s="1030"/>
      <c r="J51" s="542"/>
      <c r="K51" s="915"/>
      <c r="L51" s="909"/>
      <c r="M51" s="909"/>
      <c r="N51" s="909"/>
      <c r="O51" s="909"/>
      <c r="P51" s="909"/>
      <c r="Q51" s="909"/>
      <c r="R51" s="909"/>
    </row>
    <row r="52" spans="1:18" ht="36" x14ac:dyDescent="0.2">
      <c r="A52" s="583" t="s">
        <v>1162</v>
      </c>
      <c r="B52" s="590"/>
      <c r="C52" s="599"/>
      <c r="D52" s="586"/>
      <c r="E52" s="586">
        <f>C52*D52/2</f>
        <v>0</v>
      </c>
      <c r="F52" s="468">
        <v>8083</v>
      </c>
      <c r="G52" s="600"/>
      <c r="H52" s="591"/>
      <c r="I52" s="1030"/>
      <c r="J52" s="542"/>
      <c r="K52" s="1035"/>
      <c r="L52" s="909"/>
      <c r="M52" s="909"/>
      <c r="N52" s="909"/>
      <c r="O52" s="909"/>
      <c r="P52" s="909"/>
      <c r="Q52" s="909"/>
      <c r="R52" s="909"/>
    </row>
    <row r="53" spans="1:18" ht="24" x14ac:dyDescent="0.2">
      <c r="A53" s="583" t="s">
        <v>1163</v>
      </c>
      <c r="B53" s="468"/>
      <c r="C53" s="471"/>
      <c r="D53" s="468"/>
      <c r="E53" s="468"/>
      <c r="F53" s="467"/>
      <c r="G53" s="473">
        <v>0</v>
      </c>
      <c r="H53" s="591"/>
      <c r="I53" s="1030"/>
      <c r="J53" s="542"/>
      <c r="K53" s="1035"/>
      <c r="L53" s="909"/>
      <c r="M53" s="909"/>
      <c r="N53" s="909"/>
      <c r="O53" s="909"/>
      <c r="P53" s="909"/>
      <c r="Q53" s="909"/>
      <c r="R53" s="909"/>
    </row>
    <row r="54" spans="1:18" ht="24" x14ac:dyDescent="0.2">
      <c r="A54" s="583" t="s">
        <v>1164</v>
      </c>
      <c r="B54" s="468"/>
      <c r="C54" s="471"/>
      <c r="D54" s="468"/>
      <c r="E54" s="468"/>
      <c r="F54" s="467"/>
      <c r="G54" s="472">
        <v>1</v>
      </c>
      <c r="H54" s="591"/>
      <c r="I54" s="1030"/>
      <c r="J54" s="542"/>
      <c r="K54" s="915"/>
      <c r="L54" s="909"/>
      <c r="M54" s="909"/>
      <c r="N54" s="909"/>
      <c r="O54" s="909"/>
      <c r="P54" s="909"/>
      <c r="Q54" s="909"/>
      <c r="R54" s="909"/>
    </row>
    <row r="55" spans="1:18" ht="26.25" customHeight="1" x14ac:dyDescent="0.2">
      <c r="A55" s="471" t="s">
        <v>1165</v>
      </c>
      <c r="B55" s="468"/>
      <c r="C55" s="923">
        <v>0.97299999999999998</v>
      </c>
      <c r="D55" s="468">
        <v>3000000</v>
      </c>
      <c r="E55" s="468"/>
      <c r="F55" s="467"/>
      <c r="G55" s="472">
        <v>2</v>
      </c>
      <c r="H55" s="774">
        <v>3780000</v>
      </c>
      <c r="I55" s="1029">
        <v>6800000</v>
      </c>
      <c r="J55" s="467">
        <v>7560000</v>
      </c>
      <c r="K55" s="915"/>
      <c r="L55" s="1450" t="s">
        <v>1166</v>
      </c>
      <c r="M55" s="1450"/>
      <c r="N55" s="1450"/>
      <c r="O55" s="1450"/>
      <c r="P55" s="1450"/>
      <c r="Q55" s="1450"/>
      <c r="R55" s="1450"/>
    </row>
    <row r="56" spans="1:18" ht="12.75" x14ac:dyDescent="0.2">
      <c r="A56" s="471" t="s">
        <v>1167</v>
      </c>
      <c r="B56" s="602"/>
      <c r="C56" s="586">
        <v>80</v>
      </c>
      <c r="D56" s="586">
        <v>55360</v>
      </c>
      <c r="E56" s="586">
        <f>C56*D56</f>
        <v>4428800</v>
      </c>
      <c r="F56" s="637"/>
      <c r="G56" s="468">
        <v>74</v>
      </c>
      <c r="H56" s="774">
        <v>65360</v>
      </c>
      <c r="I56" s="1036">
        <f>G56*H56</f>
        <v>4836640</v>
      </c>
      <c r="J56" s="468"/>
      <c r="K56" s="915"/>
      <c r="L56" s="1037"/>
      <c r="M56" s="1037"/>
      <c r="N56" s="1037"/>
      <c r="O56" s="909"/>
      <c r="P56" s="909"/>
      <c r="Q56" s="909"/>
      <c r="R56" s="909"/>
    </row>
    <row r="57" spans="1:18" ht="12.75" x14ac:dyDescent="0.2">
      <c r="A57" s="590" t="s">
        <v>1168</v>
      </c>
      <c r="B57" s="602"/>
      <c r="C57" s="586">
        <v>55</v>
      </c>
      <c r="D57" s="586">
        <v>145000</v>
      </c>
      <c r="E57" s="586">
        <f>C57*D57</f>
        <v>7975000</v>
      </c>
      <c r="F57" s="542"/>
      <c r="G57" s="586"/>
      <c r="H57" s="586"/>
      <c r="I57" s="1038"/>
      <c r="J57" s="586"/>
      <c r="K57" s="915"/>
      <c r="L57" s="909"/>
      <c r="M57" s="909"/>
      <c r="N57" s="909"/>
      <c r="O57" s="909"/>
      <c r="P57" s="909"/>
      <c r="Q57" s="909"/>
      <c r="R57" s="909"/>
    </row>
    <row r="58" spans="1:18" ht="12.75" x14ac:dyDescent="0.2">
      <c r="A58" s="471" t="s">
        <v>1169</v>
      </c>
      <c r="B58" s="602"/>
      <c r="C58" s="586"/>
      <c r="D58" s="586"/>
      <c r="E58" s="586"/>
      <c r="F58" s="637"/>
      <c r="G58" s="468">
        <v>1</v>
      </c>
      <c r="H58" s="468">
        <v>25000</v>
      </c>
      <c r="I58" s="1036">
        <f>G58*H58</f>
        <v>25000</v>
      </c>
      <c r="J58" s="468"/>
      <c r="K58" s="915"/>
      <c r="L58" s="909"/>
      <c r="M58" s="909"/>
      <c r="N58" s="909"/>
      <c r="O58" s="909"/>
      <c r="P58" s="909"/>
      <c r="Q58" s="909"/>
      <c r="R58" s="909"/>
    </row>
    <row r="59" spans="1:18" ht="12.75" x14ac:dyDescent="0.2">
      <c r="A59" s="471" t="s">
        <v>1170</v>
      </c>
      <c r="B59" s="602"/>
      <c r="C59" s="586"/>
      <c r="D59" s="586"/>
      <c r="E59" s="586"/>
      <c r="F59" s="637"/>
      <c r="G59" s="468">
        <v>41</v>
      </c>
      <c r="H59" s="468">
        <v>330000</v>
      </c>
      <c r="I59" s="1036">
        <f>G59*H59</f>
        <v>13530000</v>
      </c>
      <c r="J59" s="468"/>
      <c r="K59" s="915"/>
      <c r="L59" s="909"/>
      <c r="M59" s="909"/>
      <c r="N59" s="909"/>
      <c r="O59" s="909"/>
      <c r="P59" s="909"/>
      <c r="Q59" s="909"/>
      <c r="R59" s="909"/>
    </row>
    <row r="60" spans="1:18" ht="12.75" x14ac:dyDescent="0.2">
      <c r="A60" s="583" t="s">
        <v>1171</v>
      </c>
      <c r="B60" s="603"/>
      <c r="C60" s="586">
        <v>23</v>
      </c>
      <c r="D60" s="586">
        <v>109000</v>
      </c>
      <c r="E60" s="586">
        <f>C60*D60</f>
        <v>2507000</v>
      </c>
      <c r="F60" s="542"/>
      <c r="G60" s="468">
        <v>25</v>
      </c>
      <c r="H60" s="774">
        <v>190000</v>
      </c>
      <c r="I60" s="1036">
        <f>G60*H60</f>
        <v>4750000</v>
      </c>
      <c r="J60" s="468"/>
      <c r="K60" s="915"/>
      <c r="L60" s="909"/>
      <c r="M60" s="909"/>
      <c r="N60" s="909"/>
      <c r="O60" s="909"/>
      <c r="P60" s="909"/>
      <c r="Q60" s="909"/>
      <c r="R60" s="909"/>
    </row>
    <row r="61" spans="1:18" ht="12.75" x14ac:dyDescent="0.2">
      <c r="A61" s="583" t="s">
        <v>1172</v>
      </c>
      <c r="B61" s="468"/>
      <c r="C61" s="468"/>
      <c r="D61" s="468"/>
      <c r="E61" s="924"/>
      <c r="F61" s="667"/>
      <c r="G61" s="640"/>
      <c r="H61" s="467"/>
      <c r="I61" s="1029"/>
      <c r="J61" s="467"/>
      <c r="K61" s="915"/>
      <c r="L61" s="909"/>
      <c r="M61" s="909"/>
      <c r="N61" s="909"/>
      <c r="O61" s="909"/>
      <c r="P61" s="909"/>
      <c r="Q61" s="909"/>
      <c r="R61" s="909"/>
    </row>
    <row r="62" spans="1:18" ht="12.75" x14ac:dyDescent="0.2">
      <c r="A62" s="583" t="s">
        <v>1173</v>
      </c>
      <c r="B62" s="468"/>
      <c r="C62" s="468"/>
      <c r="D62" s="468"/>
      <c r="E62" s="924"/>
      <c r="F62" s="667"/>
      <c r="G62" s="640"/>
      <c r="H62" s="467"/>
      <c r="I62" s="1029"/>
      <c r="J62" s="467"/>
      <c r="K62" s="915"/>
      <c r="L62" s="909"/>
      <c r="M62" s="909"/>
      <c r="N62" s="909"/>
      <c r="O62" s="909"/>
      <c r="P62" s="909"/>
      <c r="Q62" s="909"/>
      <c r="R62" s="909"/>
    </row>
    <row r="63" spans="1:18" ht="12.75" x14ac:dyDescent="0.2">
      <c r="A63" s="583" t="s">
        <v>964</v>
      </c>
      <c r="B63" s="468"/>
      <c r="C63" s="468"/>
      <c r="D63" s="468"/>
      <c r="E63" s="924"/>
      <c r="F63" s="667"/>
      <c r="G63" s="640">
        <v>0.9</v>
      </c>
      <c r="H63" s="467">
        <v>4419000</v>
      </c>
      <c r="I63" s="1029">
        <f>G63*H63</f>
        <v>3977100</v>
      </c>
      <c r="J63" s="467"/>
      <c r="K63" s="915"/>
      <c r="L63" s="909"/>
      <c r="M63" s="909"/>
      <c r="N63" s="909"/>
      <c r="O63" s="909"/>
      <c r="P63" s="909"/>
      <c r="Q63" s="909"/>
      <c r="R63" s="909"/>
    </row>
    <row r="64" spans="1:18" ht="24" x14ac:dyDescent="0.2">
      <c r="A64" s="583" t="s">
        <v>994</v>
      </c>
      <c r="B64" s="468"/>
      <c r="C64" s="468"/>
      <c r="D64" s="468"/>
      <c r="E64" s="924"/>
      <c r="F64" s="667"/>
      <c r="G64" s="640">
        <v>2.6</v>
      </c>
      <c r="H64" s="467">
        <v>2993000</v>
      </c>
      <c r="I64" s="1029">
        <f>G64*H64</f>
        <v>7781800</v>
      </c>
      <c r="J64" s="467"/>
      <c r="K64" s="915"/>
      <c r="L64" s="909"/>
      <c r="M64" s="1335"/>
      <c r="N64" s="909"/>
      <c r="O64" s="909"/>
      <c r="P64" s="909"/>
      <c r="Q64" s="909"/>
      <c r="R64" s="909"/>
    </row>
    <row r="65" spans="1:18" ht="24" x14ac:dyDescent="0.2">
      <c r="A65" s="583" t="s">
        <v>1174</v>
      </c>
      <c r="B65" s="586"/>
      <c r="C65" s="586"/>
      <c r="D65" s="586"/>
      <c r="E65" s="605"/>
      <c r="F65" s="637"/>
      <c r="G65" s="925"/>
      <c r="H65" s="542"/>
      <c r="I65" s="1029">
        <v>6677000</v>
      </c>
      <c r="J65" s="542"/>
      <c r="K65" s="915"/>
      <c r="L65" s="909"/>
      <c r="M65" s="909"/>
      <c r="N65" s="909"/>
      <c r="O65" s="909"/>
      <c r="P65" s="909"/>
      <c r="Q65" s="909"/>
      <c r="R65" s="909"/>
    </row>
    <row r="66" spans="1:18" ht="24" x14ac:dyDescent="0.2">
      <c r="A66" s="583" t="s">
        <v>1061</v>
      </c>
      <c r="B66" s="602"/>
      <c r="C66" s="586"/>
      <c r="D66" s="586"/>
      <c r="E66" s="586"/>
      <c r="F66" s="542"/>
      <c r="G66" s="591"/>
      <c r="H66" s="591"/>
      <c r="I66" s="1030"/>
      <c r="J66" s="542"/>
      <c r="K66" s="915"/>
      <c r="L66" s="909"/>
      <c r="M66" s="909"/>
      <c r="N66" s="909"/>
      <c r="O66" s="909"/>
      <c r="P66" s="909"/>
      <c r="Q66" s="909"/>
      <c r="R66" s="909"/>
    </row>
    <row r="67" spans="1:18" ht="24" x14ac:dyDescent="0.2">
      <c r="A67" s="583" t="s">
        <v>1175</v>
      </c>
      <c r="B67" s="602"/>
      <c r="C67" s="586">
        <v>15</v>
      </c>
      <c r="D67" s="586">
        <v>2606040</v>
      </c>
      <c r="E67" s="586">
        <f>C67*D67</f>
        <v>39090600</v>
      </c>
      <c r="F67" s="637"/>
      <c r="G67" s="468">
        <v>15</v>
      </c>
      <c r="H67" s="774">
        <v>3858040</v>
      </c>
      <c r="I67" s="1036">
        <f>G67*H67</f>
        <v>57870600</v>
      </c>
      <c r="J67" s="468"/>
      <c r="K67" s="915"/>
      <c r="L67" s="909"/>
      <c r="M67" s="909"/>
      <c r="N67" s="909"/>
      <c r="O67" s="909"/>
      <c r="P67" s="909"/>
      <c r="Q67" s="909"/>
      <c r="R67" s="909"/>
    </row>
    <row r="68" spans="1:18" ht="22.5" customHeight="1" x14ac:dyDescent="0.2">
      <c r="A68" s="471" t="s">
        <v>1062</v>
      </c>
      <c r="B68" s="602"/>
      <c r="C68" s="586"/>
      <c r="D68" s="586"/>
      <c r="E68" s="589">
        <v>37834000</v>
      </c>
      <c r="F68" s="637"/>
      <c r="G68" s="591"/>
      <c r="H68" s="591"/>
      <c r="I68" s="1029">
        <v>41938000</v>
      </c>
      <c r="J68" s="542"/>
      <c r="K68" s="1039"/>
      <c r="L68" s="909"/>
      <c r="M68" s="909"/>
      <c r="N68" s="909"/>
      <c r="O68" s="909"/>
      <c r="P68" s="909"/>
      <c r="Q68" s="909"/>
      <c r="R68" s="909"/>
    </row>
    <row r="69" spans="1:18" ht="12.75" x14ac:dyDescent="0.2">
      <c r="A69" s="471" t="s">
        <v>1063</v>
      </c>
      <c r="B69" s="602"/>
      <c r="C69" s="586"/>
      <c r="D69" s="586"/>
      <c r="E69" s="586"/>
      <c r="F69" s="542"/>
      <c r="G69" s="591"/>
      <c r="H69" s="591"/>
      <c r="I69" s="1030"/>
      <c r="J69" s="542"/>
      <c r="K69" s="915"/>
      <c r="L69" s="909"/>
      <c r="M69" s="909"/>
      <c r="N69" s="909"/>
      <c r="O69" s="909"/>
      <c r="P69" s="909"/>
      <c r="Q69" s="909"/>
      <c r="R69" s="909"/>
    </row>
    <row r="70" spans="1:18" ht="12.75" x14ac:dyDescent="0.2">
      <c r="A70" s="471" t="s">
        <v>1064</v>
      </c>
      <c r="B70" s="602"/>
      <c r="C70" s="586"/>
      <c r="D70" s="586"/>
      <c r="E70" s="586"/>
      <c r="F70" s="542"/>
      <c r="G70" s="591"/>
      <c r="H70" s="591"/>
      <c r="I70" s="1030"/>
      <c r="J70" s="542"/>
      <c r="K70" s="915"/>
      <c r="L70" s="909"/>
      <c r="M70" s="909"/>
      <c r="N70" s="909"/>
      <c r="O70" s="909"/>
      <c r="P70" s="909"/>
      <c r="Q70" s="909"/>
      <c r="R70" s="909"/>
    </row>
    <row r="71" spans="1:18" ht="12.75" x14ac:dyDescent="0.2">
      <c r="A71" s="471" t="s">
        <v>1065</v>
      </c>
      <c r="B71" s="586"/>
      <c r="C71" s="595">
        <v>12.33</v>
      </c>
      <c r="D71" s="586">
        <v>1632000</v>
      </c>
      <c r="E71" s="586">
        <f>C71*D71</f>
        <v>20122560</v>
      </c>
      <c r="F71" s="802" t="s">
        <v>1176</v>
      </c>
      <c r="G71" s="469">
        <v>14.48</v>
      </c>
      <c r="H71" s="774">
        <v>2200000</v>
      </c>
      <c r="I71" s="1036">
        <f>G71*H71</f>
        <v>31856000</v>
      </c>
      <c r="J71" s="468"/>
      <c r="K71" s="1040"/>
      <c r="L71" s="909"/>
      <c r="M71" s="909"/>
      <c r="N71" s="909"/>
      <c r="O71" s="909"/>
      <c r="P71" s="909"/>
      <c r="Q71" s="909"/>
      <c r="R71" s="909"/>
    </row>
    <row r="72" spans="1:18" ht="22.5" customHeight="1" x14ac:dyDescent="0.2">
      <c r="A72" s="471" t="s">
        <v>1066</v>
      </c>
      <c r="B72" s="586"/>
      <c r="C72" s="586"/>
      <c r="D72" s="586"/>
      <c r="E72" s="589">
        <v>7038795</v>
      </c>
      <c r="F72" s="637"/>
      <c r="G72" s="591"/>
      <c r="H72" s="591"/>
      <c r="I72" s="1029">
        <v>18354770</v>
      </c>
      <c r="J72" s="542"/>
      <c r="K72" s="1041"/>
      <c r="L72" s="909"/>
      <c r="M72" s="909"/>
      <c r="N72" s="909"/>
      <c r="O72" s="909"/>
      <c r="P72" s="909"/>
      <c r="Q72" s="909"/>
      <c r="R72" s="909"/>
    </row>
    <row r="73" spans="1:18" ht="24" x14ac:dyDescent="0.2">
      <c r="A73" s="583" t="s">
        <v>1067</v>
      </c>
      <c r="B73" s="468"/>
      <c r="C73" s="468"/>
      <c r="D73" s="468"/>
      <c r="E73" s="468"/>
      <c r="F73" s="667"/>
      <c r="G73" s="467">
        <v>192</v>
      </c>
      <c r="H73" s="467">
        <v>285</v>
      </c>
      <c r="I73" s="1029">
        <f>G73*H73</f>
        <v>54720</v>
      </c>
      <c r="J73" s="467"/>
      <c r="K73" s="915"/>
      <c r="L73" s="909"/>
      <c r="M73" s="909"/>
      <c r="N73" s="909"/>
      <c r="O73" s="909"/>
      <c r="P73" s="909"/>
      <c r="Q73" s="909"/>
      <c r="R73" s="909"/>
    </row>
    <row r="74" spans="1:18" x14ac:dyDescent="0.2">
      <c r="A74" s="6"/>
      <c r="B74" s="6"/>
      <c r="C74" s="6"/>
      <c r="D74" s="6"/>
      <c r="E74" s="6"/>
      <c r="J74" s="465"/>
      <c r="K74" s="915"/>
      <c r="L74" s="592">
        <f>SUM(I48:I73)</f>
        <v>198451630</v>
      </c>
      <c r="M74" s="6" t="s">
        <v>879</v>
      </c>
      <c r="N74" s="909"/>
      <c r="O74" s="909"/>
      <c r="P74" s="909"/>
      <c r="Q74" s="909"/>
      <c r="R74" s="909"/>
    </row>
    <row r="75" spans="1:18" ht="12.75" x14ac:dyDescent="0.2">
      <c r="A75" s="471" t="s">
        <v>845</v>
      </c>
      <c r="B75" s="468"/>
      <c r="C75" s="468"/>
      <c r="D75" s="468"/>
      <c r="E75" s="924"/>
      <c r="F75" s="467"/>
      <c r="G75" s="466"/>
      <c r="H75" s="466"/>
      <c r="I75" s="1029"/>
      <c r="J75" s="467"/>
      <c r="K75" s="915"/>
      <c r="L75" s="909"/>
      <c r="M75" s="909"/>
      <c r="N75" s="909"/>
      <c r="O75" s="909"/>
      <c r="P75" s="909"/>
      <c r="Q75" s="909"/>
      <c r="R75" s="909"/>
    </row>
    <row r="76" spans="1:18" ht="12.75" x14ac:dyDescent="0.2">
      <c r="A76" s="471" t="s">
        <v>846</v>
      </c>
      <c r="B76" s="468"/>
      <c r="C76" s="468"/>
      <c r="D76" s="468"/>
      <c r="E76" s="924"/>
      <c r="F76" s="467"/>
      <c r="G76" s="466"/>
      <c r="H76" s="466"/>
      <c r="I76" s="1029"/>
      <c r="J76" s="467"/>
      <c r="K76" s="915"/>
      <c r="L76" s="909"/>
      <c r="M76" s="909"/>
      <c r="N76" s="909"/>
      <c r="O76" s="909"/>
      <c r="P76" s="909"/>
      <c r="Q76" s="909"/>
      <c r="R76" s="909"/>
    </row>
    <row r="77" spans="1:18" ht="12.75" x14ac:dyDescent="0.2">
      <c r="A77" s="471" t="s">
        <v>847</v>
      </c>
      <c r="B77" s="468"/>
      <c r="C77" s="468">
        <v>4865</v>
      </c>
      <c r="D77" s="468">
        <v>1140</v>
      </c>
      <c r="E77" s="231"/>
      <c r="F77" s="467"/>
      <c r="G77" s="468">
        <v>4740</v>
      </c>
      <c r="H77" s="774">
        <v>1251</v>
      </c>
      <c r="I77" s="1042">
        <f>G77*H77</f>
        <v>5929740</v>
      </c>
      <c r="J77" s="231"/>
      <c r="K77" s="915"/>
      <c r="L77" s="909"/>
      <c r="M77" s="909"/>
      <c r="N77" s="909"/>
      <c r="O77" s="909"/>
      <c r="P77" s="909"/>
      <c r="Q77" s="909"/>
      <c r="R77" s="909"/>
    </row>
    <row r="78" spans="1:18" ht="12.75" x14ac:dyDescent="0.2">
      <c r="A78" s="583"/>
      <c r="B78" s="468"/>
      <c r="C78" s="468"/>
      <c r="D78" s="468"/>
      <c r="E78" s="231"/>
      <c r="F78" s="667"/>
      <c r="G78" s="468"/>
      <c r="H78" s="468"/>
      <c r="I78" s="1042"/>
      <c r="J78" s="231"/>
      <c r="K78" s="915"/>
      <c r="L78" s="592">
        <f>I76+I77+I78</f>
        <v>5929740</v>
      </c>
      <c r="M78" s="6" t="s">
        <v>880</v>
      </c>
      <c r="N78" s="909"/>
      <c r="O78" s="909"/>
      <c r="P78" s="909"/>
      <c r="Q78" s="909"/>
      <c r="R78" s="909"/>
    </row>
    <row r="79" spans="1:18" ht="12.75" x14ac:dyDescent="0.2">
      <c r="A79" s="926"/>
      <c r="B79" s="602"/>
      <c r="C79" s="608"/>
      <c r="D79" s="586"/>
      <c r="E79" s="586"/>
      <c r="F79" s="645"/>
      <c r="G79" s="591"/>
      <c r="H79" s="591"/>
      <c r="I79" s="1030"/>
      <c r="J79" s="542"/>
      <c r="K79" s="915"/>
      <c r="L79" s="921"/>
      <c r="M79" s="921"/>
      <c r="N79" s="927"/>
      <c r="O79" s="911"/>
      <c r="P79" s="909"/>
      <c r="Q79" s="909"/>
      <c r="R79" s="909"/>
    </row>
    <row r="80" spans="1:18" ht="24" x14ac:dyDescent="0.2">
      <c r="A80" s="621" t="s">
        <v>1177</v>
      </c>
      <c r="B80" s="610"/>
      <c r="C80" s="928"/>
      <c r="D80" s="611"/>
      <c r="E80" s="611"/>
      <c r="F80" s="650"/>
      <c r="G80" s="614"/>
      <c r="H80" s="614"/>
      <c r="I80" s="1043">
        <v>0</v>
      </c>
      <c r="J80" s="467"/>
      <c r="K80" s="915"/>
      <c r="L80" s="592">
        <v>0</v>
      </c>
      <c r="M80" s="592" t="s">
        <v>881</v>
      </c>
      <c r="N80" s="927"/>
      <c r="O80" s="911"/>
      <c r="P80" s="909"/>
      <c r="Q80" s="909"/>
      <c r="R80" s="909"/>
    </row>
    <row r="81" spans="1:257" ht="13.5" thickBot="1" x14ac:dyDescent="0.25">
      <c r="A81" s="929"/>
      <c r="B81" s="610"/>
      <c r="C81" s="928"/>
      <c r="D81" s="611"/>
      <c r="E81" s="611"/>
      <c r="F81" s="610"/>
      <c r="G81" s="614"/>
      <c r="H81" s="614"/>
      <c r="I81" s="1044"/>
      <c r="J81" s="542"/>
      <c r="K81" s="915"/>
      <c r="L81" s="921"/>
      <c r="M81" s="921"/>
      <c r="N81" s="909"/>
      <c r="O81" s="911"/>
      <c r="P81" s="909"/>
      <c r="Q81" s="909"/>
      <c r="R81" s="909"/>
    </row>
    <row r="82" spans="1:257" ht="12.75" thickBot="1" x14ac:dyDescent="0.25">
      <c r="A82" s="615" t="s">
        <v>850</v>
      </c>
      <c r="B82" s="616"/>
      <c r="C82" s="616"/>
      <c r="D82" s="617"/>
      <c r="E82" s="618" t="e">
        <f>E11+E13+E16+E19+E22+E27+E30+E33+E39+#REF!+#REF!+E40+#REF!+E42+#REF!+E44+#REF!+E48+E52+E53+E56+E57+E60+#REF!+E67+E68+E71+E72</f>
        <v>#REF!</v>
      </c>
      <c r="F82" s="1438">
        <f>I11+I15+I18+I21+I24+I27+I30+I33+I34+I39+I40++I41+I42+I44+I45+I48+I55+I56+I58+I59+I60+I67+I68+I71+I72+I73+I63+I64+I65+I77+I78+I80</f>
        <v>884324655</v>
      </c>
      <c r="G82" s="1438"/>
      <c r="H82" s="1438"/>
      <c r="I82" s="1439"/>
      <c r="J82" s="1045"/>
      <c r="K82" s="915"/>
      <c r="L82" s="619">
        <f>L74+L46+L36+L78-L80</f>
        <v>884324655</v>
      </c>
      <c r="M82" s="653" t="s">
        <v>1068</v>
      </c>
      <c r="N82" s="915"/>
      <c r="O82" s="915"/>
      <c r="P82" s="915"/>
      <c r="Q82" s="915"/>
      <c r="R82" s="915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</row>
    <row r="84" spans="1:257" ht="15.75" x14ac:dyDescent="0.2">
      <c r="A84" s="654"/>
      <c r="B84" s="655"/>
      <c r="C84" s="655"/>
      <c r="D84" s="655"/>
      <c r="E84" s="656"/>
      <c r="F84" s="657"/>
      <c r="G84" s="657"/>
      <c r="H84" s="657"/>
      <c r="I84" s="657"/>
      <c r="J84" s="657"/>
    </row>
    <row r="85" spans="1:257" ht="12.75" x14ac:dyDescent="0.2">
      <c r="A85" s="775" t="s">
        <v>1178</v>
      </c>
    </row>
  </sheetData>
  <mergeCells count="13">
    <mergeCell ref="L11:S11"/>
    <mergeCell ref="L44:S44"/>
    <mergeCell ref="L45:S45"/>
    <mergeCell ref="L55:R55"/>
    <mergeCell ref="A1:J1"/>
    <mergeCell ref="A3:J3"/>
    <mergeCell ref="A4:J4"/>
    <mergeCell ref="J7:J8"/>
    <mergeCell ref="F82:I82"/>
    <mergeCell ref="F2:I2"/>
    <mergeCell ref="A7:A8"/>
    <mergeCell ref="B7:E7"/>
    <mergeCell ref="F7:I7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48" customWidth="1"/>
    <col min="2" max="2" width="9.85546875" style="148" hidden="1" customWidth="1"/>
    <col min="3" max="3" width="11.7109375" style="148" hidden="1" customWidth="1"/>
    <col min="4" max="4" width="9.85546875" style="148" hidden="1" customWidth="1"/>
    <col min="5" max="5" width="15.85546875" style="15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456" t="s">
        <v>286</v>
      </c>
      <c r="C1" s="1456"/>
      <c r="D1" s="1456"/>
      <c r="E1" s="1456"/>
    </row>
    <row r="2" spans="1:10" x14ac:dyDescent="0.2">
      <c r="F2" s="1463"/>
      <c r="G2" s="1463"/>
      <c r="H2" s="1463"/>
      <c r="I2" s="1463"/>
    </row>
    <row r="4" spans="1:10" ht="12.75" x14ac:dyDescent="0.2">
      <c r="A4" s="1457" t="s">
        <v>77</v>
      </c>
      <c r="B4" s="1457"/>
      <c r="C4" s="1457"/>
      <c r="D4" s="1457"/>
      <c r="E4" s="1457"/>
      <c r="F4" s="1458"/>
      <c r="G4" s="1458"/>
      <c r="H4" s="1458"/>
      <c r="I4" s="1458"/>
    </row>
    <row r="5" spans="1:10" ht="12.75" x14ac:dyDescent="0.2">
      <c r="A5" s="1457" t="s">
        <v>860</v>
      </c>
      <c r="B5" s="1457"/>
      <c r="C5" s="1457"/>
      <c r="D5" s="1457"/>
      <c r="E5" s="1457"/>
      <c r="F5" s="1458"/>
      <c r="G5" s="1458"/>
      <c r="H5" s="1458"/>
      <c r="I5" s="1458"/>
    </row>
    <row r="7" spans="1:10" ht="13.5" thickBot="1" x14ac:dyDescent="0.25">
      <c r="E7" s="464" t="s">
        <v>20</v>
      </c>
      <c r="F7" s="475"/>
    </row>
    <row r="8" spans="1:10" ht="12.75" customHeight="1" thickBot="1" x14ac:dyDescent="0.25">
      <c r="A8" s="1459" t="s">
        <v>78</v>
      </c>
      <c r="B8" s="1461" t="s">
        <v>103</v>
      </c>
      <c r="C8" s="1462"/>
      <c r="D8" s="1462"/>
      <c r="E8" s="1462"/>
      <c r="F8" s="1461" t="s">
        <v>871</v>
      </c>
      <c r="G8" s="1462"/>
      <c r="H8" s="1462"/>
      <c r="I8" s="1462"/>
    </row>
    <row r="9" spans="1:10" s="7" customFormat="1" ht="49.5" customHeight="1" thickBot="1" x14ac:dyDescent="0.25">
      <c r="A9" s="1460"/>
      <c r="B9" s="228" t="s">
        <v>79</v>
      </c>
      <c r="C9" s="149" t="s">
        <v>80</v>
      </c>
      <c r="D9" s="149" t="s">
        <v>662</v>
      </c>
      <c r="E9" s="229" t="s">
        <v>81</v>
      </c>
      <c r="F9" s="228" t="s">
        <v>79</v>
      </c>
      <c r="G9" s="149" t="s">
        <v>80</v>
      </c>
      <c r="H9" s="149" t="s">
        <v>662</v>
      </c>
      <c r="I9" s="229" t="s">
        <v>81</v>
      </c>
    </row>
    <row r="10" spans="1:10" ht="13.5" customHeight="1" x14ac:dyDescent="0.2">
      <c r="A10" s="476" t="s">
        <v>82</v>
      </c>
      <c r="B10" s="477"/>
      <c r="C10" s="477"/>
      <c r="D10" s="477"/>
      <c r="E10" s="477"/>
      <c r="F10" s="478"/>
      <c r="G10" s="478"/>
      <c r="H10" s="478"/>
      <c r="I10" s="478"/>
      <c r="J10" s="503"/>
    </row>
    <row r="11" spans="1:10" ht="13.5" customHeight="1" x14ac:dyDescent="0.2">
      <c r="A11" s="150" t="s">
        <v>782</v>
      </c>
      <c r="B11" s="151"/>
      <c r="C11" s="151"/>
      <c r="D11" s="151"/>
      <c r="E11" s="151"/>
      <c r="F11" s="465"/>
      <c r="G11" s="465"/>
      <c r="H11" s="465"/>
      <c r="I11" s="465"/>
      <c r="J11" s="503"/>
    </row>
    <row r="12" spans="1:10" ht="30.75" customHeight="1" x14ac:dyDescent="0.2">
      <c r="A12" s="583" t="s">
        <v>783</v>
      </c>
      <c r="B12" s="468">
        <v>4865</v>
      </c>
      <c r="C12" s="584">
        <v>18.690000000000001</v>
      </c>
      <c r="D12" s="468">
        <v>4580000</v>
      </c>
      <c r="E12" s="468">
        <f>C12*D12</f>
        <v>85600200</v>
      </c>
      <c r="F12" s="467">
        <v>4837</v>
      </c>
      <c r="G12" s="466">
        <v>18.62</v>
      </c>
      <c r="H12" s="466">
        <v>4580000</v>
      </c>
      <c r="I12" s="467">
        <f>G12*H12</f>
        <v>85279600</v>
      </c>
      <c r="J12" s="503"/>
    </row>
    <row r="13" spans="1:10" ht="13.5" customHeight="1" x14ac:dyDescent="0.2">
      <c r="A13" s="471" t="s">
        <v>784</v>
      </c>
      <c r="B13" s="468"/>
      <c r="C13" s="468"/>
      <c r="D13" s="468"/>
      <c r="E13" s="468"/>
      <c r="F13" s="467"/>
      <c r="G13" s="466"/>
      <c r="H13" s="466"/>
      <c r="I13" s="467"/>
      <c r="J13" s="503"/>
    </row>
    <row r="14" spans="1:10" ht="30" customHeight="1" x14ac:dyDescent="0.2">
      <c r="A14" s="583" t="s">
        <v>785</v>
      </c>
      <c r="B14" s="468"/>
      <c r="C14" s="469"/>
      <c r="D14" s="468" t="s">
        <v>287</v>
      </c>
      <c r="E14" s="468">
        <v>8328800</v>
      </c>
      <c r="F14" s="467"/>
      <c r="G14" s="466"/>
      <c r="H14" s="466" t="s">
        <v>287</v>
      </c>
      <c r="I14" s="467">
        <v>8329050</v>
      </c>
      <c r="J14" s="503"/>
    </row>
    <row r="15" spans="1:10" ht="30" customHeight="1" x14ac:dyDescent="0.2">
      <c r="A15" s="583" t="s">
        <v>786</v>
      </c>
      <c r="B15" s="468"/>
      <c r="C15" s="469"/>
      <c r="D15" s="468"/>
      <c r="E15" s="468"/>
      <c r="F15" s="467"/>
      <c r="G15" s="466"/>
      <c r="H15" s="466"/>
      <c r="I15" s="467">
        <v>-8329050</v>
      </c>
      <c r="J15" s="503"/>
    </row>
    <row r="16" spans="1:10" ht="30" customHeight="1" x14ac:dyDescent="0.2">
      <c r="A16" s="583" t="s">
        <v>787</v>
      </c>
      <c r="B16" s="468"/>
      <c r="C16" s="469"/>
      <c r="D16" s="468"/>
      <c r="E16" s="468"/>
      <c r="F16" s="467"/>
      <c r="G16" s="466"/>
      <c r="H16" s="466"/>
      <c r="I16" s="467">
        <f>I14+I15</f>
        <v>0</v>
      </c>
      <c r="J16" s="503"/>
    </row>
    <row r="17" spans="1:10" ht="16.5" customHeight="1" x14ac:dyDescent="0.2">
      <c r="A17" s="471" t="s">
        <v>788</v>
      </c>
      <c r="B17" s="468"/>
      <c r="C17" s="468"/>
      <c r="D17" s="585" t="s">
        <v>288</v>
      </c>
      <c r="E17" s="468">
        <v>18272000</v>
      </c>
      <c r="F17" s="467"/>
      <c r="G17" s="466"/>
      <c r="H17" s="466" t="s">
        <v>289</v>
      </c>
      <c r="I17" s="467">
        <v>18304000</v>
      </c>
      <c r="J17" s="503"/>
    </row>
    <row r="18" spans="1:10" ht="16.5" customHeight="1" x14ac:dyDescent="0.2">
      <c r="A18" s="471" t="s">
        <v>786</v>
      </c>
      <c r="B18" s="468"/>
      <c r="C18" s="468"/>
      <c r="D18" s="585"/>
      <c r="E18" s="468"/>
      <c r="F18" s="467"/>
      <c r="G18" s="466"/>
      <c r="H18" s="466"/>
      <c r="I18" s="467">
        <v>-18304000</v>
      </c>
      <c r="J18" s="503"/>
    </row>
    <row r="19" spans="1:10" ht="16.5" customHeight="1" x14ac:dyDescent="0.2">
      <c r="A19" s="471" t="s">
        <v>789</v>
      </c>
      <c r="B19" s="468"/>
      <c r="C19" s="468"/>
      <c r="D19" s="585"/>
      <c r="E19" s="468"/>
      <c r="F19" s="467"/>
      <c r="G19" s="466"/>
      <c r="H19" s="466"/>
      <c r="I19" s="467">
        <f>I17+I18</f>
        <v>0</v>
      </c>
      <c r="J19" s="503"/>
    </row>
    <row r="20" spans="1:10" ht="13.5" customHeight="1" x14ac:dyDescent="0.2">
      <c r="A20" s="471" t="s">
        <v>790</v>
      </c>
      <c r="B20" s="586"/>
      <c r="C20" s="586" t="s">
        <v>791</v>
      </c>
      <c r="D20" s="587" t="s">
        <v>663</v>
      </c>
      <c r="E20" s="586">
        <v>1355022</v>
      </c>
      <c r="F20" s="542"/>
      <c r="G20" s="586"/>
      <c r="H20" s="588" t="s">
        <v>663</v>
      </c>
      <c r="I20" s="467">
        <v>1355022</v>
      </c>
      <c r="J20" s="503"/>
    </row>
    <row r="21" spans="1:10" ht="13.5" customHeight="1" x14ac:dyDescent="0.2">
      <c r="A21" s="471" t="s">
        <v>792</v>
      </c>
      <c r="B21" s="586"/>
      <c r="C21" s="586"/>
      <c r="D21" s="587"/>
      <c r="E21" s="586"/>
      <c r="F21" s="542"/>
      <c r="G21" s="586"/>
      <c r="H21" s="588"/>
      <c r="I21" s="467">
        <v>-1355022</v>
      </c>
      <c r="J21" s="503"/>
    </row>
    <row r="22" spans="1:10" ht="13.5" customHeight="1" x14ac:dyDescent="0.2">
      <c r="A22" s="471" t="s">
        <v>793</v>
      </c>
      <c r="B22" s="586"/>
      <c r="C22" s="586"/>
      <c r="D22" s="587"/>
      <c r="E22" s="586"/>
      <c r="F22" s="542"/>
      <c r="G22" s="586"/>
      <c r="H22" s="588"/>
      <c r="I22" s="467">
        <f>I20+I21</f>
        <v>0</v>
      </c>
      <c r="J22" s="503"/>
    </row>
    <row r="23" spans="1:10" ht="13.5" customHeight="1" x14ac:dyDescent="0.2">
      <c r="A23" s="471" t="s">
        <v>794</v>
      </c>
      <c r="B23" s="468"/>
      <c r="C23" s="469"/>
      <c r="D23" s="585" t="s">
        <v>664</v>
      </c>
      <c r="E23" s="468">
        <v>6369620</v>
      </c>
      <c r="F23" s="467"/>
      <c r="G23" s="466"/>
      <c r="H23" s="585" t="s">
        <v>664</v>
      </c>
      <c r="I23" s="467">
        <v>6369620</v>
      </c>
      <c r="J23" s="503"/>
    </row>
    <row r="24" spans="1:10" ht="13.5" customHeight="1" x14ac:dyDescent="0.2">
      <c r="A24" s="471" t="s">
        <v>792</v>
      </c>
      <c r="B24" s="468"/>
      <c r="C24" s="469"/>
      <c r="D24" s="585"/>
      <c r="E24" s="468"/>
      <c r="F24" s="467"/>
      <c r="G24" s="466"/>
      <c r="H24" s="585"/>
      <c r="I24" s="467">
        <v>-6369620</v>
      </c>
      <c r="J24" s="503"/>
    </row>
    <row r="25" spans="1:10" ht="13.5" customHeight="1" x14ac:dyDescent="0.2">
      <c r="A25" s="471" t="s">
        <v>795</v>
      </c>
      <c r="B25" s="468"/>
      <c r="C25" s="469"/>
      <c r="D25" s="585"/>
      <c r="E25" s="468"/>
      <c r="F25" s="467"/>
      <c r="G25" s="466"/>
      <c r="H25" s="585"/>
      <c r="I25" s="467">
        <f>I23+I24</f>
        <v>0</v>
      </c>
      <c r="J25" s="503"/>
    </row>
    <row r="26" spans="1:10" ht="13.5" customHeight="1" x14ac:dyDescent="0.2">
      <c r="A26" s="471" t="s">
        <v>796</v>
      </c>
      <c r="B26" s="468">
        <v>4865</v>
      </c>
      <c r="C26" s="468"/>
      <c r="D26" s="468">
        <v>2700</v>
      </c>
      <c r="E26" s="468">
        <f>B26*D26</f>
        <v>13135500</v>
      </c>
      <c r="F26" s="467">
        <v>4837</v>
      </c>
      <c r="G26" s="466"/>
      <c r="H26" s="468">
        <v>2700</v>
      </c>
      <c r="I26" s="467">
        <f>F26*H26</f>
        <v>13059900</v>
      </c>
      <c r="J26" s="503"/>
    </row>
    <row r="27" spans="1:10" ht="13.5" customHeight="1" x14ac:dyDescent="0.2">
      <c r="A27" s="471" t="s">
        <v>797</v>
      </c>
      <c r="B27" s="468"/>
      <c r="C27" s="468"/>
      <c r="D27" s="468"/>
      <c r="E27" s="468">
        <v>-13135500</v>
      </c>
      <c r="F27" s="467"/>
      <c r="G27" s="466"/>
      <c r="H27" s="466"/>
      <c r="I27" s="467">
        <v>-13059900</v>
      </c>
      <c r="J27" s="503"/>
    </row>
    <row r="28" spans="1:10" ht="13.5" customHeight="1" x14ac:dyDescent="0.2">
      <c r="A28" s="471" t="s">
        <v>798</v>
      </c>
      <c r="B28" s="468"/>
      <c r="C28" s="468"/>
      <c r="D28" s="468"/>
      <c r="E28" s="468">
        <f>E26+E27</f>
        <v>0</v>
      </c>
      <c r="F28" s="467"/>
      <c r="G28" s="466"/>
      <c r="H28" s="466"/>
      <c r="I28" s="467">
        <f>I26+I27</f>
        <v>0</v>
      </c>
      <c r="J28" s="503"/>
    </row>
    <row r="29" spans="1:10" ht="13.5" customHeight="1" x14ac:dyDescent="0.2">
      <c r="A29" s="471" t="s">
        <v>799</v>
      </c>
      <c r="B29" s="586">
        <v>10</v>
      </c>
      <c r="C29" s="586"/>
      <c r="D29" s="586" t="s">
        <v>290</v>
      </c>
      <c r="E29" s="589">
        <v>25500</v>
      </c>
      <c r="F29" s="467">
        <v>11</v>
      </c>
      <c r="G29" s="466"/>
      <c r="H29" s="468" t="s">
        <v>290</v>
      </c>
      <c r="I29" s="467">
        <v>28050</v>
      </c>
      <c r="J29" s="503"/>
    </row>
    <row r="30" spans="1:10" ht="13.5" customHeight="1" x14ac:dyDescent="0.2">
      <c r="A30" s="471" t="s">
        <v>800</v>
      </c>
      <c r="B30" s="586"/>
      <c r="C30" s="586"/>
      <c r="D30" s="586"/>
      <c r="E30" s="589">
        <v>-25500</v>
      </c>
      <c r="F30" s="467"/>
      <c r="G30" s="466"/>
      <c r="H30" s="466"/>
      <c r="I30" s="467">
        <v>-28050</v>
      </c>
      <c r="J30" s="503"/>
    </row>
    <row r="31" spans="1:10" ht="13.5" customHeight="1" x14ac:dyDescent="0.2">
      <c r="A31" s="471" t="s">
        <v>801</v>
      </c>
      <c r="B31" s="586"/>
      <c r="C31" s="586"/>
      <c r="D31" s="586"/>
      <c r="E31" s="589">
        <v>0</v>
      </c>
      <c r="F31" s="467"/>
      <c r="G31" s="466"/>
      <c r="H31" s="466"/>
      <c r="I31" s="467">
        <f>I29+I30</f>
        <v>0</v>
      </c>
      <c r="J31" s="503"/>
    </row>
    <row r="32" spans="1:10" ht="13.5" customHeight="1" x14ac:dyDescent="0.2">
      <c r="A32" s="471" t="s">
        <v>802</v>
      </c>
      <c r="B32" s="468"/>
      <c r="C32" s="468">
        <v>487729000</v>
      </c>
      <c r="D32" s="469">
        <v>1.55</v>
      </c>
      <c r="E32" s="468">
        <f>C32*D32</f>
        <v>755979950</v>
      </c>
      <c r="F32" s="467"/>
      <c r="G32" s="623">
        <v>482296000</v>
      </c>
      <c r="H32" s="624">
        <v>1.55</v>
      </c>
      <c r="I32" s="623">
        <f>G32*H32</f>
        <v>747558800</v>
      </c>
      <c r="J32" s="503"/>
    </row>
    <row r="33" spans="1:11" ht="13.5" customHeight="1" x14ac:dyDescent="0.2">
      <c r="A33" s="471" t="s">
        <v>797</v>
      </c>
      <c r="B33" s="468"/>
      <c r="C33" s="468"/>
      <c r="D33" s="472"/>
      <c r="E33" s="468">
        <v>-98054262</v>
      </c>
      <c r="F33" s="467"/>
      <c r="G33" s="466"/>
      <c r="H33" s="466"/>
      <c r="I33" s="467">
        <v>-69343482</v>
      </c>
      <c r="J33" s="503"/>
    </row>
    <row r="34" spans="1:11" ht="13.5" customHeight="1" x14ac:dyDescent="0.2">
      <c r="A34" s="471" t="s">
        <v>803</v>
      </c>
      <c r="B34" s="468"/>
      <c r="C34" s="468"/>
      <c r="D34" s="472"/>
      <c r="E34" s="468">
        <f>E32+E33</f>
        <v>657925688</v>
      </c>
      <c r="F34" s="467"/>
      <c r="G34" s="466"/>
      <c r="H34" s="466"/>
      <c r="I34" s="467">
        <f>I32+I33</f>
        <v>678215318</v>
      </c>
      <c r="J34" s="503"/>
    </row>
    <row r="35" spans="1:11" ht="13.5" customHeight="1" x14ac:dyDescent="0.2">
      <c r="A35" s="590" t="s">
        <v>804</v>
      </c>
      <c r="B35" s="586"/>
      <c r="C35" s="586"/>
      <c r="D35" s="586"/>
      <c r="E35" s="586">
        <v>0</v>
      </c>
      <c r="F35" s="542"/>
      <c r="G35" s="591"/>
      <c r="H35" s="591"/>
      <c r="I35" s="542">
        <v>0</v>
      </c>
      <c r="J35" s="503"/>
    </row>
    <row r="36" spans="1:11" ht="13.5" customHeight="1" x14ac:dyDescent="0.2">
      <c r="A36" s="590"/>
      <c r="B36" s="586"/>
      <c r="C36" s="586"/>
      <c r="D36" s="586"/>
      <c r="E36" s="586"/>
      <c r="F36" s="542"/>
      <c r="G36" s="591"/>
      <c r="H36" s="591"/>
      <c r="I36" s="542"/>
      <c r="J36" s="503"/>
      <c r="K36" s="592"/>
    </row>
    <row r="37" spans="1:11" ht="24.95" customHeight="1" x14ac:dyDescent="0.2">
      <c r="A37" s="593" t="s">
        <v>83</v>
      </c>
      <c r="B37" s="586"/>
      <c r="C37" s="586"/>
      <c r="D37" s="586"/>
      <c r="E37" s="586"/>
      <c r="F37" s="542"/>
      <c r="G37" s="591"/>
      <c r="H37" s="591"/>
      <c r="I37" s="542"/>
      <c r="J37" s="503"/>
    </row>
    <row r="38" spans="1:11" ht="15" customHeight="1" x14ac:dyDescent="0.2">
      <c r="A38" s="583" t="s">
        <v>805</v>
      </c>
      <c r="B38" s="586"/>
      <c r="C38" s="586"/>
      <c r="D38" s="586"/>
      <c r="E38" s="586"/>
      <c r="F38" s="542"/>
      <c r="G38" s="591"/>
      <c r="H38" s="591"/>
      <c r="I38" s="542"/>
      <c r="J38" s="503"/>
    </row>
    <row r="39" spans="1:11" ht="24" customHeight="1" x14ac:dyDescent="0.2">
      <c r="A39" s="583" t="s">
        <v>806</v>
      </c>
      <c r="B39" s="468"/>
      <c r="C39" s="469">
        <v>13.1</v>
      </c>
      <c r="D39" s="468">
        <v>4152000</v>
      </c>
      <c r="E39" s="468">
        <f>C39*D39*8/12</f>
        <v>36260800</v>
      </c>
      <c r="F39" s="467"/>
      <c r="G39" s="466">
        <v>13.3</v>
      </c>
      <c r="H39" s="467">
        <v>4308000</v>
      </c>
      <c r="I39" s="467">
        <f>G39*8/12*4308000</f>
        <v>38197600</v>
      </c>
      <c r="J39" s="503"/>
    </row>
    <row r="40" spans="1:11" ht="24" customHeight="1" x14ac:dyDescent="0.2">
      <c r="A40" s="583" t="s">
        <v>807</v>
      </c>
      <c r="B40" s="468"/>
      <c r="C40" s="469">
        <v>13.1</v>
      </c>
      <c r="D40" s="470">
        <v>4152000</v>
      </c>
      <c r="E40" s="468">
        <f>C40*D40*4/12</f>
        <v>18130400</v>
      </c>
      <c r="F40" s="467"/>
      <c r="G40" s="594">
        <v>13.4</v>
      </c>
      <c r="H40" s="467">
        <v>4308000</v>
      </c>
      <c r="I40" s="467">
        <f>G40*4/12*H40</f>
        <v>19242400</v>
      </c>
      <c r="J40" s="503"/>
    </row>
    <row r="41" spans="1:11" ht="24.95" customHeight="1" x14ac:dyDescent="0.2">
      <c r="A41" s="583" t="s">
        <v>872</v>
      </c>
      <c r="B41" s="586"/>
      <c r="C41" s="595">
        <v>13.1</v>
      </c>
      <c r="D41" s="596">
        <v>35000</v>
      </c>
      <c r="E41" s="586">
        <f>C41*D41</f>
        <v>458500</v>
      </c>
      <c r="F41" s="542"/>
      <c r="G41" s="594">
        <v>13.4</v>
      </c>
      <c r="H41" s="467">
        <v>35000</v>
      </c>
      <c r="I41" s="467">
        <f>G41*H41</f>
        <v>469000</v>
      </c>
      <c r="J41" s="503"/>
    </row>
    <row r="42" spans="1:11" ht="24.95" customHeight="1" x14ac:dyDescent="0.2">
      <c r="A42" s="583" t="s">
        <v>808</v>
      </c>
      <c r="B42" s="586"/>
      <c r="C42" s="586">
        <v>10</v>
      </c>
      <c r="D42" s="586">
        <v>1800000</v>
      </c>
      <c r="E42" s="589">
        <f>C42*D42*8/12</f>
        <v>12000000</v>
      </c>
      <c r="F42" s="542"/>
      <c r="G42" s="594">
        <v>9</v>
      </c>
      <c r="H42" s="467">
        <v>1800000</v>
      </c>
      <c r="I42" s="467">
        <f>G42*H42*8/12</f>
        <v>10800000</v>
      </c>
      <c r="J42" s="503"/>
    </row>
    <row r="43" spans="1:11" ht="35.25" customHeight="1" x14ac:dyDescent="0.2">
      <c r="A43" s="597" t="s">
        <v>809</v>
      </c>
      <c r="B43" s="586"/>
      <c r="C43" s="586"/>
      <c r="D43" s="586"/>
      <c r="E43" s="589"/>
      <c r="F43" s="542"/>
      <c r="G43" s="594">
        <v>1</v>
      </c>
      <c r="H43" s="467">
        <v>4308000</v>
      </c>
      <c r="I43" s="467">
        <f>G43*H43*8/12</f>
        <v>2872000</v>
      </c>
      <c r="J43" s="503"/>
    </row>
    <row r="44" spans="1:11" ht="35.25" customHeight="1" x14ac:dyDescent="0.2">
      <c r="A44" s="583" t="s">
        <v>810</v>
      </c>
      <c r="B44" s="586"/>
      <c r="C44" s="586">
        <v>10</v>
      </c>
      <c r="D44" s="586">
        <v>1800000</v>
      </c>
      <c r="E44" s="586">
        <f>C44*D44*4/12</f>
        <v>6000000</v>
      </c>
      <c r="F44" s="542"/>
      <c r="G44" s="594">
        <v>9</v>
      </c>
      <c r="H44" s="467">
        <v>1800000</v>
      </c>
      <c r="I44" s="467">
        <f>G44*H44*4/12</f>
        <v>5400000</v>
      </c>
      <c r="J44" s="504"/>
    </row>
    <row r="45" spans="1:11" ht="35.25" customHeight="1" x14ac:dyDescent="0.2">
      <c r="A45" s="583" t="s">
        <v>811</v>
      </c>
      <c r="B45" s="586"/>
      <c r="C45" s="586"/>
      <c r="D45" s="586"/>
      <c r="E45" s="586"/>
      <c r="F45" s="542"/>
      <c r="G45" s="594">
        <v>1</v>
      </c>
      <c r="H45" s="467">
        <v>4308000</v>
      </c>
      <c r="I45" s="467">
        <f>G45*H45*4/12</f>
        <v>1436000</v>
      </c>
      <c r="J45" s="504"/>
    </row>
    <row r="46" spans="1:11" ht="13.5" customHeight="1" x14ac:dyDescent="0.2">
      <c r="A46" s="583" t="s">
        <v>812</v>
      </c>
      <c r="B46" s="586"/>
      <c r="C46" s="586"/>
      <c r="D46" s="586"/>
      <c r="E46" s="586"/>
      <c r="F46" s="542"/>
      <c r="G46" s="594">
        <v>1</v>
      </c>
      <c r="H46" s="467">
        <v>35000</v>
      </c>
      <c r="I46" s="467">
        <f>G46*H46</f>
        <v>35000</v>
      </c>
      <c r="J46" s="504"/>
    </row>
    <row r="47" spans="1:11" ht="13.5" customHeight="1" x14ac:dyDescent="0.2">
      <c r="A47" s="471" t="s">
        <v>813</v>
      </c>
      <c r="B47" s="586"/>
      <c r="C47" s="586"/>
      <c r="D47" s="586"/>
      <c r="E47" s="586"/>
      <c r="F47" s="542"/>
      <c r="G47" s="591"/>
      <c r="H47" s="591"/>
      <c r="I47" s="542"/>
      <c r="J47" s="503"/>
    </row>
    <row r="48" spans="1:11" ht="13.5" customHeight="1" x14ac:dyDescent="0.2">
      <c r="A48" s="583" t="s">
        <v>814</v>
      </c>
      <c r="B48" s="468"/>
      <c r="C48" s="468"/>
      <c r="D48" s="468"/>
      <c r="E48" s="468"/>
      <c r="F48" s="467"/>
      <c r="G48" s="467">
        <v>0</v>
      </c>
      <c r="H48" s="468">
        <v>80000</v>
      </c>
      <c r="I48" s="467">
        <f>G48*H48*8/12</f>
        <v>0</v>
      </c>
      <c r="J48" s="503"/>
    </row>
    <row r="49" spans="1:11" ht="13.5" customHeight="1" x14ac:dyDescent="0.2">
      <c r="A49" s="583" t="s">
        <v>815</v>
      </c>
      <c r="B49" s="468"/>
      <c r="C49" s="468">
        <v>142</v>
      </c>
      <c r="D49" s="468">
        <v>70000</v>
      </c>
      <c r="E49" s="468">
        <f>C49*D49*8/12</f>
        <v>6626666.666666667</v>
      </c>
      <c r="F49" s="467"/>
      <c r="G49" s="467">
        <v>144</v>
      </c>
      <c r="H49" s="468">
        <v>80000</v>
      </c>
      <c r="I49" s="467">
        <f>G49*H49*8/12</f>
        <v>7680000</v>
      </c>
      <c r="J49" s="503"/>
    </row>
    <row r="50" spans="1:11" ht="13.5" customHeight="1" x14ac:dyDescent="0.2">
      <c r="A50" s="583" t="s">
        <v>816</v>
      </c>
      <c r="B50" s="586"/>
      <c r="C50" s="586"/>
      <c r="D50" s="586"/>
      <c r="E50" s="586"/>
      <c r="F50" s="542"/>
      <c r="G50" s="467">
        <v>0</v>
      </c>
      <c r="H50" s="468">
        <v>80000</v>
      </c>
      <c r="I50" s="467">
        <f>G50*H50*8/12</f>
        <v>0</v>
      </c>
      <c r="J50" s="503"/>
    </row>
    <row r="51" spans="1:11" ht="39.75" customHeight="1" x14ac:dyDescent="0.2">
      <c r="A51" s="583" t="s">
        <v>817</v>
      </c>
      <c r="B51" s="586"/>
      <c r="C51" s="586">
        <v>142</v>
      </c>
      <c r="D51" s="586">
        <v>70000</v>
      </c>
      <c r="E51" s="586">
        <f>C51*D51*4/12</f>
        <v>3313333.3333333335</v>
      </c>
      <c r="F51" s="542"/>
      <c r="G51" s="467">
        <v>144</v>
      </c>
      <c r="H51" s="468">
        <v>80000</v>
      </c>
      <c r="I51" s="467">
        <f>G51*H51*4/12</f>
        <v>3840000</v>
      </c>
      <c r="J51" s="503"/>
    </row>
    <row r="52" spans="1:11" ht="50.25" customHeight="1" x14ac:dyDescent="0.2">
      <c r="A52" s="471" t="s">
        <v>818</v>
      </c>
      <c r="B52" s="586"/>
      <c r="C52" s="586"/>
      <c r="D52" s="586"/>
      <c r="E52" s="586">
        <v>0</v>
      </c>
      <c r="F52" s="542"/>
      <c r="G52" s="591"/>
      <c r="H52" s="591"/>
      <c r="I52" s="467">
        <v>740000</v>
      </c>
      <c r="J52" s="506"/>
    </row>
    <row r="53" spans="1:11" ht="13.5" customHeight="1" x14ac:dyDescent="0.2">
      <c r="A53" s="471" t="s">
        <v>819</v>
      </c>
      <c r="B53" s="468"/>
      <c r="C53" s="468"/>
      <c r="D53" s="468"/>
      <c r="E53" s="468"/>
      <c r="F53" s="467"/>
      <c r="G53" s="466"/>
      <c r="H53" s="466"/>
      <c r="I53" s="467"/>
      <c r="J53" s="503"/>
    </row>
    <row r="54" spans="1:11" ht="13.5" customHeight="1" x14ac:dyDescent="0.2">
      <c r="A54" s="583" t="s">
        <v>820</v>
      </c>
      <c r="B54" s="468"/>
      <c r="C54" s="468">
        <v>5</v>
      </c>
      <c r="D54" s="598" t="s">
        <v>291</v>
      </c>
      <c r="E54" s="468">
        <v>1760000</v>
      </c>
      <c r="F54" s="467"/>
      <c r="G54" s="467">
        <v>5</v>
      </c>
      <c r="H54" s="467">
        <v>384000</v>
      </c>
      <c r="I54" s="467">
        <f>G54*H54</f>
        <v>1920000</v>
      </c>
      <c r="J54" s="503"/>
    </row>
    <row r="55" spans="1:11" ht="13.5" customHeight="1" x14ac:dyDescent="0.2">
      <c r="A55" s="583" t="s">
        <v>821</v>
      </c>
      <c r="B55" s="586"/>
      <c r="C55" s="586"/>
      <c r="D55" s="586"/>
      <c r="E55" s="586"/>
      <c r="F55" s="542"/>
      <c r="G55" s="467">
        <v>1</v>
      </c>
      <c r="H55" s="467">
        <v>352000</v>
      </c>
      <c r="I55" s="467">
        <f>G55*H55</f>
        <v>352000</v>
      </c>
      <c r="J55" s="503"/>
    </row>
    <row r="56" spans="1:11" ht="12.75" customHeight="1" x14ac:dyDescent="0.2">
      <c r="A56" s="590"/>
      <c r="B56" s="586"/>
      <c r="C56" s="586"/>
      <c r="D56" s="586"/>
      <c r="E56" s="586"/>
      <c r="F56" s="542"/>
      <c r="G56" s="591"/>
      <c r="H56" s="591"/>
      <c r="I56" s="542"/>
      <c r="J56" s="503"/>
      <c r="K56" s="592"/>
    </row>
    <row r="57" spans="1:11" ht="13.5" customHeight="1" x14ac:dyDescent="0.2">
      <c r="A57" s="593" t="s">
        <v>84</v>
      </c>
      <c r="B57" s="586"/>
      <c r="C57" s="586"/>
      <c r="D57" s="586"/>
      <c r="E57" s="586"/>
      <c r="F57" s="542"/>
      <c r="G57" s="591"/>
      <c r="H57" s="591"/>
      <c r="I57" s="542"/>
      <c r="J57" s="503"/>
    </row>
    <row r="58" spans="1:11" ht="33.75" customHeight="1" x14ac:dyDescent="0.2">
      <c r="A58" s="590" t="s">
        <v>822</v>
      </c>
      <c r="B58" s="586"/>
      <c r="C58" s="586"/>
      <c r="D58" s="586"/>
      <c r="E58" s="586">
        <v>0</v>
      </c>
      <c r="F58" s="542"/>
      <c r="G58" s="591"/>
      <c r="H58" s="591"/>
      <c r="I58" s="542">
        <v>0</v>
      </c>
      <c r="J58" s="505"/>
    </row>
    <row r="59" spans="1:11" ht="27" customHeight="1" x14ac:dyDescent="0.2">
      <c r="A59" s="597" t="s">
        <v>823</v>
      </c>
      <c r="B59" s="586"/>
      <c r="C59" s="586"/>
      <c r="D59" s="586"/>
      <c r="E59" s="589">
        <v>0</v>
      </c>
      <c r="F59" s="542"/>
      <c r="G59" s="591"/>
      <c r="H59" s="591"/>
      <c r="I59" s="542">
        <v>0</v>
      </c>
      <c r="J59" s="503"/>
    </row>
    <row r="60" spans="1:11" ht="13.5" customHeight="1" x14ac:dyDescent="0.2">
      <c r="A60" s="471" t="s">
        <v>824</v>
      </c>
      <c r="B60" s="586"/>
      <c r="C60" s="586"/>
      <c r="D60" s="586"/>
      <c r="E60" s="586"/>
      <c r="F60" s="542"/>
      <c r="G60" s="591"/>
      <c r="H60" s="591"/>
      <c r="I60" s="542"/>
      <c r="J60" s="503"/>
    </row>
    <row r="61" spans="1:11" ht="13.5" customHeight="1" x14ac:dyDescent="0.2">
      <c r="A61" s="471" t="s">
        <v>825</v>
      </c>
      <c r="B61" s="586"/>
      <c r="C61" s="586"/>
      <c r="D61" s="586"/>
      <c r="E61" s="586"/>
      <c r="F61" s="542"/>
      <c r="G61" s="591"/>
      <c r="H61" s="591"/>
      <c r="I61" s="542"/>
      <c r="J61" s="503"/>
    </row>
    <row r="62" spans="1:11" ht="13.5" customHeight="1" x14ac:dyDescent="0.2">
      <c r="A62" s="471" t="s">
        <v>826</v>
      </c>
      <c r="B62" s="586"/>
      <c r="C62" s="586"/>
      <c r="D62" s="586"/>
      <c r="E62" s="586"/>
      <c r="F62" s="542"/>
      <c r="G62" s="591"/>
      <c r="H62" s="591"/>
      <c r="I62" s="542"/>
      <c r="J62" s="503"/>
    </row>
    <row r="63" spans="1:11" ht="28.5" customHeight="1" x14ac:dyDescent="0.2">
      <c r="A63" s="583" t="s">
        <v>827</v>
      </c>
      <c r="B63" s="590"/>
      <c r="C63" s="599"/>
      <c r="D63" s="586"/>
      <c r="E63" s="586">
        <f>C63*D63/2</f>
        <v>0</v>
      </c>
      <c r="F63" s="468">
        <v>7916</v>
      </c>
      <c r="G63" s="600"/>
      <c r="H63" s="591"/>
      <c r="I63" s="542"/>
      <c r="J63" s="505"/>
    </row>
    <row r="64" spans="1:11" ht="24.95" customHeight="1" x14ac:dyDescent="0.2">
      <c r="A64" s="597" t="s">
        <v>828</v>
      </c>
      <c r="B64" s="586"/>
      <c r="C64" s="590"/>
      <c r="D64" s="586"/>
      <c r="E64" s="586"/>
      <c r="F64" s="542"/>
      <c r="G64" s="473">
        <v>0</v>
      </c>
      <c r="H64" s="591"/>
      <c r="I64" s="542"/>
      <c r="J64" s="505"/>
    </row>
    <row r="65" spans="1:10" ht="24.95" customHeight="1" x14ac:dyDescent="0.2">
      <c r="A65" s="590" t="s">
        <v>829</v>
      </c>
      <c r="B65" s="586"/>
      <c r="C65" s="590"/>
      <c r="D65" s="586"/>
      <c r="E65" s="586"/>
      <c r="F65" s="542"/>
      <c r="G65" s="472">
        <v>1</v>
      </c>
      <c r="H65" s="591"/>
      <c r="I65" s="542"/>
      <c r="J65" s="503"/>
    </row>
    <row r="66" spans="1:10" ht="24.95" customHeight="1" x14ac:dyDescent="0.2">
      <c r="A66" s="471" t="s">
        <v>830</v>
      </c>
      <c r="B66" s="586"/>
      <c r="C66" s="601">
        <v>0.97299999999999998</v>
      </c>
      <c r="D66" s="586">
        <v>3000000</v>
      </c>
      <c r="E66" s="586"/>
      <c r="F66" s="542"/>
      <c r="G66" s="472">
        <v>2</v>
      </c>
      <c r="H66" s="468">
        <v>3000000</v>
      </c>
      <c r="I66" s="467">
        <f>(2*1+0)*3000000</f>
        <v>6000000</v>
      </c>
      <c r="J66" s="503"/>
    </row>
    <row r="67" spans="1:10" ht="13.5" customHeight="1" x14ac:dyDescent="0.2">
      <c r="A67" s="471" t="s">
        <v>831</v>
      </c>
      <c r="B67" s="602"/>
      <c r="C67" s="586">
        <v>80</v>
      </c>
      <c r="D67" s="586">
        <v>55360</v>
      </c>
      <c r="E67" s="586">
        <f>C67*D67</f>
        <v>4428800</v>
      </c>
      <c r="F67" s="542"/>
      <c r="G67" s="468">
        <v>80</v>
      </c>
      <c r="H67" s="468">
        <v>55360</v>
      </c>
      <c r="I67" s="468">
        <f>G67*H67</f>
        <v>4428800</v>
      </c>
      <c r="J67" s="503"/>
    </row>
    <row r="68" spans="1:10" ht="13.5" customHeight="1" x14ac:dyDescent="0.2">
      <c r="A68" s="471" t="s">
        <v>832</v>
      </c>
      <c r="B68" s="602"/>
      <c r="C68" s="586">
        <v>55</v>
      </c>
      <c r="D68" s="586">
        <v>145000</v>
      </c>
      <c r="E68" s="586">
        <f>C68*D68</f>
        <v>7975000</v>
      </c>
      <c r="F68" s="542"/>
      <c r="G68" s="468">
        <v>50</v>
      </c>
      <c r="H68" s="468">
        <v>145000</v>
      </c>
      <c r="I68" s="468">
        <f>G68*H68</f>
        <v>7250000</v>
      </c>
      <c r="J68" s="503"/>
    </row>
    <row r="69" spans="1:10" ht="13.5" customHeight="1" x14ac:dyDescent="0.2">
      <c r="A69" s="597" t="s">
        <v>833</v>
      </c>
      <c r="B69" s="603"/>
      <c r="C69" s="586">
        <v>23</v>
      </c>
      <c r="D69" s="586">
        <v>109000</v>
      </c>
      <c r="E69" s="586">
        <f>C69*D69</f>
        <v>2507000</v>
      </c>
      <c r="F69" s="542"/>
      <c r="G69" s="468">
        <v>23</v>
      </c>
      <c r="H69" s="468">
        <v>109000</v>
      </c>
      <c r="I69" s="468">
        <f>G69*H69</f>
        <v>2507000</v>
      </c>
      <c r="J69" s="503"/>
    </row>
    <row r="70" spans="1:10" ht="15" customHeight="1" x14ac:dyDescent="0.2">
      <c r="A70" s="583" t="s">
        <v>834</v>
      </c>
      <c r="B70" s="603"/>
      <c r="C70" s="586"/>
      <c r="D70" s="586"/>
      <c r="E70" s="586"/>
      <c r="F70" s="542"/>
      <c r="G70" s="591"/>
      <c r="H70" s="591"/>
      <c r="I70" s="542"/>
      <c r="J70" s="503"/>
    </row>
    <row r="71" spans="1:10" ht="13.5" customHeight="1" x14ac:dyDescent="0.2">
      <c r="A71" s="590" t="s">
        <v>835</v>
      </c>
      <c r="B71" s="590"/>
      <c r="C71" s="590"/>
      <c r="D71" s="542"/>
      <c r="E71" s="586"/>
      <c r="F71" s="542"/>
      <c r="G71" s="591"/>
      <c r="H71" s="591"/>
      <c r="I71" s="542"/>
      <c r="J71" s="503"/>
    </row>
    <row r="72" spans="1:10" ht="13.5" customHeight="1" x14ac:dyDescent="0.2">
      <c r="A72" s="471" t="s">
        <v>836</v>
      </c>
      <c r="B72" s="604"/>
      <c r="C72" s="586">
        <v>13</v>
      </c>
      <c r="D72" s="586">
        <v>494100</v>
      </c>
      <c r="E72" s="586">
        <f>C72*D72</f>
        <v>6423300</v>
      </c>
      <c r="F72" s="542"/>
      <c r="G72" s="468">
        <v>15</v>
      </c>
      <c r="H72" s="468">
        <v>494100</v>
      </c>
      <c r="I72" s="468">
        <f>G72*H72</f>
        <v>7411500</v>
      </c>
      <c r="J72" s="503"/>
    </row>
    <row r="73" spans="1:10" ht="13.5" customHeight="1" x14ac:dyDescent="0.2">
      <c r="A73" s="583" t="s">
        <v>837</v>
      </c>
      <c r="B73" s="602"/>
      <c r="C73" s="586"/>
      <c r="D73" s="586"/>
      <c r="E73" s="586"/>
      <c r="F73" s="542"/>
      <c r="G73" s="591"/>
      <c r="H73" s="591"/>
      <c r="I73" s="542"/>
      <c r="J73" s="503"/>
    </row>
    <row r="74" spans="1:10" ht="13.5" customHeight="1" x14ac:dyDescent="0.2">
      <c r="A74" s="583" t="s">
        <v>838</v>
      </c>
      <c r="B74" s="602"/>
      <c r="C74" s="586">
        <v>15</v>
      </c>
      <c r="D74" s="586">
        <v>2606040</v>
      </c>
      <c r="E74" s="586">
        <f>C74*D74</f>
        <v>39090600</v>
      </c>
      <c r="F74" s="542"/>
      <c r="G74" s="468">
        <v>15</v>
      </c>
      <c r="H74" s="468">
        <v>2606040</v>
      </c>
      <c r="I74" s="468">
        <f>G74*H74</f>
        <v>39090600</v>
      </c>
      <c r="J74" s="503"/>
    </row>
    <row r="75" spans="1:10" ht="24.95" customHeight="1" x14ac:dyDescent="0.2">
      <c r="A75" s="471" t="s">
        <v>839</v>
      </c>
      <c r="B75" s="602"/>
      <c r="C75" s="586"/>
      <c r="D75" s="586"/>
      <c r="E75" s="589">
        <v>37834000</v>
      </c>
      <c r="F75" s="542"/>
      <c r="G75" s="591"/>
      <c r="H75" s="591"/>
      <c r="I75" s="467">
        <v>31081000</v>
      </c>
      <c r="J75" s="507"/>
    </row>
    <row r="76" spans="1:10" ht="15" customHeight="1" x14ac:dyDescent="0.2">
      <c r="A76" s="471" t="s">
        <v>840</v>
      </c>
      <c r="B76" s="602"/>
      <c r="C76" s="586"/>
      <c r="D76" s="586"/>
      <c r="E76" s="586"/>
      <c r="F76" s="542"/>
      <c r="G76" s="591"/>
      <c r="H76" s="591"/>
      <c r="I76" s="542"/>
      <c r="J76" s="503"/>
    </row>
    <row r="77" spans="1:10" ht="34.5" customHeight="1" x14ac:dyDescent="0.2">
      <c r="A77" s="471" t="s">
        <v>841</v>
      </c>
      <c r="B77" s="586"/>
      <c r="C77" s="595">
        <v>12.33</v>
      </c>
      <c r="D77" s="586">
        <v>1632000</v>
      </c>
      <c r="E77" s="586">
        <f>C77*D77</f>
        <v>20122560</v>
      </c>
      <c r="F77" s="542"/>
      <c r="G77" s="469">
        <v>13.81</v>
      </c>
      <c r="H77" s="468">
        <v>1632000</v>
      </c>
      <c r="I77" s="468">
        <f>G77*H77</f>
        <v>22537920</v>
      </c>
      <c r="J77" s="508"/>
    </row>
    <row r="78" spans="1:10" ht="13.5" customHeight="1" x14ac:dyDescent="0.2">
      <c r="A78" s="471" t="s">
        <v>842</v>
      </c>
      <c r="B78" s="586"/>
      <c r="C78" s="586"/>
      <c r="D78" s="586"/>
      <c r="E78" s="589">
        <v>7038795</v>
      </c>
      <c r="F78" s="542"/>
      <c r="G78" s="591"/>
      <c r="H78" s="591"/>
      <c r="I78" s="467">
        <v>10352656</v>
      </c>
      <c r="J78" s="509"/>
    </row>
    <row r="79" spans="1:10" ht="13.5" customHeight="1" x14ac:dyDescent="0.2">
      <c r="A79" s="583" t="s">
        <v>843</v>
      </c>
      <c r="B79" s="586"/>
      <c r="C79" s="586"/>
      <c r="D79" s="586"/>
      <c r="E79" s="589"/>
      <c r="F79" s="542"/>
      <c r="G79" s="467">
        <v>280</v>
      </c>
      <c r="H79" s="467">
        <v>285</v>
      </c>
      <c r="I79" s="467">
        <f>G79*H79</f>
        <v>79800</v>
      </c>
      <c r="J79" s="503"/>
    </row>
    <row r="80" spans="1:10" ht="31.5" customHeight="1" x14ac:dyDescent="0.2">
      <c r="A80" s="471" t="s">
        <v>844</v>
      </c>
      <c r="B80" s="586"/>
      <c r="C80" s="586"/>
      <c r="D80" s="586"/>
      <c r="E80" s="589">
        <v>0</v>
      </c>
      <c r="F80" s="542"/>
      <c r="G80" s="591"/>
      <c r="H80" s="591"/>
      <c r="I80" s="467">
        <v>0</v>
      </c>
      <c r="J80" s="503"/>
    </row>
    <row r="81" spans="1:256" ht="28.5" customHeight="1" x14ac:dyDescent="0.2">
      <c r="A81" s="590"/>
      <c r="B81" s="586"/>
      <c r="C81" s="586"/>
      <c r="D81" s="586"/>
      <c r="E81" s="605"/>
      <c r="F81" s="542"/>
      <c r="G81" s="591"/>
      <c r="H81" s="591"/>
      <c r="I81" s="542"/>
      <c r="J81" s="503"/>
      <c r="K81" s="592"/>
    </row>
    <row r="82" spans="1:256" ht="13.5" customHeight="1" x14ac:dyDescent="0.2">
      <c r="A82" s="593" t="s">
        <v>845</v>
      </c>
      <c r="B82" s="586"/>
      <c r="C82" s="586"/>
      <c r="D82" s="586"/>
      <c r="E82" s="605"/>
      <c r="F82" s="542"/>
      <c r="G82" s="591"/>
      <c r="H82" s="591"/>
      <c r="I82" s="542"/>
      <c r="J82" s="503"/>
    </row>
    <row r="83" spans="1:256" ht="13.5" customHeight="1" x14ac:dyDescent="0.2">
      <c r="A83" s="471" t="s">
        <v>846</v>
      </c>
      <c r="B83" s="586"/>
      <c r="C83" s="586"/>
      <c r="D83" s="586"/>
      <c r="E83" s="605"/>
      <c r="F83" s="542"/>
      <c r="G83" s="591"/>
      <c r="H83" s="591"/>
      <c r="I83" s="542"/>
      <c r="J83" s="503"/>
    </row>
    <row r="84" spans="1:256" ht="13.5" customHeight="1" x14ac:dyDescent="0.2">
      <c r="A84" s="471" t="s">
        <v>847</v>
      </c>
      <c r="B84" s="586"/>
      <c r="C84" s="586">
        <v>4865</v>
      </c>
      <c r="D84" s="586">
        <v>1140</v>
      </c>
      <c r="E84" s="606"/>
      <c r="F84" s="542"/>
      <c r="G84" s="468">
        <v>4837</v>
      </c>
      <c r="H84" s="468">
        <v>1140</v>
      </c>
      <c r="I84" s="231">
        <f>G84*H84</f>
        <v>5514180</v>
      </c>
      <c r="J84" s="503"/>
    </row>
    <row r="85" spans="1:256" ht="30" customHeight="1" x14ac:dyDescent="0.2">
      <c r="A85" s="583" t="s">
        <v>848</v>
      </c>
      <c r="B85" s="586"/>
      <c r="C85" s="586"/>
      <c r="D85" s="586"/>
      <c r="E85" s="606"/>
      <c r="F85" s="542"/>
      <c r="G85" s="586"/>
      <c r="H85" s="586"/>
      <c r="I85" s="231">
        <v>0</v>
      </c>
      <c r="J85" s="503"/>
    </row>
    <row r="86" spans="1:256" ht="13.5" customHeight="1" x14ac:dyDescent="0.2">
      <c r="A86" s="597"/>
      <c r="B86" s="602"/>
      <c r="C86" s="586"/>
      <c r="D86" s="600"/>
      <c r="E86" s="586"/>
      <c r="F86" s="542"/>
      <c r="G86" s="591"/>
      <c r="H86" s="591"/>
      <c r="I86" s="542"/>
      <c r="J86" s="503"/>
      <c r="K86" s="592"/>
    </row>
    <row r="87" spans="1:256" ht="25.5" customHeight="1" x14ac:dyDescent="0.2">
      <c r="A87" s="607" t="s">
        <v>849</v>
      </c>
      <c r="B87" s="602"/>
      <c r="C87" s="608"/>
      <c r="D87" s="586"/>
      <c r="E87" s="589"/>
      <c r="F87" s="602"/>
      <c r="G87" s="591"/>
      <c r="H87" s="591"/>
      <c r="I87" s="542"/>
      <c r="J87" s="503"/>
      <c r="K87" s="592"/>
      <c r="L87" s="592"/>
      <c r="N87" s="230"/>
    </row>
    <row r="88" spans="1:256" ht="13.5" customHeight="1" thickBot="1" x14ac:dyDescent="0.25">
      <c r="A88" s="609"/>
      <c r="B88" s="610"/>
      <c r="C88" s="611"/>
      <c r="D88" s="612"/>
      <c r="E88" s="611"/>
      <c r="F88" s="613"/>
      <c r="G88" s="614"/>
      <c r="H88" s="614"/>
      <c r="I88" s="613"/>
      <c r="J88" s="503"/>
    </row>
    <row r="89" spans="1:256" ht="11.25" customHeight="1" thickBot="1" x14ac:dyDescent="0.25">
      <c r="A89" s="615" t="s">
        <v>850</v>
      </c>
      <c r="B89" s="616"/>
      <c r="C89" s="616"/>
      <c r="D89" s="617"/>
      <c r="E89" s="618">
        <f>E12+E14+E17+E20+E23+E28+E31+E34+E39+E40+E41+E42+E44+E49+E51+E54+E58+E59+E63+E64+E67+E68+E69+E72+E74+E75+E77+E78</f>
        <v>987821085</v>
      </c>
      <c r="F89" s="1438">
        <f>I12+I16+I19+I22+I25+I28+I31+I34+I35+I39+I40+I41+I42+I44+I49+I50+I51+I52+I54+I58+I59+I66+I67+I68+I69+I72+I74+I75+I77+I78+I79+I80+I84+I45+I46+I43+I55</f>
        <v>992732374</v>
      </c>
      <c r="G89" s="1438"/>
      <c r="H89" s="1438"/>
      <c r="I89" s="1455"/>
      <c r="J89" s="7"/>
      <c r="K89" s="619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48"/>
      <c r="B91" s="148"/>
      <c r="C91" s="148"/>
      <c r="D91" s="148"/>
      <c r="E91" s="15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3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9"/>
  <sheetViews>
    <sheetView workbookViewId="0">
      <selection activeCell="M17" sqref="M17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02" customWidth="1"/>
    <col min="6" max="6" width="15.140625" style="3" customWidth="1"/>
    <col min="7" max="7" width="0" style="202" hidden="1" customWidth="1"/>
    <col min="8" max="8" width="0" style="241" hidden="1" customWidth="1"/>
    <col min="9" max="9" width="10.28515625" style="202" hidden="1" customWidth="1"/>
    <col min="10" max="16384" width="9.140625" style="4"/>
  </cols>
  <sheetData>
    <row r="1" spans="1:10" ht="32.25" customHeight="1" x14ac:dyDescent="0.2">
      <c r="A1" s="1464" t="s">
        <v>1364</v>
      </c>
      <c r="B1" s="1464"/>
      <c r="C1" s="1464"/>
      <c r="D1" s="1464"/>
      <c r="E1" s="1464"/>
      <c r="F1" s="1464"/>
      <c r="G1" s="1464"/>
      <c r="H1" s="1464"/>
      <c r="I1" s="1464"/>
    </row>
    <row r="3" spans="1:10" ht="15" customHeight="1" x14ac:dyDescent="0.2">
      <c r="B3" s="1467" t="s">
        <v>77</v>
      </c>
      <c r="C3" s="1467"/>
      <c r="D3" s="1467"/>
      <c r="E3" s="1467"/>
      <c r="F3" s="1467"/>
      <c r="G3" s="1468"/>
      <c r="H3" s="1468"/>
      <c r="I3" s="1468"/>
    </row>
    <row r="4" spans="1:10" ht="15" customHeight="1" x14ac:dyDescent="0.2">
      <c r="B4" s="1471" t="s">
        <v>1201</v>
      </c>
      <c r="C4" s="1471"/>
      <c r="D4" s="1471"/>
      <c r="E4" s="1471"/>
      <c r="F4" s="1471"/>
      <c r="G4" s="4"/>
      <c r="H4" s="4"/>
      <c r="I4" s="4"/>
    </row>
    <row r="5" spans="1:10" ht="15" customHeight="1" x14ac:dyDescent="0.2">
      <c r="B5" s="1467"/>
      <c r="C5" s="1467"/>
      <c r="D5" s="1467"/>
      <c r="E5" s="1467"/>
    </row>
    <row r="6" spans="1:10" ht="15" customHeight="1" x14ac:dyDescent="0.2">
      <c r="B6" s="1469" t="s">
        <v>295</v>
      </c>
      <c r="C6" s="1470"/>
      <c r="D6" s="1470"/>
      <c r="E6" s="1470"/>
      <c r="F6" s="1470"/>
      <c r="G6" s="1470"/>
      <c r="H6" s="1470"/>
      <c r="I6" s="1470"/>
    </row>
    <row r="7" spans="1:10" ht="48.75" customHeight="1" x14ac:dyDescent="0.2">
      <c r="B7" s="186" t="s">
        <v>85</v>
      </c>
      <c r="C7" s="112" t="s">
        <v>1326</v>
      </c>
      <c r="D7" s="1466" t="s">
        <v>1327</v>
      </c>
      <c r="E7" s="1466"/>
      <c r="F7" s="1466"/>
      <c r="G7" s="1466" t="s">
        <v>550</v>
      </c>
      <c r="H7" s="1466"/>
      <c r="I7" s="1466"/>
    </row>
    <row r="8" spans="1:10" ht="35.450000000000003" customHeight="1" x14ac:dyDescent="0.2">
      <c r="B8" s="187"/>
      <c r="C8" s="30"/>
      <c r="D8" s="113" t="s">
        <v>62</v>
      </c>
      <c r="E8" s="188" t="s">
        <v>63</v>
      </c>
      <c r="F8" s="188" t="s">
        <v>998</v>
      </c>
      <c r="G8" s="4"/>
      <c r="H8" s="4"/>
      <c r="I8" s="4"/>
    </row>
    <row r="9" spans="1:10" ht="15.95" customHeight="1" x14ac:dyDescent="0.2">
      <c r="B9" s="189" t="s">
        <v>562</v>
      </c>
      <c r="C9" s="190"/>
      <c r="D9" s="191"/>
      <c r="E9" s="192"/>
      <c r="F9" s="405"/>
      <c r="G9" s="4"/>
      <c r="H9" s="4"/>
      <c r="I9" s="4"/>
      <c r="J9" s="522"/>
    </row>
    <row r="10" spans="1:10" ht="36" customHeight="1" x14ac:dyDescent="0.2">
      <c r="B10" s="876" t="s">
        <v>563</v>
      </c>
      <c r="C10" s="877" t="s">
        <v>547</v>
      </c>
      <c r="D10" s="1270">
        <v>223990</v>
      </c>
      <c r="E10" s="1271">
        <v>10</v>
      </c>
      <c r="F10" s="878">
        <f>SUM(D10:E10)</f>
        <v>224000</v>
      </c>
      <c r="G10" s="4"/>
      <c r="H10" s="4"/>
      <c r="I10" s="4"/>
      <c r="J10" s="522"/>
    </row>
    <row r="11" spans="1:10" ht="23.25" customHeight="1" x14ac:dyDescent="0.2">
      <c r="B11" s="876" t="s">
        <v>564</v>
      </c>
      <c r="C11" s="876" t="s">
        <v>1315</v>
      </c>
      <c r="D11" s="1272">
        <v>252631</v>
      </c>
      <c r="E11" s="1271">
        <v>969</v>
      </c>
      <c r="F11" s="878">
        <f>SUM(D11:E11)</f>
        <v>253600</v>
      </c>
      <c r="G11" s="4"/>
      <c r="H11" s="4"/>
      <c r="I11" s="4"/>
      <c r="J11" s="543"/>
    </row>
    <row r="12" spans="1:10" ht="22.5" customHeight="1" x14ac:dyDescent="0.2">
      <c r="B12" s="876" t="s">
        <v>565</v>
      </c>
      <c r="C12" s="879" t="s">
        <v>566</v>
      </c>
      <c r="D12" s="1272">
        <v>253594</v>
      </c>
      <c r="E12" s="1271">
        <v>16406</v>
      </c>
      <c r="F12" s="878">
        <f>SUM(D12:E12)</f>
        <v>270000</v>
      </c>
      <c r="G12" s="4"/>
      <c r="H12" s="4"/>
      <c r="I12" s="4"/>
      <c r="J12" s="522"/>
    </row>
    <row r="13" spans="1:10" ht="23.25" customHeight="1" x14ac:dyDescent="0.2">
      <c r="B13" s="880" t="s">
        <v>567</v>
      </c>
      <c r="C13" s="879"/>
      <c r="D13" s="1273">
        <f>SUM(D10:D12)</f>
        <v>730215</v>
      </c>
      <c r="E13" s="1274">
        <f>SUM(E10:E12)</f>
        <v>17385</v>
      </c>
      <c r="F13" s="881">
        <f>SUM(D13:E13)</f>
        <v>747600</v>
      </c>
      <c r="G13" s="4"/>
      <c r="H13" s="4"/>
      <c r="I13" s="4"/>
      <c r="J13" s="522"/>
    </row>
    <row r="14" spans="1:10" ht="15.95" customHeight="1" x14ac:dyDescent="0.2">
      <c r="C14" s="194"/>
      <c r="D14" s="272"/>
      <c r="E14" s="222"/>
      <c r="F14" s="406"/>
      <c r="G14" s="4"/>
      <c r="H14" s="4"/>
      <c r="I14" s="4"/>
      <c r="J14" s="522"/>
    </row>
    <row r="15" spans="1:10" s="253" customFormat="1" ht="17.25" customHeight="1" x14ac:dyDescent="0.2">
      <c r="B15" s="492" t="s">
        <v>568</v>
      </c>
      <c r="C15" s="493"/>
      <c r="D15" s="732">
        <v>4500</v>
      </c>
      <c r="E15" s="224"/>
      <c r="F15" s="733">
        <f>D15+E15</f>
        <v>4500</v>
      </c>
      <c r="J15" s="523"/>
    </row>
    <row r="16" spans="1:10" ht="15.95" customHeight="1" x14ac:dyDescent="0.2">
      <c r="B16" s="190"/>
      <c r="C16" s="196"/>
      <c r="D16" s="272"/>
      <c r="E16" s="222"/>
      <c r="F16" s="406"/>
      <c r="G16" s="4"/>
      <c r="H16" s="4"/>
      <c r="I16" s="4"/>
      <c r="J16" s="522"/>
    </row>
    <row r="17" spans="1:10" ht="15.95" customHeight="1" x14ac:dyDescent="0.2">
      <c r="B17" s="1465" t="s">
        <v>569</v>
      </c>
      <c r="C17" s="1465"/>
      <c r="D17" s="272"/>
      <c r="E17" s="222"/>
      <c r="F17" s="406"/>
      <c r="G17" s="4"/>
      <c r="H17" s="4"/>
      <c r="I17" s="4"/>
      <c r="J17" s="522"/>
    </row>
    <row r="18" spans="1:10" ht="15.95" customHeight="1" x14ac:dyDescent="0.2">
      <c r="C18" s="194"/>
      <c r="D18" s="272"/>
      <c r="E18" s="222"/>
      <c r="F18" s="406"/>
      <c r="G18" s="4"/>
      <c r="H18" s="4"/>
      <c r="I18" s="4"/>
      <c r="J18" s="522"/>
    </row>
    <row r="19" spans="1:10" ht="78.75" customHeight="1" x14ac:dyDescent="0.2">
      <c r="B19" s="198" t="s">
        <v>570</v>
      </c>
      <c r="C19" s="199" t="s">
        <v>571</v>
      </c>
      <c r="D19" s="272">
        <v>0</v>
      </c>
      <c r="E19" s="222"/>
      <c r="F19" s="406">
        <f t="shared" ref="F19:F29" si="0">SUM(D19:E19)</f>
        <v>0</v>
      </c>
      <c r="G19" s="4"/>
      <c r="H19" s="4"/>
      <c r="I19" s="4"/>
      <c r="J19" s="522"/>
    </row>
    <row r="20" spans="1:10" ht="15.95" customHeight="1" x14ac:dyDescent="0.2">
      <c r="A20" s="4"/>
      <c r="B20" s="190" t="s">
        <v>572</v>
      </c>
      <c r="C20" s="196"/>
      <c r="D20" s="732">
        <f>SUM(D18:D19)</f>
        <v>0</v>
      </c>
      <c r="E20" s="224"/>
      <c r="F20" s="733">
        <f t="shared" si="0"/>
        <v>0</v>
      </c>
      <c r="G20" s="4"/>
      <c r="H20" s="4"/>
      <c r="I20" s="4"/>
      <c r="J20" s="522"/>
    </row>
    <row r="21" spans="1:10" ht="15.95" customHeight="1" x14ac:dyDescent="0.2">
      <c r="A21" s="4"/>
      <c r="B21" s="190"/>
      <c r="C21" s="196"/>
      <c r="D21" s="272"/>
      <c r="E21" s="222"/>
      <c r="F21" s="406"/>
      <c r="G21" s="4"/>
      <c r="H21" s="4"/>
      <c r="I21" s="4"/>
      <c r="J21" s="522"/>
    </row>
    <row r="22" spans="1:10" ht="15.95" customHeight="1" x14ac:dyDescent="0.2">
      <c r="A22" s="4"/>
      <c r="B22" s="189" t="s">
        <v>573</v>
      </c>
      <c r="C22" s="196"/>
      <c r="D22" s="272"/>
      <c r="E22" s="222"/>
      <c r="F22" s="406"/>
      <c r="G22" s="4"/>
      <c r="H22" s="4"/>
      <c r="I22" s="4"/>
      <c r="J22" s="522"/>
    </row>
    <row r="23" spans="1:10" ht="15.95" customHeight="1" x14ac:dyDescent="0.2">
      <c r="A23" s="4"/>
      <c r="B23" s="3" t="s">
        <v>574</v>
      </c>
      <c r="C23" s="196"/>
      <c r="D23" s="272"/>
      <c r="E23" s="222"/>
      <c r="F23" s="406">
        <f t="shared" si="0"/>
        <v>0</v>
      </c>
      <c r="G23" s="4"/>
      <c r="H23" s="4"/>
      <c r="I23" s="4"/>
      <c r="J23" s="522"/>
    </row>
    <row r="24" spans="1:10" s="253" customFormat="1" ht="15.95" customHeight="1" x14ac:dyDescent="0.2">
      <c r="B24" s="4" t="s">
        <v>102</v>
      </c>
      <c r="C24" s="271"/>
      <c r="D24" s="272">
        <v>0</v>
      </c>
      <c r="E24" s="222"/>
      <c r="F24" s="406">
        <f t="shared" si="0"/>
        <v>0</v>
      </c>
      <c r="G24" s="4"/>
      <c r="J24" s="523"/>
    </row>
    <row r="25" spans="1:10" s="253" customFormat="1" ht="15.95" customHeight="1" x14ac:dyDescent="0.2">
      <c r="B25" s="4" t="s">
        <v>536</v>
      </c>
      <c r="C25" s="271"/>
      <c r="D25" s="272">
        <v>9000</v>
      </c>
      <c r="E25" s="222"/>
      <c r="F25" s="406">
        <f>SUM(D25:E25)</f>
        <v>9000</v>
      </c>
      <c r="G25" s="4"/>
      <c r="J25" s="523"/>
    </row>
    <row r="26" spans="1:10" ht="15.95" customHeight="1" x14ac:dyDescent="0.2">
      <c r="A26" s="4"/>
      <c r="B26" s="3" t="s">
        <v>575</v>
      </c>
      <c r="C26" s="196"/>
      <c r="D26" s="272">
        <v>0</v>
      </c>
      <c r="E26" s="222"/>
      <c r="F26" s="406">
        <f t="shared" si="0"/>
        <v>0</v>
      </c>
      <c r="G26" s="4"/>
      <c r="H26" s="4"/>
      <c r="I26" s="4"/>
      <c r="J26" s="522"/>
    </row>
    <row r="27" spans="1:10" ht="15.95" customHeight="1" x14ac:dyDescent="0.2">
      <c r="A27" s="4"/>
      <c r="B27" s="3" t="s">
        <v>576</v>
      </c>
      <c r="C27" s="196"/>
      <c r="D27" s="272"/>
      <c r="E27" s="222"/>
      <c r="F27" s="406">
        <f t="shared" si="0"/>
        <v>0</v>
      </c>
      <c r="G27" s="4"/>
      <c r="H27" s="4"/>
      <c r="I27" s="4"/>
      <c r="J27" s="522"/>
    </row>
    <row r="28" spans="1:10" ht="15.95" customHeight="1" x14ac:dyDescent="0.2">
      <c r="A28" s="4"/>
      <c r="B28" s="190" t="s">
        <v>577</v>
      </c>
      <c r="C28" s="196"/>
      <c r="D28" s="732">
        <f>SUM(D23:D27)</f>
        <v>9000</v>
      </c>
      <c r="E28" s="224">
        <f>SUM(E23:E27)</f>
        <v>0</v>
      </c>
      <c r="F28" s="733">
        <f t="shared" si="0"/>
        <v>9000</v>
      </c>
      <c r="G28" s="4"/>
      <c r="H28" s="4"/>
      <c r="I28" s="4"/>
      <c r="J28" s="522"/>
    </row>
    <row r="29" spans="1:10" ht="15.95" customHeight="1" x14ac:dyDescent="0.2">
      <c r="A29" s="4"/>
      <c r="B29" s="190"/>
      <c r="C29" s="196"/>
      <c r="D29" s="272"/>
      <c r="E29" s="222"/>
      <c r="F29" s="734">
        <f t="shared" si="0"/>
        <v>0</v>
      </c>
      <c r="G29" s="4"/>
      <c r="H29" s="4"/>
      <c r="I29" s="4"/>
      <c r="J29" s="522"/>
    </row>
    <row r="30" spans="1:10" ht="15.95" customHeight="1" x14ac:dyDescent="0.2">
      <c r="A30" s="4"/>
      <c r="B30" s="200" t="s">
        <v>578</v>
      </c>
      <c r="C30" s="201"/>
      <c r="D30" s="735">
        <f>D13+D15+D20+D28</f>
        <v>743715</v>
      </c>
      <c r="E30" s="735">
        <f>E13+E15+E20+E28</f>
        <v>17385</v>
      </c>
      <c r="F30" s="735">
        <f>SUM(D30:E30)</f>
        <v>761100</v>
      </c>
      <c r="G30" s="4"/>
      <c r="H30" s="4"/>
      <c r="I30" s="4"/>
    </row>
    <row r="31" spans="1:10" ht="15.95" customHeight="1" x14ac:dyDescent="0.2">
      <c r="A31" s="4"/>
      <c r="G31" s="4"/>
      <c r="H31" s="4"/>
      <c r="I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95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21" customWidth="1"/>
    <col min="2" max="2" width="57.5703125" style="153" customWidth="1"/>
    <col min="3" max="3" width="8.7109375" style="115" customWidth="1"/>
    <col min="4" max="4" width="9.5703125" style="115" customWidth="1"/>
    <col min="5" max="5" width="8.28515625" style="115" customWidth="1"/>
    <col min="6" max="16384" width="9.140625" style="8"/>
  </cols>
  <sheetData>
    <row r="1" spans="1:7" x14ac:dyDescent="0.2">
      <c r="B1" s="1472" t="s">
        <v>1370</v>
      </c>
      <c r="C1" s="1472"/>
      <c r="D1" s="1472"/>
      <c r="E1" s="1472"/>
    </row>
    <row r="2" spans="1:7" x14ac:dyDescent="0.2">
      <c r="B2" s="154"/>
    </row>
    <row r="3" spans="1:7" x14ac:dyDescent="0.2">
      <c r="A3" s="1476" t="s">
        <v>54</v>
      </c>
      <c r="B3" s="1476"/>
      <c r="C3" s="1476"/>
      <c r="D3" s="1476"/>
      <c r="E3" s="1476"/>
    </row>
    <row r="4" spans="1:7" ht="11.25" customHeight="1" x14ac:dyDescent="0.2">
      <c r="A4" s="1476" t="s">
        <v>1179</v>
      </c>
      <c r="B4" s="1476"/>
      <c r="C4" s="1476"/>
      <c r="D4" s="1476"/>
      <c r="E4" s="1476"/>
    </row>
    <row r="5" spans="1:7" x14ac:dyDescent="0.2">
      <c r="A5" s="1476" t="s">
        <v>1042</v>
      </c>
      <c r="B5" s="1476"/>
      <c r="C5" s="1476"/>
      <c r="D5" s="1476"/>
      <c r="E5" s="1476"/>
    </row>
    <row r="6" spans="1:7" ht="12.75" x14ac:dyDescent="0.2">
      <c r="B6" s="1477" t="s">
        <v>295</v>
      </c>
      <c r="C6" s="1478"/>
      <c r="D6" s="1478"/>
      <c r="E6" s="1478"/>
    </row>
    <row r="7" spans="1:7" ht="24" customHeight="1" x14ac:dyDescent="0.2">
      <c r="A7" s="1479" t="s">
        <v>76</v>
      </c>
      <c r="B7" s="1473" t="s">
        <v>85</v>
      </c>
      <c r="C7" s="1475" t="s">
        <v>1184</v>
      </c>
      <c r="D7" s="1475"/>
      <c r="E7" s="1475"/>
    </row>
    <row r="8" spans="1:7" ht="21" x14ac:dyDescent="0.2">
      <c r="A8" s="1479"/>
      <c r="B8" s="1474"/>
      <c r="C8" s="705" t="s">
        <v>62</v>
      </c>
      <c r="D8" s="705" t="s">
        <v>63</v>
      </c>
      <c r="E8" s="705" t="s">
        <v>64</v>
      </c>
      <c r="F8" s="510"/>
    </row>
    <row r="9" spans="1:7" x14ac:dyDescent="0.2">
      <c r="A9" s="665" t="s">
        <v>470</v>
      </c>
      <c r="B9" s="708" t="s">
        <v>86</v>
      </c>
      <c r="C9" s="126"/>
      <c r="D9" s="126"/>
      <c r="E9" s="706"/>
      <c r="F9" s="703"/>
    </row>
    <row r="10" spans="1:7" ht="12" thickBot="1" x14ac:dyDescent="0.25">
      <c r="A10" s="665" t="s">
        <v>478</v>
      </c>
      <c r="B10" s="155" t="s">
        <v>87</v>
      </c>
      <c r="C10" s="234"/>
      <c r="D10" s="126"/>
      <c r="E10" s="378">
        <f>SUM(C10:D10)</f>
        <v>0</v>
      </c>
      <c r="F10" s="703"/>
    </row>
    <row r="11" spans="1:7" s="9" customFormat="1" ht="12" thickBot="1" x14ac:dyDescent="0.25">
      <c r="A11" s="665" t="s">
        <v>479</v>
      </c>
      <c r="B11" s="847" t="s">
        <v>159</v>
      </c>
      <c r="C11" s="848">
        <f>C12+C13+C14+C17+C15+C16</f>
        <v>455832</v>
      </c>
      <c r="D11" s="848">
        <f t="shared" ref="D11:E11" si="0">D12+D13+D14+D17+D15+D16</f>
        <v>118245</v>
      </c>
      <c r="E11" s="848">
        <f t="shared" si="0"/>
        <v>574077</v>
      </c>
      <c r="F11" s="658"/>
      <c r="G11" s="658"/>
    </row>
    <row r="12" spans="1:7" s="9" customFormat="1" x14ac:dyDescent="0.2">
      <c r="A12" s="665" t="s">
        <v>480</v>
      </c>
      <c r="B12" s="157" t="s">
        <v>156</v>
      </c>
      <c r="C12" s="626">
        <v>270962</v>
      </c>
      <c r="D12" s="626"/>
      <c r="E12" s="968">
        <f t="shared" ref="E12:E17" si="1">C12+D12</f>
        <v>270962</v>
      </c>
      <c r="F12" s="658"/>
    </row>
    <row r="13" spans="1:7" s="9" customFormat="1" x14ac:dyDescent="0.2">
      <c r="A13" s="665" t="s">
        <v>481</v>
      </c>
      <c r="B13" s="157" t="s">
        <v>157</v>
      </c>
      <c r="C13" s="626">
        <v>83210</v>
      </c>
      <c r="D13" s="626"/>
      <c r="E13" s="707">
        <f t="shared" si="1"/>
        <v>83210</v>
      </c>
      <c r="F13" s="658"/>
    </row>
    <row r="14" spans="1:7" s="9" customFormat="1" x14ac:dyDescent="0.2">
      <c r="A14" s="665" t="s">
        <v>482</v>
      </c>
      <c r="B14" s="157" t="s">
        <v>158</v>
      </c>
      <c r="C14" s="626">
        <v>0</v>
      </c>
      <c r="D14" s="626">
        <v>0</v>
      </c>
      <c r="E14" s="707">
        <f t="shared" si="1"/>
        <v>0</v>
      </c>
      <c r="F14" s="658"/>
      <c r="G14" s="658"/>
    </row>
    <row r="15" spans="1:7" s="9" customFormat="1" x14ac:dyDescent="0.2">
      <c r="A15" s="665" t="s">
        <v>483</v>
      </c>
      <c r="B15" s="157" t="s">
        <v>1361</v>
      </c>
      <c r="C15" s="626">
        <v>43329</v>
      </c>
      <c r="D15" s="626">
        <v>118245</v>
      </c>
      <c r="E15" s="707">
        <f t="shared" si="1"/>
        <v>161574</v>
      </c>
      <c r="F15" s="658"/>
      <c r="G15" s="658"/>
    </row>
    <row r="16" spans="1:7" s="9" customFormat="1" x14ac:dyDescent="0.2">
      <c r="A16" s="665" t="s">
        <v>484</v>
      </c>
      <c r="B16" s="157" t="s">
        <v>1362</v>
      </c>
      <c r="C16" s="626">
        <v>50266</v>
      </c>
      <c r="D16" s="626"/>
      <c r="E16" s="707">
        <f t="shared" si="1"/>
        <v>50266</v>
      </c>
      <c r="F16" s="658"/>
      <c r="G16" s="658"/>
    </row>
    <row r="17" spans="1:8" s="9" customFormat="1" x14ac:dyDescent="0.2">
      <c r="A17" s="665" t="s">
        <v>485</v>
      </c>
      <c r="B17" s="157" t="s">
        <v>175</v>
      </c>
      <c r="C17" s="126">
        <v>8065</v>
      </c>
      <c r="D17" s="126"/>
      <c r="E17" s="378">
        <f t="shared" si="1"/>
        <v>8065</v>
      </c>
      <c r="F17" s="658"/>
    </row>
    <row r="18" spans="1:8" s="9" customFormat="1" ht="12" thickBot="1" x14ac:dyDescent="0.25">
      <c r="A18" s="665" t="s">
        <v>519</v>
      </c>
      <c r="B18" s="850" t="s">
        <v>160</v>
      </c>
      <c r="C18" s="851">
        <v>0</v>
      </c>
      <c r="D18" s="851"/>
      <c r="E18" s="853">
        <v>0</v>
      </c>
      <c r="F18" s="658"/>
      <c r="H18" s="658"/>
    </row>
    <row r="19" spans="1:8" s="9" customFormat="1" ht="12" thickBot="1" x14ac:dyDescent="0.25">
      <c r="A19" s="665" t="s">
        <v>520</v>
      </c>
      <c r="B19" s="847" t="s">
        <v>180</v>
      </c>
      <c r="C19" s="1046"/>
      <c r="D19" s="1046"/>
      <c r="E19" s="772">
        <f>C19+D19</f>
        <v>0</v>
      </c>
      <c r="F19" s="852"/>
      <c r="G19" s="658"/>
    </row>
    <row r="20" spans="1:8" s="9" customFormat="1" ht="12" thickBot="1" x14ac:dyDescent="0.25">
      <c r="A20" s="665" t="s">
        <v>521</v>
      </c>
      <c r="B20" s="847" t="s">
        <v>275</v>
      </c>
      <c r="C20" s="771">
        <v>530</v>
      </c>
      <c r="D20" s="771">
        <v>2081</v>
      </c>
      <c r="E20" s="772">
        <f>C20+D20</f>
        <v>2611</v>
      </c>
      <c r="F20" s="658"/>
      <c r="G20" s="658"/>
    </row>
    <row r="21" spans="1:8" x14ac:dyDescent="0.2">
      <c r="A21" s="665" t="s">
        <v>522</v>
      </c>
      <c r="B21" s="156"/>
      <c r="C21" s="867"/>
      <c r="D21" s="867"/>
      <c r="E21" s="868"/>
      <c r="F21" s="703"/>
    </row>
    <row r="22" spans="1:8" x14ac:dyDescent="0.2">
      <c r="A22" s="665" t="s">
        <v>523</v>
      </c>
      <c r="B22" s="155" t="s">
        <v>17</v>
      </c>
      <c r="C22" s="1047"/>
      <c r="D22" s="1047"/>
      <c r="E22" s="1048"/>
      <c r="F22" s="703"/>
    </row>
    <row r="23" spans="1:8" x14ac:dyDescent="0.2">
      <c r="A23" s="665" t="s">
        <v>524</v>
      </c>
      <c r="B23" s="945" t="s">
        <v>922</v>
      </c>
      <c r="C23" s="297">
        <f>C24</f>
        <v>0</v>
      </c>
      <c r="D23" s="297">
        <f t="shared" ref="D23" si="2">D24</f>
        <v>175</v>
      </c>
      <c r="E23" s="297">
        <f t="shared" ref="E23" si="3">E24</f>
        <v>175</v>
      </c>
      <c r="F23" s="510"/>
    </row>
    <row r="24" spans="1:8" x14ac:dyDescent="0.2">
      <c r="A24" s="665" t="s">
        <v>525</v>
      </c>
      <c r="B24" s="137" t="s">
        <v>1096</v>
      </c>
      <c r="C24" s="234"/>
      <c r="D24" s="234">
        <v>175</v>
      </c>
      <c r="E24" s="401">
        <f>SUM(C24:D24)</f>
        <v>175</v>
      </c>
      <c r="F24" s="703"/>
    </row>
    <row r="25" spans="1:8" x14ac:dyDescent="0.2">
      <c r="A25" s="665" t="s">
        <v>526</v>
      </c>
      <c r="B25" s="945" t="s">
        <v>1097</v>
      </c>
      <c r="C25" s="297">
        <f>C26</f>
        <v>0</v>
      </c>
      <c r="D25" s="297">
        <f t="shared" ref="D25" si="4">D26</f>
        <v>0</v>
      </c>
      <c r="E25" s="297">
        <f t="shared" ref="E25" si="5">E26</f>
        <v>0</v>
      </c>
      <c r="F25" s="510"/>
    </row>
    <row r="26" spans="1:8" x14ac:dyDescent="0.2">
      <c r="A26" s="665" t="s">
        <v>528</v>
      </c>
      <c r="B26" s="137"/>
      <c r="C26" s="867"/>
      <c r="D26" s="867"/>
      <c r="E26" s="868"/>
      <c r="F26" s="703"/>
    </row>
    <row r="27" spans="1:8" x14ac:dyDescent="0.2">
      <c r="A27" s="665" t="s">
        <v>529</v>
      </c>
      <c r="B27" s="157" t="s">
        <v>1102</v>
      </c>
      <c r="C27" s="297">
        <f>SUM(C28:C35)</f>
        <v>141068</v>
      </c>
      <c r="D27" s="297">
        <f>SUM(D28:D35)</f>
        <v>0</v>
      </c>
      <c r="E27" s="297">
        <f>SUM(E28:E35)</f>
        <v>141068</v>
      </c>
      <c r="F27" s="510"/>
      <c r="G27" s="703"/>
    </row>
    <row r="28" spans="1:8" x14ac:dyDescent="0.2">
      <c r="A28" s="665" t="s">
        <v>530</v>
      </c>
      <c r="B28" s="156" t="s">
        <v>1180</v>
      </c>
      <c r="C28" s="234">
        <v>0</v>
      </c>
      <c r="D28" s="234"/>
      <c r="E28" s="401">
        <f>C28+D28</f>
        <v>0</v>
      </c>
      <c r="F28" s="703"/>
    </row>
    <row r="29" spans="1:8" x14ac:dyDescent="0.2">
      <c r="A29" s="665" t="s">
        <v>531</v>
      </c>
      <c r="B29" s="156" t="s">
        <v>1181</v>
      </c>
      <c r="C29" s="234">
        <v>1134</v>
      </c>
      <c r="D29" s="234"/>
      <c r="E29" s="401">
        <f>C29+D29</f>
        <v>1134</v>
      </c>
      <c r="F29" s="703"/>
    </row>
    <row r="30" spans="1:8" x14ac:dyDescent="0.2">
      <c r="A30" s="665" t="s">
        <v>532</v>
      </c>
      <c r="B30" s="156"/>
      <c r="C30" s="867"/>
      <c r="D30" s="867"/>
      <c r="E30" s="868"/>
      <c r="F30" s="703"/>
    </row>
    <row r="31" spans="1:8" x14ac:dyDescent="0.2">
      <c r="A31" s="665" t="s">
        <v>533</v>
      </c>
      <c r="B31" s="156"/>
      <c r="C31" s="867"/>
      <c r="D31" s="867"/>
      <c r="E31" s="868"/>
      <c r="F31" s="703"/>
    </row>
    <row r="32" spans="1:8" s="935" customFormat="1" x14ac:dyDescent="0.2">
      <c r="A32" s="665" t="s">
        <v>534</v>
      </c>
      <c r="B32" s="844" t="s">
        <v>1363</v>
      </c>
      <c r="C32" s="1685">
        <v>107033</v>
      </c>
      <c r="D32" s="1049"/>
      <c r="E32" s="1051">
        <f t="shared" ref="E32:E34" si="6">SUM(C32:D32)</f>
        <v>107033</v>
      </c>
      <c r="F32" s="934"/>
    </row>
    <row r="33" spans="1:7" ht="14.25" customHeight="1" x14ac:dyDescent="0.2">
      <c r="A33" s="665" t="s">
        <v>535</v>
      </c>
      <c r="B33" s="795" t="s">
        <v>1213</v>
      </c>
      <c r="C33" s="234">
        <v>12261</v>
      </c>
      <c r="D33" s="867"/>
      <c r="E33" s="1051">
        <f t="shared" si="6"/>
        <v>12261</v>
      </c>
      <c r="F33" s="703"/>
    </row>
    <row r="34" spans="1:7" ht="23.25" customHeight="1" x14ac:dyDescent="0.2">
      <c r="A34" s="1686" t="s">
        <v>552</v>
      </c>
      <c r="B34" s="844" t="s">
        <v>981</v>
      </c>
      <c r="C34" s="234">
        <v>20640</v>
      </c>
      <c r="D34" s="867"/>
      <c r="E34" s="1051">
        <f t="shared" si="6"/>
        <v>20640</v>
      </c>
      <c r="F34" s="703"/>
    </row>
    <row r="35" spans="1:7" ht="11.25" customHeight="1" x14ac:dyDescent="0.2">
      <c r="A35" s="665" t="s">
        <v>553</v>
      </c>
      <c r="B35" s="795"/>
      <c r="C35" s="867"/>
      <c r="D35" s="867"/>
      <c r="E35" s="868"/>
      <c r="F35" s="703"/>
    </row>
    <row r="36" spans="1:7" ht="11.25" customHeight="1" x14ac:dyDescent="0.2">
      <c r="A36" s="665" t="s">
        <v>554</v>
      </c>
      <c r="B36" s="945" t="s">
        <v>1098</v>
      </c>
      <c r="C36" s="297">
        <f>C37</f>
        <v>0</v>
      </c>
      <c r="D36" s="297">
        <f t="shared" ref="D36" si="7">D37</f>
        <v>2468</v>
      </c>
      <c r="E36" s="297">
        <f t="shared" ref="E36" si="8">E37</f>
        <v>2468</v>
      </c>
      <c r="F36" s="510"/>
    </row>
    <row r="37" spans="1:7" ht="11.25" customHeight="1" x14ac:dyDescent="0.2">
      <c r="A37" s="665" t="s">
        <v>555</v>
      </c>
      <c r="B37" s="166" t="s">
        <v>1023</v>
      </c>
      <c r="C37" s="867"/>
      <c r="D37" s="234">
        <v>2468</v>
      </c>
      <c r="E37" s="401">
        <f>SUM(C37:D37)</f>
        <v>2468</v>
      </c>
      <c r="F37" s="703"/>
    </row>
    <row r="38" spans="1:7" x14ac:dyDescent="0.2">
      <c r="A38" s="665" t="s">
        <v>556</v>
      </c>
      <c r="B38" s="157" t="s">
        <v>71</v>
      </c>
      <c r="C38" s="297">
        <f>SUM(C39:C39)</f>
        <v>4630</v>
      </c>
      <c r="D38" s="297">
        <f>SUM(D39:D39)</f>
        <v>0</v>
      </c>
      <c r="E38" s="379">
        <f>SUM(E39:E39)</f>
        <v>4630</v>
      </c>
      <c r="F38" s="703"/>
    </row>
    <row r="39" spans="1:7" ht="10.5" customHeight="1" thickBot="1" x14ac:dyDescent="0.25">
      <c r="A39" s="665" t="s">
        <v>557</v>
      </c>
      <c r="B39" s="137" t="s">
        <v>1127</v>
      </c>
      <c r="C39" s="234">
        <v>4630</v>
      </c>
      <c r="D39" s="234"/>
      <c r="E39" s="401">
        <f t="shared" ref="E39" si="9">C39+D39</f>
        <v>4630</v>
      </c>
      <c r="F39" s="703"/>
    </row>
    <row r="40" spans="1:7" ht="12" thickBot="1" x14ac:dyDescent="0.25">
      <c r="A40" s="665" t="s">
        <v>558</v>
      </c>
      <c r="B40" s="428" t="s">
        <v>154</v>
      </c>
      <c r="C40" s="771">
        <f>C27+C38+C23+C25+C36</f>
        <v>145698</v>
      </c>
      <c r="D40" s="771">
        <f>D27+D38+D23+D25+D36</f>
        <v>2643</v>
      </c>
      <c r="E40" s="772">
        <f>E27+E38+E23+E25+E36</f>
        <v>148341</v>
      </c>
      <c r="F40" s="703"/>
      <c r="G40" s="703"/>
    </row>
    <row r="41" spans="1:7" x14ac:dyDescent="0.2">
      <c r="A41" s="665" t="s">
        <v>559</v>
      </c>
      <c r="B41" s="135"/>
      <c r="C41" s="1047"/>
      <c r="D41" s="1047"/>
      <c r="E41" s="1048"/>
      <c r="F41" s="703"/>
    </row>
    <row r="42" spans="1:7" x14ac:dyDescent="0.2">
      <c r="A42" s="665" t="s">
        <v>560</v>
      </c>
      <c r="B42" s="137" t="s">
        <v>923</v>
      </c>
      <c r="C42" s="1047"/>
      <c r="D42" s="1047"/>
      <c r="E42" s="1048"/>
      <c r="F42" s="703"/>
    </row>
    <row r="43" spans="1:7" ht="12" thickBot="1" x14ac:dyDescent="0.25">
      <c r="A43" s="665" t="s">
        <v>612</v>
      </c>
      <c r="B43" s="137"/>
      <c r="C43" s="1047"/>
      <c r="D43" s="867"/>
      <c r="E43" s="868"/>
      <c r="F43" s="703"/>
    </row>
    <row r="44" spans="1:7" ht="12" thickBot="1" x14ac:dyDescent="0.25">
      <c r="A44" s="665" t="s">
        <v>613</v>
      </c>
      <c r="B44" s="428" t="s">
        <v>923</v>
      </c>
      <c r="C44" s="771">
        <f>SUM(C43:C43)</f>
        <v>0</v>
      </c>
      <c r="D44" s="771">
        <f>SUM(D43:D43)</f>
        <v>0</v>
      </c>
      <c r="E44" s="772">
        <f>SUM(E43:E43)</f>
        <v>0</v>
      </c>
      <c r="F44" s="703"/>
      <c r="G44" s="703"/>
    </row>
    <row r="45" spans="1:7" ht="12" thickBot="1" x14ac:dyDescent="0.25">
      <c r="A45" s="665" t="s">
        <v>614</v>
      </c>
      <c r="B45" s="135"/>
      <c r="C45" s="1047"/>
      <c r="D45" s="1047"/>
      <c r="E45" s="1048"/>
      <c r="F45" s="703"/>
    </row>
    <row r="46" spans="1:7" ht="12" thickBot="1" x14ac:dyDescent="0.25">
      <c r="A46" s="665" t="s">
        <v>615</v>
      </c>
      <c r="B46" s="428" t="s">
        <v>91</v>
      </c>
      <c r="C46" s="771">
        <f>C11+C18+IC19+C20+C27+C38+C44+C19+C25+C36+C23</f>
        <v>602060</v>
      </c>
      <c r="D46" s="771">
        <f>D11+D18+ID19+D20+D27+D38+D44+D19+D25+D36+D23</f>
        <v>122969</v>
      </c>
      <c r="E46" s="772">
        <f>E11+E18+IE19+E20+E27+E38+E44+E19+E25+E36+E23</f>
        <v>725029</v>
      </c>
      <c r="F46" s="703"/>
    </row>
    <row r="47" spans="1:7" x14ac:dyDescent="0.2">
      <c r="A47" s="665" t="s">
        <v>112</v>
      </c>
      <c r="B47" s="135"/>
      <c r="C47" s="1047"/>
      <c r="D47" s="1047"/>
      <c r="E47" s="1048"/>
      <c r="F47" s="703"/>
    </row>
    <row r="48" spans="1:7" x14ac:dyDescent="0.2">
      <c r="A48" s="665" t="s">
        <v>640</v>
      </c>
      <c r="B48" s="704" t="s">
        <v>320</v>
      </c>
      <c r="C48" s="1047"/>
      <c r="D48" s="1047"/>
      <c r="E48" s="1048"/>
      <c r="F48" s="703"/>
    </row>
    <row r="49" spans="1:6" x14ac:dyDescent="0.2">
      <c r="A49" s="665" t="s">
        <v>641</v>
      </c>
      <c r="B49" s="137"/>
      <c r="C49" s="867"/>
      <c r="D49" s="867"/>
      <c r="E49" s="868"/>
      <c r="F49" s="703"/>
    </row>
    <row r="50" spans="1:6" ht="12" thickBot="1" x14ac:dyDescent="0.25">
      <c r="A50" s="665" t="s">
        <v>115</v>
      </c>
      <c r="B50" s="135" t="s">
        <v>19</v>
      </c>
      <c r="C50" s="297">
        <f>SUM(C49)</f>
        <v>0</v>
      </c>
      <c r="D50" s="297">
        <f t="shared" ref="D50:E50" si="10">SUM(D49)</f>
        <v>0</v>
      </c>
      <c r="E50" s="379">
        <f t="shared" si="10"/>
        <v>0</v>
      </c>
      <c r="F50" s="703"/>
    </row>
    <row r="51" spans="1:6" ht="12" thickBot="1" x14ac:dyDescent="0.25">
      <c r="A51" s="665" t="s">
        <v>116</v>
      </c>
      <c r="B51" s="428" t="s">
        <v>654</v>
      </c>
      <c r="C51" s="771">
        <f>SUM(C50)</f>
        <v>0</v>
      </c>
      <c r="D51" s="771">
        <f>SUM(D50)</f>
        <v>0</v>
      </c>
      <c r="E51" s="772">
        <f>SUM(C51:D51)</f>
        <v>0</v>
      </c>
      <c r="F51" s="703"/>
    </row>
    <row r="52" spans="1:6" x14ac:dyDescent="0.2">
      <c r="A52" s="665" t="s">
        <v>117</v>
      </c>
      <c r="B52" s="135"/>
      <c r="C52" s="1047"/>
      <c r="D52" s="1047"/>
      <c r="E52" s="1048"/>
      <c r="F52" s="703"/>
    </row>
    <row r="53" spans="1:6" x14ac:dyDescent="0.2">
      <c r="A53" s="665" t="s">
        <v>120</v>
      </c>
      <c r="B53" s="704" t="s">
        <v>655</v>
      </c>
      <c r="C53" s="1047"/>
      <c r="D53" s="1047"/>
      <c r="E53" s="1048"/>
      <c r="F53" s="703"/>
    </row>
    <row r="54" spans="1:6" x14ac:dyDescent="0.2">
      <c r="A54" s="665" t="s">
        <v>123</v>
      </c>
      <c r="B54" s="137" t="s">
        <v>161</v>
      </c>
      <c r="C54" s="867"/>
      <c r="D54" s="234">
        <v>106</v>
      </c>
      <c r="E54" s="401">
        <f>SUM(C54:D54)</f>
        <v>106</v>
      </c>
      <c r="F54" s="703"/>
    </row>
    <row r="55" spans="1:6" x14ac:dyDescent="0.2">
      <c r="A55" s="665" t="s">
        <v>124</v>
      </c>
      <c r="B55" s="137" t="s">
        <v>162</v>
      </c>
      <c r="C55" s="867"/>
      <c r="D55" s="867"/>
      <c r="E55" s="868"/>
      <c r="F55" s="703"/>
    </row>
    <row r="56" spans="1:6" ht="12" thickBot="1" x14ac:dyDescent="0.25">
      <c r="A56" s="665" t="s">
        <v>125</v>
      </c>
      <c r="B56" s="135" t="s">
        <v>19</v>
      </c>
      <c r="C56" s="297">
        <f>SUM(C54:C55)</f>
        <v>0</v>
      </c>
      <c r="D56" s="297">
        <f>SUM(D54:D55)</f>
        <v>106</v>
      </c>
      <c r="E56" s="379">
        <f>SUM(E54:E55)</f>
        <v>106</v>
      </c>
      <c r="F56" s="703"/>
    </row>
    <row r="57" spans="1:6" ht="12" thickBot="1" x14ac:dyDescent="0.25">
      <c r="A57" s="665" t="s">
        <v>126</v>
      </c>
      <c r="B57" s="428" t="s">
        <v>163</v>
      </c>
      <c r="C57" s="771">
        <f>C56</f>
        <v>0</v>
      </c>
      <c r="D57" s="771">
        <f>D56</f>
        <v>106</v>
      </c>
      <c r="E57" s="772">
        <f>E56</f>
        <v>106</v>
      </c>
      <c r="F57" s="703"/>
    </row>
    <row r="58" spans="1:6" x14ac:dyDescent="0.2">
      <c r="A58" s="665" t="s">
        <v>129</v>
      </c>
      <c r="B58" s="135"/>
      <c r="C58" s="1047"/>
      <c r="D58" s="1047"/>
      <c r="E58" s="1048"/>
      <c r="F58" s="703"/>
    </row>
    <row r="59" spans="1:6" x14ac:dyDescent="0.2">
      <c r="A59" s="665" t="s">
        <v>132</v>
      </c>
      <c r="B59" s="704" t="s">
        <v>1043</v>
      </c>
      <c r="C59" s="1047"/>
      <c r="D59" s="1047"/>
      <c r="E59" s="1048"/>
      <c r="F59" s="703"/>
    </row>
    <row r="60" spans="1:6" x14ac:dyDescent="0.2">
      <c r="A60" s="665" t="s">
        <v>135</v>
      </c>
      <c r="B60" s="137" t="s">
        <v>161</v>
      </c>
      <c r="C60" s="234">
        <v>0</v>
      </c>
      <c r="D60" s="234">
        <v>0</v>
      </c>
      <c r="E60" s="401">
        <f>C60+D60</f>
        <v>0</v>
      </c>
      <c r="F60" s="946"/>
    </row>
    <row r="61" spans="1:6" x14ac:dyDescent="0.2">
      <c r="A61" s="665" t="s">
        <v>136</v>
      </c>
      <c r="B61" s="135" t="s">
        <v>19</v>
      </c>
      <c r="C61" s="297">
        <f>C60</f>
        <v>0</v>
      </c>
      <c r="D61" s="297">
        <f t="shared" ref="D61:E61" si="11">D60</f>
        <v>0</v>
      </c>
      <c r="E61" s="379">
        <f t="shared" si="11"/>
        <v>0</v>
      </c>
      <c r="F61" s="703"/>
    </row>
    <row r="62" spans="1:6" x14ac:dyDescent="0.2">
      <c r="A62" s="665" t="s">
        <v>139</v>
      </c>
      <c r="B62" s="137" t="s">
        <v>1044</v>
      </c>
      <c r="C62" s="297"/>
      <c r="D62" s="234">
        <v>0</v>
      </c>
      <c r="E62" s="401">
        <f>C62+D62</f>
        <v>0</v>
      </c>
      <c r="F62" s="703"/>
    </row>
    <row r="63" spans="1:6" ht="12" thickBot="1" x14ac:dyDescent="0.25">
      <c r="A63" s="665" t="s">
        <v>140</v>
      </c>
      <c r="B63" s="135" t="s">
        <v>923</v>
      </c>
      <c r="C63" s="297">
        <f>C62</f>
        <v>0</v>
      </c>
      <c r="D63" s="297">
        <f t="shared" ref="D63:E63" si="12">D62</f>
        <v>0</v>
      </c>
      <c r="E63" s="379">
        <f t="shared" si="12"/>
        <v>0</v>
      </c>
      <c r="F63" s="703"/>
    </row>
    <row r="64" spans="1:6" ht="12" thickBot="1" x14ac:dyDescent="0.25">
      <c r="A64" s="665" t="s">
        <v>141</v>
      </c>
      <c r="B64" s="428" t="s">
        <v>1045</v>
      </c>
      <c r="C64" s="771">
        <f>C61+C63</f>
        <v>0</v>
      </c>
      <c r="D64" s="771">
        <f t="shared" ref="D64:E64" si="13">D61+D63</f>
        <v>0</v>
      </c>
      <c r="E64" s="772">
        <f t="shared" si="13"/>
        <v>0</v>
      </c>
      <c r="F64" s="703"/>
    </row>
    <row r="65" spans="1:9" x14ac:dyDescent="0.2">
      <c r="A65" s="665" t="s">
        <v>142</v>
      </c>
      <c r="B65" s="135"/>
      <c r="C65" s="867"/>
      <c r="D65" s="867"/>
      <c r="E65" s="868"/>
      <c r="F65" s="703"/>
    </row>
    <row r="66" spans="1:9" x14ac:dyDescent="0.2">
      <c r="A66" s="665" t="s">
        <v>143</v>
      </c>
      <c r="B66" s="704" t="s">
        <v>93</v>
      </c>
      <c r="C66" s="867"/>
      <c r="D66" s="867"/>
      <c r="E66" s="868"/>
      <c r="F66" s="703"/>
      <c r="G66" s="703"/>
    </row>
    <row r="67" spans="1:9" x14ac:dyDescent="0.2">
      <c r="A67" s="665" t="s">
        <v>145</v>
      </c>
      <c r="B67" s="135" t="s">
        <v>17</v>
      </c>
      <c r="C67" s="867"/>
      <c r="D67" s="867"/>
      <c r="E67" s="868"/>
      <c r="F67" s="703"/>
    </row>
    <row r="68" spans="1:9" x14ac:dyDescent="0.2">
      <c r="A68" s="665" t="s">
        <v>148</v>
      </c>
      <c r="B68" s="137" t="s">
        <v>92</v>
      </c>
      <c r="C68" s="234">
        <v>10000</v>
      </c>
      <c r="D68" s="234"/>
      <c r="E68" s="401">
        <f>SUM(C68:D68)</f>
        <v>10000</v>
      </c>
      <c r="F68" s="703"/>
    </row>
    <row r="69" spans="1:9" x14ac:dyDescent="0.2">
      <c r="A69" s="665" t="s">
        <v>150</v>
      </c>
      <c r="B69" s="137" t="s">
        <v>292</v>
      </c>
      <c r="C69" s="234">
        <v>10000</v>
      </c>
      <c r="D69" s="234"/>
      <c r="E69" s="401">
        <f>SUM(C69:D69)</f>
        <v>10000</v>
      </c>
      <c r="F69" s="703"/>
    </row>
    <row r="70" spans="1:9" x14ac:dyDescent="0.2">
      <c r="A70" s="665" t="s">
        <v>151</v>
      </c>
      <c r="B70" s="137" t="s">
        <v>293</v>
      </c>
      <c r="C70" s="234">
        <v>420</v>
      </c>
      <c r="D70" s="234"/>
      <c r="E70" s="401">
        <f>SUM(C70:D70)</f>
        <v>420</v>
      </c>
      <c r="F70" s="703"/>
    </row>
    <row r="71" spans="1:9" x14ac:dyDescent="0.2">
      <c r="A71" s="665" t="s">
        <v>152</v>
      </c>
      <c r="B71" s="137" t="s">
        <v>162</v>
      </c>
      <c r="C71" s="234"/>
      <c r="D71" s="234"/>
      <c r="E71" s="401"/>
      <c r="F71" s="703"/>
    </row>
    <row r="72" spans="1:9" x14ac:dyDescent="0.2">
      <c r="A72" s="665" t="s">
        <v>1010</v>
      </c>
      <c r="B72" s="137" t="s">
        <v>161</v>
      </c>
      <c r="C72" s="234"/>
      <c r="D72" s="234">
        <v>243</v>
      </c>
      <c r="E72" s="401">
        <f>SUM(C72:D72)</f>
        <v>243</v>
      </c>
      <c r="F72" s="703"/>
    </row>
    <row r="73" spans="1:9" ht="12" thickBot="1" x14ac:dyDescent="0.25">
      <c r="A73" s="665" t="s">
        <v>1011</v>
      </c>
      <c r="B73" s="135" t="s">
        <v>19</v>
      </c>
      <c r="C73" s="297">
        <f>SUM(C68:C72)</f>
        <v>20420</v>
      </c>
      <c r="D73" s="297">
        <f>SUM(D68:D72)</f>
        <v>243</v>
      </c>
      <c r="E73" s="379">
        <f>SUM(E68:E72)</f>
        <v>20663</v>
      </c>
      <c r="F73" s="703"/>
    </row>
    <row r="74" spans="1:9" ht="12" thickBot="1" x14ac:dyDescent="0.25">
      <c r="A74" s="665" t="s">
        <v>1099</v>
      </c>
      <c r="B74" s="849" t="s">
        <v>94</v>
      </c>
      <c r="C74" s="771">
        <f>C73</f>
        <v>20420</v>
      </c>
      <c r="D74" s="771">
        <f>D73</f>
        <v>243</v>
      </c>
      <c r="E74" s="772">
        <f>E73</f>
        <v>20663</v>
      </c>
      <c r="F74" s="703"/>
    </row>
    <row r="75" spans="1:9" s="9" customFormat="1" x14ac:dyDescent="0.2">
      <c r="A75" s="665" t="s">
        <v>1100</v>
      </c>
      <c r="B75" s="135"/>
      <c r="C75" s="1047"/>
      <c r="D75" s="1047"/>
      <c r="E75" s="1048"/>
      <c r="F75" s="658"/>
    </row>
    <row r="76" spans="1:9" s="9" customFormat="1" x14ac:dyDescent="0.2">
      <c r="A76" s="665" t="s">
        <v>1101</v>
      </c>
      <c r="B76" s="135" t="s">
        <v>18</v>
      </c>
      <c r="C76" s="297">
        <f>C40+C56+C73+C50+C61</f>
        <v>166118</v>
      </c>
      <c r="D76" s="297">
        <f>D40+D56+D73+D50+D61</f>
        <v>2992</v>
      </c>
      <c r="E76" s="297">
        <f>E40+E56+E73+E50+E61</f>
        <v>169110</v>
      </c>
      <c r="F76" s="901"/>
      <c r="G76" s="658"/>
    </row>
    <row r="77" spans="1:9" x14ac:dyDescent="0.2">
      <c r="A77" s="665" t="s">
        <v>1128</v>
      </c>
      <c r="B77" s="135" t="s">
        <v>95</v>
      </c>
      <c r="C77" s="297">
        <f>C44+C63</f>
        <v>0</v>
      </c>
      <c r="D77" s="297">
        <f>D44+D63</f>
        <v>0</v>
      </c>
      <c r="E77" s="297">
        <f>E44+E63</f>
        <v>0</v>
      </c>
      <c r="F77" s="510"/>
    </row>
    <row r="78" spans="1:9" ht="12" thickBot="1" x14ac:dyDescent="0.25">
      <c r="A78" s="665" t="s">
        <v>1129</v>
      </c>
      <c r="B78" s="140"/>
      <c r="C78" s="1050"/>
      <c r="D78" s="1050"/>
      <c r="E78" s="868"/>
      <c r="F78" s="703"/>
      <c r="G78" s="703"/>
    </row>
    <row r="79" spans="1:9" s="10" customFormat="1" ht="12" thickBot="1" x14ac:dyDescent="0.25">
      <c r="A79" s="665" t="s">
        <v>1365</v>
      </c>
      <c r="B79" s="428" t="s">
        <v>96</v>
      </c>
      <c r="C79" s="771">
        <f>C46+C74+C57+C51+C64</f>
        <v>622480</v>
      </c>
      <c r="D79" s="771">
        <f>D46+D74+D57+D51+D64</f>
        <v>123318</v>
      </c>
      <c r="E79" s="772">
        <f>E46+E74+E57+E51+E64</f>
        <v>745798</v>
      </c>
      <c r="F79" s="854"/>
      <c r="G79" s="233"/>
      <c r="H79" s="233"/>
    </row>
    <row r="80" spans="1:9" s="10" customFormat="1" x14ac:dyDescent="0.2">
      <c r="A80" s="665"/>
      <c r="B80" s="114"/>
      <c r="C80" s="115"/>
      <c r="D80" s="480"/>
      <c r="E80" s="480"/>
      <c r="I80" s="233"/>
    </row>
    <row r="81" spans="2:7" x14ac:dyDescent="0.2">
      <c r="B81" s="114"/>
    </row>
    <row r="82" spans="2:7" x14ac:dyDescent="0.2">
      <c r="B82" s="114"/>
      <c r="G82" s="703"/>
    </row>
    <row r="83" spans="2:7" x14ac:dyDescent="0.2">
      <c r="B83" s="140"/>
      <c r="G83" s="703"/>
    </row>
    <row r="84" spans="2:7" x14ac:dyDescent="0.2">
      <c r="B84" s="140"/>
    </row>
    <row r="86" spans="2:7" x14ac:dyDescent="0.2">
      <c r="B86" s="140"/>
    </row>
    <row r="87" spans="2:7" x14ac:dyDescent="0.2">
      <c r="B87" s="140"/>
    </row>
    <row r="88" spans="2:7" x14ac:dyDescent="0.2">
      <c r="B88" s="140"/>
    </row>
    <row r="89" spans="2:7" x14ac:dyDescent="0.2">
      <c r="B89" s="140"/>
    </row>
    <row r="90" spans="2:7" x14ac:dyDescent="0.2">
      <c r="B90" s="140"/>
    </row>
    <row r="91" spans="2:7" x14ac:dyDescent="0.2">
      <c r="B91" s="114"/>
    </row>
    <row r="92" spans="2:7" x14ac:dyDescent="0.2">
      <c r="B92" s="140"/>
    </row>
    <row r="93" spans="2:7" x14ac:dyDescent="0.2">
      <c r="B93" s="140"/>
    </row>
    <row r="94" spans="2:7" x14ac:dyDescent="0.2">
      <c r="B94" s="140"/>
    </row>
    <row r="95" spans="2:7" x14ac:dyDescent="0.2">
      <c r="B95" s="140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78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48" customWidth="1"/>
    <col min="2" max="2" width="9.85546875" style="148" hidden="1" customWidth="1"/>
    <col min="3" max="3" width="11.7109375" style="148" hidden="1" customWidth="1"/>
    <col min="4" max="4" width="9.85546875" style="148" hidden="1" customWidth="1"/>
    <col min="5" max="5" width="15.85546875" style="15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456" t="s">
        <v>286</v>
      </c>
      <c r="B1" s="1456"/>
      <c r="C1" s="1456"/>
      <c r="D1" s="1456"/>
      <c r="E1" s="1456"/>
      <c r="F1" s="1456"/>
      <c r="G1" s="1456"/>
      <c r="H1" s="1456"/>
      <c r="I1" s="1456"/>
    </row>
    <row r="2" spans="1:256" x14ac:dyDescent="0.2">
      <c r="F2" s="1482"/>
      <c r="G2" s="1482"/>
      <c r="H2" s="1482"/>
      <c r="I2" s="1482"/>
    </row>
    <row r="4" spans="1:256" ht="30" customHeight="1" x14ac:dyDescent="0.2">
      <c r="A4" s="1457" t="s">
        <v>77</v>
      </c>
      <c r="B4" s="1457"/>
      <c r="C4" s="1457"/>
      <c r="D4" s="1457"/>
      <c r="E4" s="1457"/>
      <c r="F4" s="1458"/>
      <c r="G4" s="1458"/>
      <c r="H4" s="1458"/>
      <c r="I4" s="1458"/>
    </row>
    <row r="5" spans="1:256" ht="33" customHeight="1" x14ac:dyDescent="0.2">
      <c r="A5" s="1457" t="s">
        <v>976</v>
      </c>
      <c r="B5" s="1457"/>
      <c r="C5" s="1457"/>
      <c r="D5" s="1457"/>
      <c r="E5" s="1457"/>
      <c r="F5" s="1458"/>
      <c r="G5" s="1458"/>
      <c r="H5" s="1458"/>
      <c r="I5" s="1458"/>
    </row>
    <row r="7" spans="1:256" ht="13.5" thickBot="1" x14ac:dyDescent="0.25">
      <c r="E7" s="464" t="s">
        <v>20</v>
      </c>
      <c r="F7" s="777"/>
    </row>
    <row r="8" spans="1:256" ht="30.75" customHeight="1" thickBot="1" x14ac:dyDescent="0.25">
      <c r="A8" s="1459" t="s">
        <v>78</v>
      </c>
      <c r="B8" s="1461" t="s">
        <v>103</v>
      </c>
      <c r="C8" s="1462"/>
      <c r="D8" s="1462"/>
      <c r="E8" s="1462"/>
      <c r="F8" s="1483" t="s">
        <v>946</v>
      </c>
      <c r="G8" s="1484"/>
      <c r="H8" s="1484"/>
      <c r="I8" s="1485"/>
    </row>
    <row r="9" spans="1:256" ht="36.75" thickBot="1" x14ac:dyDescent="0.25">
      <c r="A9" s="1460"/>
      <c r="B9" s="228" t="s">
        <v>79</v>
      </c>
      <c r="C9" s="149" t="s">
        <v>80</v>
      </c>
      <c r="D9" s="149" t="s">
        <v>662</v>
      </c>
      <c r="E9" s="229" t="s">
        <v>81</v>
      </c>
      <c r="F9" s="228" t="s">
        <v>79</v>
      </c>
      <c r="G9" s="149" t="s">
        <v>80</v>
      </c>
      <c r="H9" s="149" t="s">
        <v>662</v>
      </c>
      <c r="I9" s="229" t="s">
        <v>81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476" t="s">
        <v>82</v>
      </c>
      <c r="B10" s="477"/>
      <c r="C10" s="477"/>
      <c r="D10" s="477"/>
      <c r="E10" s="477"/>
      <c r="F10" s="478"/>
      <c r="G10" s="478"/>
      <c r="H10" s="478"/>
      <c r="I10" s="478"/>
      <c r="J10" s="503"/>
    </row>
    <row r="11" spans="1:256" ht="12.75" x14ac:dyDescent="0.2">
      <c r="A11" s="471" t="s">
        <v>782</v>
      </c>
      <c r="B11" s="586"/>
      <c r="C11" s="586"/>
      <c r="D11" s="586"/>
      <c r="E11" s="586"/>
      <c r="F11" s="635"/>
      <c r="G11" s="635"/>
      <c r="H11" s="635"/>
      <c r="I11" s="635"/>
      <c r="J11" s="503"/>
    </row>
    <row r="12" spans="1:256" ht="36" x14ac:dyDescent="0.2">
      <c r="A12" s="583" t="s">
        <v>783</v>
      </c>
      <c r="B12" s="586">
        <v>4865</v>
      </c>
      <c r="C12" s="636">
        <v>18.690000000000001</v>
      </c>
      <c r="D12" s="586">
        <v>4580000</v>
      </c>
      <c r="E12" s="586">
        <f>C12*D12</f>
        <v>85600200</v>
      </c>
      <c r="F12" s="667" t="s">
        <v>947</v>
      </c>
      <c r="G12" s="466">
        <v>18.32</v>
      </c>
      <c r="H12" s="466">
        <v>4580000</v>
      </c>
      <c r="I12" s="467">
        <f>G12*H12</f>
        <v>83905600</v>
      </c>
      <c r="J12" s="503"/>
    </row>
    <row r="13" spans="1:256" ht="12.75" x14ac:dyDescent="0.2">
      <c r="A13" s="471" t="s">
        <v>784</v>
      </c>
      <c r="B13" s="586"/>
      <c r="C13" s="586"/>
      <c r="D13" s="586"/>
      <c r="E13" s="586"/>
      <c r="F13" s="542"/>
      <c r="G13" s="591"/>
      <c r="H13" s="591"/>
      <c r="I13" s="542"/>
      <c r="J13" s="503"/>
    </row>
    <row r="14" spans="1:256" ht="12.75" x14ac:dyDescent="0.2">
      <c r="A14" s="583" t="s">
        <v>785</v>
      </c>
      <c r="B14" s="586"/>
      <c r="C14" s="595"/>
      <c r="D14" s="586" t="s">
        <v>287</v>
      </c>
      <c r="E14" s="586">
        <v>8328800</v>
      </c>
      <c r="F14" s="542"/>
      <c r="G14" s="591"/>
      <c r="H14" s="466" t="s">
        <v>287</v>
      </c>
      <c r="I14" s="467">
        <v>8329050</v>
      </c>
      <c r="J14" s="503"/>
    </row>
    <row r="15" spans="1:256" ht="12.75" x14ac:dyDescent="0.2">
      <c r="A15" s="583" t="s">
        <v>786</v>
      </c>
      <c r="B15" s="468"/>
      <c r="C15" s="469"/>
      <c r="D15" s="468"/>
      <c r="E15" s="468"/>
      <c r="F15" s="467"/>
      <c r="G15" s="466"/>
      <c r="H15" s="466"/>
      <c r="I15" s="467">
        <v>-8329050</v>
      </c>
      <c r="J15" s="503"/>
    </row>
    <row r="16" spans="1:256" ht="24" x14ac:dyDescent="0.2">
      <c r="A16" s="583" t="s">
        <v>787</v>
      </c>
      <c r="B16" s="468"/>
      <c r="C16" s="469"/>
      <c r="D16" s="468"/>
      <c r="E16" s="468"/>
      <c r="F16" s="467"/>
      <c r="G16" s="466"/>
      <c r="H16" s="466"/>
      <c r="I16" s="467">
        <f>I14+I15</f>
        <v>0</v>
      </c>
      <c r="J16" s="503"/>
    </row>
    <row r="17" spans="1:10" ht="12.75" x14ac:dyDescent="0.2">
      <c r="A17" s="471" t="s">
        <v>788</v>
      </c>
      <c r="B17" s="586"/>
      <c r="C17" s="586"/>
      <c r="D17" s="639" t="s">
        <v>288</v>
      </c>
      <c r="E17" s="586">
        <v>18272000</v>
      </c>
      <c r="F17" s="542"/>
      <c r="G17" s="591"/>
      <c r="H17" s="466" t="s">
        <v>289</v>
      </c>
      <c r="I17" s="467">
        <v>18304000</v>
      </c>
      <c r="J17" s="503"/>
    </row>
    <row r="18" spans="1:10" ht="12.75" x14ac:dyDescent="0.2">
      <c r="A18" s="471" t="s">
        <v>786</v>
      </c>
      <c r="B18" s="468"/>
      <c r="C18" s="468"/>
      <c r="D18" s="585"/>
      <c r="E18" s="468"/>
      <c r="F18" s="467"/>
      <c r="G18" s="466"/>
      <c r="H18" s="466"/>
      <c r="I18" s="467">
        <v>-18304000</v>
      </c>
      <c r="J18" s="503"/>
    </row>
    <row r="19" spans="1:10" ht="12.75" x14ac:dyDescent="0.2">
      <c r="A19" s="471" t="s">
        <v>789</v>
      </c>
      <c r="B19" s="468"/>
      <c r="C19" s="468"/>
      <c r="D19" s="585"/>
      <c r="E19" s="468"/>
      <c r="F19" s="467"/>
      <c r="G19" s="466"/>
      <c r="H19" s="466"/>
      <c r="I19" s="467">
        <f>I17+I18</f>
        <v>0</v>
      </c>
      <c r="J19" s="503"/>
    </row>
    <row r="20" spans="1:10" ht="12.75" x14ac:dyDescent="0.2">
      <c r="A20" s="471" t="s">
        <v>790</v>
      </c>
      <c r="B20" s="586"/>
      <c r="C20" s="586" t="s">
        <v>791</v>
      </c>
      <c r="D20" s="587" t="s">
        <v>663</v>
      </c>
      <c r="E20" s="586">
        <v>1355022</v>
      </c>
      <c r="F20" s="542"/>
      <c r="G20" s="586"/>
      <c r="H20" s="588" t="s">
        <v>663</v>
      </c>
      <c r="I20" s="467">
        <v>1355022</v>
      </c>
      <c r="J20" s="503"/>
    </row>
    <row r="21" spans="1:10" ht="12.75" x14ac:dyDescent="0.2">
      <c r="A21" s="471" t="s">
        <v>792</v>
      </c>
      <c r="B21" s="468"/>
      <c r="C21" s="468"/>
      <c r="D21" s="588"/>
      <c r="E21" s="468"/>
      <c r="F21" s="467"/>
      <c r="G21" s="468"/>
      <c r="H21" s="588"/>
      <c r="I21" s="467">
        <v>-1355022</v>
      </c>
      <c r="J21" s="503"/>
    </row>
    <row r="22" spans="1:10" ht="12.75" x14ac:dyDescent="0.2">
      <c r="A22" s="471" t="s">
        <v>793</v>
      </c>
      <c r="B22" s="468"/>
      <c r="C22" s="468"/>
      <c r="D22" s="588"/>
      <c r="E22" s="468"/>
      <c r="F22" s="467"/>
      <c r="G22" s="468"/>
      <c r="H22" s="588"/>
      <c r="I22" s="467">
        <f>I20+I21</f>
        <v>0</v>
      </c>
      <c r="J22" s="503"/>
    </row>
    <row r="23" spans="1:10" ht="12.75" x14ac:dyDescent="0.2">
      <c r="A23" s="471" t="s">
        <v>794</v>
      </c>
      <c r="B23" s="586"/>
      <c r="C23" s="595"/>
      <c r="D23" s="639" t="s">
        <v>664</v>
      </c>
      <c r="E23" s="586">
        <v>6369620</v>
      </c>
      <c r="F23" s="542"/>
      <c r="G23" s="591"/>
      <c r="H23" s="585" t="s">
        <v>664</v>
      </c>
      <c r="I23" s="467">
        <v>6369620</v>
      </c>
      <c r="J23" s="503"/>
    </row>
    <row r="24" spans="1:10" ht="12.75" x14ac:dyDescent="0.2">
      <c r="A24" s="471" t="s">
        <v>792</v>
      </c>
      <c r="B24" s="468"/>
      <c r="C24" s="469"/>
      <c r="D24" s="585"/>
      <c r="E24" s="468"/>
      <c r="F24" s="467"/>
      <c r="G24" s="466"/>
      <c r="H24" s="585"/>
      <c r="I24" s="467">
        <v>-6369620</v>
      </c>
      <c r="J24" s="503"/>
    </row>
    <row r="25" spans="1:10" ht="12.75" x14ac:dyDescent="0.2">
      <c r="A25" s="471" t="s">
        <v>795</v>
      </c>
      <c r="B25" s="468"/>
      <c r="C25" s="469"/>
      <c r="D25" s="585"/>
      <c r="E25" s="468"/>
      <c r="F25" s="467"/>
      <c r="G25" s="466"/>
      <c r="H25" s="585"/>
      <c r="I25" s="467">
        <f>I23+I24</f>
        <v>0</v>
      </c>
      <c r="J25" s="503"/>
    </row>
    <row r="26" spans="1:10" ht="12.75" x14ac:dyDescent="0.2">
      <c r="A26" s="471" t="s">
        <v>796</v>
      </c>
      <c r="B26" s="586">
        <v>4865</v>
      </c>
      <c r="C26" s="586"/>
      <c r="D26" s="586">
        <v>2700</v>
      </c>
      <c r="E26" s="586">
        <f>B26*D26</f>
        <v>13135500</v>
      </c>
      <c r="F26" s="467">
        <v>4705</v>
      </c>
      <c r="G26" s="591"/>
      <c r="H26" s="468">
        <v>2700</v>
      </c>
      <c r="I26" s="467">
        <f>F26*H26</f>
        <v>12703500</v>
      </c>
      <c r="J26" s="503"/>
    </row>
    <row r="27" spans="1:10" ht="12.75" x14ac:dyDescent="0.2">
      <c r="A27" s="471" t="s">
        <v>797</v>
      </c>
      <c r="B27" s="468"/>
      <c r="C27" s="468"/>
      <c r="D27" s="468"/>
      <c r="E27" s="468">
        <v>-13135500</v>
      </c>
      <c r="F27" s="467"/>
      <c r="G27" s="466"/>
      <c r="H27" s="466"/>
      <c r="I27" s="467">
        <v>-12703500</v>
      </c>
      <c r="J27" s="503"/>
    </row>
    <row r="28" spans="1:10" ht="12.75" x14ac:dyDescent="0.2">
      <c r="A28" s="471" t="s">
        <v>798</v>
      </c>
      <c r="B28" s="468"/>
      <c r="C28" s="468"/>
      <c r="D28" s="468"/>
      <c r="E28" s="468">
        <f>E26+E27</f>
        <v>0</v>
      </c>
      <c r="F28" s="467"/>
      <c r="G28" s="466"/>
      <c r="H28" s="466"/>
      <c r="I28" s="467">
        <f>I26+I27</f>
        <v>0</v>
      </c>
      <c r="J28" s="503"/>
    </row>
    <row r="29" spans="1:10" ht="12.75" x14ac:dyDescent="0.2">
      <c r="A29" s="471" t="s">
        <v>799</v>
      </c>
      <c r="B29" s="586">
        <v>10</v>
      </c>
      <c r="C29" s="586"/>
      <c r="D29" s="586" t="s">
        <v>290</v>
      </c>
      <c r="E29" s="589">
        <v>25500</v>
      </c>
      <c r="F29" s="778">
        <v>21</v>
      </c>
      <c r="G29" s="591"/>
      <c r="H29" s="468" t="s">
        <v>290</v>
      </c>
      <c r="I29" s="778">
        <v>53550</v>
      </c>
      <c r="J29" s="503"/>
    </row>
    <row r="30" spans="1:10" ht="12.75" x14ac:dyDescent="0.2">
      <c r="A30" s="471" t="s">
        <v>800</v>
      </c>
      <c r="B30" s="468"/>
      <c r="C30" s="468"/>
      <c r="D30" s="468"/>
      <c r="E30" s="468">
        <v>-25500</v>
      </c>
      <c r="F30" s="467"/>
      <c r="G30" s="466"/>
      <c r="H30" s="466"/>
      <c r="I30" s="778">
        <v>-53550</v>
      </c>
      <c r="J30" s="503"/>
    </row>
    <row r="31" spans="1:10" ht="12.75" x14ac:dyDescent="0.2">
      <c r="A31" s="471" t="s">
        <v>801</v>
      </c>
      <c r="B31" s="586"/>
      <c r="C31" s="586"/>
      <c r="D31" s="586"/>
      <c r="E31" s="589">
        <v>0</v>
      </c>
      <c r="F31" s="542"/>
      <c r="G31" s="591"/>
      <c r="H31" s="591"/>
      <c r="I31" s="778">
        <f>I29+I30</f>
        <v>0</v>
      </c>
      <c r="J31" s="503"/>
    </row>
    <row r="32" spans="1:10" ht="12.75" x14ac:dyDescent="0.2">
      <c r="A32" s="638" t="s">
        <v>901</v>
      </c>
      <c r="B32" s="586"/>
      <c r="C32" s="586">
        <v>487729000</v>
      </c>
      <c r="D32" s="595">
        <v>1.55</v>
      </c>
      <c r="E32" s="586">
        <f>C32*D32</f>
        <v>755979950</v>
      </c>
      <c r="F32" s="542"/>
      <c r="G32" s="467">
        <v>540752027</v>
      </c>
      <c r="H32" s="469">
        <v>1</v>
      </c>
      <c r="I32" s="467">
        <f>G32*H32</f>
        <v>540752027</v>
      </c>
      <c r="J32" s="503"/>
    </row>
    <row r="33" spans="1:18" ht="12.75" x14ac:dyDescent="0.2">
      <c r="A33" s="471" t="s">
        <v>797</v>
      </c>
      <c r="B33" s="468"/>
      <c r="C33" s="468"/>
      <c r="D33" s="472"/>
      <c r="E33" s="468">
        <v>-98054262</v>
      </c>
      <c r="F33" s="467"/>
      <c r="G33" s="466"/>
      <c r="H33" s="466"/>
      <c r="I33" s="778">
        <v>-76318159</v>
      </c>
      <c r="J33" s="503"/>
    </row>
    <row r="34" spans="1:18" ht="12.75" x14ac:dyDescent="0.2">
      <c r="A34" s="471" t="s">
        <v>803</v>
      </c>
      <c r="B34" s="586"/>
      <c r="C34" s="586"/>
      <c r="D34" s="600"/>
      <c r="E34" s="586">
        <f>E32+E33</f>
        <v>657925688</v>
      </c>
      <c r="F34" s="542"/>
      <c r="G34" s="591"/>
      <c r="H34" s="591"/>
      <c r="I34" s="778">
        <f>I32+I33</f>
        <v>464433868</v>
      </c>
      <c r="J34" s="503"/>
    </row>
    <row r="35" spans="1:18" ht="12.75" x14ac:dyDescent="0.2">
      <c r="A35" s="590" t="s">
        <v>948</v>
      </c>
      <c r="B35" s="586"/>
      <c r="C35" s="586"/>
      <c r="D35" s="586"/>
      <c r="E35" s="586">
        <v>0</v>
      </c>
      <c r="F35" s="542"/>
      <c r="G35" s="591"/>
      <c r="H35" s="591"/>
      <c r="I35" s="467">
        <v>0</v>
      </c>
      <c r="J35" s="503"/>
      <c r="K35" s="779">
        <f>I12+I16+I19+I25+I28+I31+I34+I35</f>
        <v>548339468</v>
      </c>
      <c r="L35" s="6" t="s">
        <v>874</v>
      </c>
    </row>
    <row r="36" spans="1:18" ht="24" x14ac:dyDescent="0.2">
      <c r="A36" s="583" t="s">
        <v>949</v>
      </c>
      <c r="B36" s="586"/>
      <c r="C36" s="586"/>
      <c r="D36" s="586"/>
      <c r="E36" s="586"/>
      <c r="F36" s="542"/>
      <c r="G36" s="591"/>
      <c r="H36" s="591"/>
      <c r="I36" s="467">
        <v>0</v>
      </c>
      <c r="J36" s="503"/>
      <c r="K36" s="592"/>
    </row>
    <row r="37" spans="1:18" ht="12.75" x14ac:dyDescent="0.2">
      <c r="A37" s="590"/>
      <c r="B37" s="586"/>
      <c r="C37" s="586"/>
      <c r="D37" s="586"/>
      <c r="E37" s="586"/>
      <c r="F37" s="542"/>
      <c r="G37" s="591"/>
      <c r="H37" s="591"/>
      <c r="I37" s="542"/>
      <c r="J37" s="503"/>
      <c r="K37" s="592"/>
    </row>
    <row r="38" spans="1:18" ht="12.75" x14ac:dyDescent="0.2">
      <c r="A38" s="593" t="s">
        <v>83</v>
      </c>
      <c r="B38" s="586"/>
      <c r="C38" s="586"/>
      <c r="D38" s="586"/>
      <c r="E38" s="586"/>
      <c r="F38" s="542"/>
      <c r="G38" s="591"/>
      <c r="H38" s="591"/>
      <c r="I38" s="542"/>
      <c r="J38" s="503"/>
    </row>
    <row r="39" spans="1:18" ht="24" x14ac:dyDescent="0.2">
      <c r="A39" s="583" t="s">
        <v>805</v>
      </c>
      <c r="B39" s="586"/>
      <c r="C39" s="586"/>
      <c r="D39" s="586"/>
      <c r="E39" s="586"/>
      <c r="F39" s="542"/>
      <c r="G39" s="591"/>
      <c r="H39" s="591"/>
      <c r="I39" s="542"/>
      <c r="J39" s="503"/>
    </row>
    <row r="40" spans="1:18" ht="12.75" x14ac:dyDescent="0.2">
      <c r="A40" s="583" t="s">
        <v>806</v>
      </c>
      <c r="B40" s="586"/>
      <c r="C40" s="595">
        <v>13.1</v>
      </c>
      <c r="D40" s="586">
        <v>4152000</v>
      </c>
      <c r="E40" s="586">
        <f>C40*D40*8/12</f>
        <v>36260800</v>
      </c>
      <c r="F40" s="780" t="s">
        <v>977</v>
      </c>
      <c r="G40" s="781">
        <v>12.5</v>
      </c>
      <c r="H40" s="773">
        <v>4419000</v>
      </c>
      <c r="I40" s="778">
        <f>G40*8/12*4419000</f>
        <v>36825000</v>
      </c>
      <c r="J40" s="503"/>
    </row>
    <row r="41" spans="1:18" ht="12.75" x14ac:dyDescent="0.2">
      <c r="A41" s="583" t="s">
        <v>807</v>
      </c>
      <c r="B41" s="586"/>
      <c r="C41" s="595">
        <v>13.1</v>
      </c>
      <c r="D41" s="596">
        <v>4152000</v>
      </c>
      <c r="E41" s="586">
        <f>C41*D41*4/12</f>
        <v>18130400</v>
      </c>
      <c r="F41" s="780" t="s">
        <v>977</v>
      </c>
      <c r="G41" s="782">
        <v>12.5</v>
      </c>
      <c r="H41" s="773">
        <v>4419000</v>
      </c>
      <c r="I41" s="778">
        <f>G41*4/12*H41</f>
        <v>18412500</v>
      </c>
      <c r="J41" s="503"/>
    </row>
    <row r="42" spans="1:18" ht="24" x14ac:dyDescent="0.2">
      <c r="A42" s="583" t="s">
        <v>808</v>
      </c>
      <c r="B42" s="586"/>
      <c r="C42" s="586">
        <v>10</v>
      </c>
      <c r="D42" s="586">
        <v>1800000</v>
      </c>
      <c r="E42" s="589">
        <f>C42*D42*8/12</f>
        <v>12000000</v>
      </c>
      <c r="F42" s="637"/>
      <c r="G42" s="594">
        <v>9</v>
      </c>
      <c r="H42" s="773">
        <v>2205000</v>
      </c>
      <c r="I42" s="467">
        <f>G42*H42*8/12</f>
        <v>13230000</v>
      </c>
      <c r="J42" s="503"/>
    </row>
    <row r="43" spans="1:18" ht="24" x14ac:dyDescent="0.2">
      <c r="A43" s="583" t="s">
        <v>902</v>
      </c>
      <c r="B43" s="586"/>
      <c r="C43" s="586"/>
      <c r="D43" s="586"/>
      <c r="E43" s="589"/>
      <c r="F43" s="542"/>
      <c r="G43" s="594">
        <v>0</v>
      </c>
      <c r="H43" s="773">
        <v>4419000</v>
      </c>
      <c r="I43" s="467">
        <f>G43*H43*8/12</f>
        <v>0</v>
      </c>
      <c r="J43" s="503"/>
    </row>
    <row r="44" spans="1:18" ht="24" x14ac:dyDescent="0.2">
      <c r="A44" s="583" t="s">
        <v>810</v>
      </c>
      <c r="B44" s="586"/>
      <c r="C44" s="586">
        <v>10</v>
      </c>
      <c r="D44" s="586">
        <v>1800000</v>
      </c>
      <c r="E44" s="586">
        <f>C44*D44*4/12</f>
        <v>6000000</v>
      </c>
      <c r="F44" s="542"/>
      <c r="G44" s="594">
        <v>9</v>
      </c>
      <c r="H44" s="773">
        <v>2205000</v>
      </c>
      <c r="I44" s="467">
        <f>G44*H44*4/12</f>
        <v>6615000</v>
      </c>
      <c r="J44" s="504"/>
    </row>
    <row r="45" spans="1:18" ht="39" x14ac:dyDescent="0.2">
      <c r="A45" s="583" t="s">
        <v>903</v>
      </c>
      <c r="B45" s="586"/>
      <c r="C45" s="586"/>
      <c r="D45" s="586"/>
      <c r="E45" s="586"/>
      <c r="F45" s="542"/>
      <c r="G45" s="594">
        <v>0</v>
      </c>
      <c r="H45" s="773">
        <v>4419000</v>
      </c>
      <c r="I45" s="467">
        <f>G45*H45*4/12</f>
        <v>0</v>
      </c>
      <c r="J45" s="504"/>
      <c r="K45" s="709" t="s">
        <v>875</v>
      </c>
      <c r="L45" s="592">
        <f>I12+I14+I17+I20+I23+I26+I29+I32</f>
        <v>671772369</v>
      </c>
      <c r="N45" s="710" t="s">
        <v>978</v>
      </c>
      <c r="O45" s="592">
        <v>123432901</v>
      </c>
      <c r="P45" s="592">
        <f>I15+I18+I21+I24+I27+I30</f>
        <v>-47114742</v>
      </c>
      <c r="Q45" s="592">
        <f>O45+P45</f>
        <v>76318159</v>
      </c>
      <c r="R45" s="710" t="s">
        <v>876</v>
      </c>
    </row>
    <row r="46" spans="1:18" ht="12.75" x14ac:dyDescent="0.2">
      <c r="A46" s="471" t="s">
        <v>813</v>
      </c>
      <c r="B46" s="586"/>
      <c r="C46" s="586"/>
      <c r="D46" s="586"/>
      <c r="E46" s="586"/>
      <c r="F46" s="542"/>
      <c r="G46" s="591"/>
      <c r="H46" s="591"/>
      <c r="I46" s="542"/>
      <c r="J46" s="503"/>
    </row>
    <row r="47" spans="1:18" ht="24" x14ac:dyDescent="0.2">
      <c r="A47" s="583" t="s">
        <v>904</v>
      </c>
      <c r="B47" s="586"/>
      <c r="C47" s="586">
        <v>142</v>
      </c>
      <c r="D47" s="586">
        <v>70000</v>
      </c>
      <c r="E47" s="586">
        <f>C47*D47*8/12</f>
        <v>6626666.666666667</v>
      </c>
      <c r="F47" s="667"/>
      <c r="G47" s="778">
        <v>138</v>
      </c>
      <c r="H47" s="468">
        <v>81700</v>
      </c>
      <c r="I47" s="778">
        <f>G47*H47*8/12</f>
        <v>7516400</v>
      </c>
      <c r="J47" s="503"/>
    </row>
    <row r="48" spans="1:18" ht="24" x14ac:dyDescent="0.2">
      <c r="A48" s="583" t="s">
        <v>905</v>
      </c>
      <c r="B48" s="586"/>
      <c r="C48" s="586"/>
      <c r="D48" s="586"/>
      <c r="E48" s="586"/>
      <c r="F48" s="667"/>
      <c r="G48" s="467">
        <v>0</v>
      </c>
      <c r="H48" s="468">
        <v>80000</v>
      </c>
      <c r="I48" s="467">
        <v>0</v>
      </c>
      <c r="J48" s="503"/>
    </row>
    <row r="49" spans="1:12" ht="24" x14ac:dyDescent="0.2">
      <c r="A49" s="583" t="s">
        <v>861</v>
      </c>
      <c r="B49" s="586"/>
      <c r="C49" s="586">
        <v>142</v>
      </c>
      <c r="D49" s="586">
        <v>70000</v>
      </c>
      <c r="E49" s="586">
        <f>C49*D49*4/12</f>
        <v>3313333.3333333335</v>
      </c>
      <c r="F49" s="637"/>
      <c r="G49" s="467">
        <v>138</v>
      </c>
      <c r="H49" s="468">
        <v>81700</v>
      </c>
      <c r="I49" s="778">
        <f>G49*H49*4/12</f>
        <v>3758200</v>
      </c>
      <c r="J49" s="503"/>
    </row>
    <row r="50" spans="1:12" ht="24" x14ac:dyDescent="0.2">
      <c r="A50" s="583" t="s">
        <v>906</v>
      </c>
      <c r="B50" s="586"/>
      <c r="C50" s="586"/>
      <c r="D50" s="586"/>
      <c r="E50" s="586"/>
      <c r="F50" s="637"/>
      <c r="G50" s="467">
        <v>0</v>
      </c>
      <c r="H50" s="468">
        <v>80000</v>
      </c>
      <c r="I50" s="467">
        <v>0</v>
      </c>
      <c r="J50" s="503"/>
    </row>
    <row r="51" spans="1:12" ht="12.75" x14ac:dyDescent="0.2">
      <c r="A51" s="471" t="s">
        <v>862</v>
      </c>
      <c r="B51" s="586"/>
      <c r="C51" s="586"/>
      <c r="D51" s="586"/>
      <c r="E51" s="586"/>
      <c r="F51" s="542"/>
      <c r="G51" s="591"/>
      <c r="H51" s="591"/>
      <c r="I51" s="542"/>
      <c r="J51" s="503"/>
    </row>
    <row r="52" spans="1:12" ht="48" x14ac:dyDescent="0.2">
      <c r="A52" s="583" t="s">
        <v>950</v>
      </c>
      <c r="B52" s="586"/>
      <c r="C52" s="586">
        <v>5</v>
      </c>
      <c r="D52" s="641" t="s">
        <v>291</v>
      </c>
      <c r="E52" s="586">
        <v>1760000</v>
      </c>
      <c r="F52" s="542"/>
      <c r="G52" s="783">
        <v>4</v>
      </c>
      <c r="H52" s="467">
        <v>401000</v>
      </c>
      <c r="I52" s="778">
        <f>G52*H52</f>
        <v>1604000</v>
      </c>
      <c r="J52" s="503"/>
    </row>
    <row r="53" spans="1:12" ht="48" x14ac:dyDescent="0.2">
      <c r="A53" s="583" t="s">
        <v>951</v>
      </c>
      <c r="B53" s="586"/>
      <c r="C53" s="586"/>
      <c r="D53" s="586"/>
      <c r="E53" s="586"/>
      <c r="F53" s="542"/>
      <c r="G53" s="466">
        <v>0</v>
      </c>
      <c r="H53" s="467">
        <v>367583</v>
      </c>
      <c r="I53" s="467">
        <f>G53*H53</f>
        <v>0</v>
      </c>
      <c r="J53" s="503"/>
      <c r="K53" s="779">
        <f>SUM(I40:I53)</f>
        <v>87961100</v>
      </c>
      <c r="L53" s="6" t="s">
        <v>877</v>
      </c>
    </row>
    <row r="54" spans="1:12" ht="12.75" x14ac:dyDescent="0.2">
      <c r="A54" s="583"/>
      <c r="B54" s="586"/>
      <c r="C54" s="586"/>
      <c r="D54" s="586"/>
      <c r="E54" s="586"/>
      <c r="F54" s="542"/>
      <c r="G54" s="591"/>
      <c r="H54" s="591"/>
      <c r="I54" s="542"/>
      <c r="J54" s="503"/>
      <c r="K54" s="592"/>
    </row>
    <row r="55" spans="1:12" ht="12.75" x14ac:dyDescent="0.2">
      <c r="A55" s="593" t="s">
        <v>84</v>
      </c>
      <c r="B55" s="586"/>
      <c r="C55" s="586"/>
      <c r="D55" s="586"/>
      <c r="E55" s="586"/>
      <c r="F55" s="542"/>
      <c r="G55" s="591"/>
      <c r="H55" s="591"/>
      <c r="I55" s="542"/>
      <c r="J55" s="503"/>
    </row>
    <row r="56" spans="1:12" ht="12.75" x14ac:dyDescent="0.2">
      <c r="A56" s="590" t="s">
        <v>952</v>
      </c>
      <c r="B56" s="586"/>
      <c r="C56" s="586"/>
      <c r="D56" s="586"/>
      <c r="E56" s="586">
        <v>0</v>
      </c>
      <c r="F56" s="542"/>
      <c r="G56" s="591"/>
      <c r="H56" s="591"/>
      <c r="I56" s="467">
        <v>0</v>
      </c>
      <c r="J56" s="505"/>
    </row>
    <row r="57" spans="1:12" ht="24" x14ac:dyDescent="0.2">
      <c r="A57" s="583" t="s">
        <v>823</v>
      </c>
      <c r="B57" s="586"/>
      <c r="C57" s="586"/>
      <c r="D57" s="586"/>
      <c r="E57" s="589">
        <v>0</v>
      </c>
      <c r="F57" s="542"/>
      <c r="G57" s="591"/>
      <c r="H57" s="591"/>
      <c r="I57" s="467">
        <v>0</v>
      </c>
      <c r="J57" s="503"/>
    </row>
    <row r="58" spans="1:12" ht="12.75" x14ac:dyDescent="0.2">
      <c r="A58" s="471" t="s">
        <v>824</v>
      </c>
      <c r="B58" s="586"/>
      <c r="C58" s="586"/>
      <c r="D58" s="586"/>
      <c r="E58" s="586"/>
      <c r="F58" s="542"/>
      <c r="G58" s="591"/>
      <c r="H58" s="591"/>
      <c r="I58" s="542"/>
      <c r="J58" s="503"/>
    </row>
    <row r="59" spans="1:12" ht="12.75" x14ac:dyDescent="0.2">
      <c r="A59" s="471" t="s">
        <v>825</v>
      </c>
      <c r="B59" s="586"/>
      <c r="C59" s="586"/>
      <c r="D59" s="586"/>
      <c r="E59" s="586"/>
      <c r="F59" s="542"/>
      <c r="G59" s="591"/>
      <c r="H59" s="591"/>
      <c r="I59" s="542"/>
      <c r="J59" s="503"/>
    </row>
    <row r="60" spans="1:12" ht="12.75" x14ac:dyDescent="0.2">
      <c r="A60" s="471" t="s">
        <v>826</v>
      </c>
      <c r="B60" s="586"/>
      <c r="C60" s="586"/>
      <c r="D60" s="586"/>
      <c r="E60" s="586"/>
      <c r="F60" s="542"/>
      <c r="G60" s="591"/>
      <c r="H60" s="591"/>
      <c r="I60" s="542"/>
      <c r="J60" s="503"/>
    </row>
    <row r="61" spans="1:12" ht="36" x14ac:dyDescent="0.2">
      <c r="A61" s="597" t="s">
        <v>953</v>
      </c>
      <c r="B61" s="590"/>
      <c r="C61" s="599"/>
      <c r="D61" s="586"/>
      <c r="E61" s="586">
        <f>C61*D61/2</f>
        <v>0</v>
      </c>
      <c r="F61" s="468">
        <v>7822</v>
      </c>
      <c r="G61" s="600"/>
      <c r="H61" s="591"/>
      <c r="I61" s="542"/>
      <c r="J61" s="505"/>
    </row>
    <row r="62" spans="1:12" ht="24" x14ac:dyDescent="0.2">
      <c r="A62" s="583" t="s">
        <v>863</v>
      </c>
      <c r="B62" s="586"/>
      <c r="C62" s="590"/>
      <c r="D62" s="586"/>
      <c r="E62" s="586"/>
      <c r="F62" s="542"/>
      <c r="G62" s="473">
        <v>0</v>
      </c>
      <c r="H62" s="591"/>
      <c r="I62" s="542"/>
      <c r="J62" s="505"/>
    </row>
    <row r="63" spans="1:12" ht="12.75" x14ac:dyDescent="0.2">
      <c r="A63" s="471" t="s">
        <v>864</v>
      </c>
      <c r="B63" s="586"/>
      <c r="C63" s="590"/>
      <c r="D63" s="586"/>
      <c r="E63" s="586"/>
      <c r="F63" s="542"/>
      <c r="G63" s="472">
        <v>1</v>
      </c>
      <c r="H63" s="591"/>
      <c r="I63" s="542"/>
      <c r="J63" s="503"/>
    </row>
    <row r="64" spans="1:12" ht="12.75" x14ac:dyDescent="0.2">
      <c r="A64" s="471" t="s">
        <v>830</v>
      </c>
      <c r="B64" s="586"/>
      <c r="C64" s="601">
        <v>0.97299999999999998</v>
      </c>
      <c r="D64" s="586">
        <v>3000000</v>
      </c>
      <c r="E64" s="586"/>
      <c r="F64" s="542"/>
      <c r="G64" s="472">
        <v>2</v>
      </c>
      <c r="H64" s="468">
        <v>3000000</v>
      </c>
      <c r="I64" s="467">
        <f>(2*1+0)*3000000</f>
        <v>6000000</v>
      </c>
      <c r="J64" s="503"/>
    </row>
    <row r="65" spans="1:12" ht="12.75" x14ac:dyDescent="0.2">
      <c r="A65" s="471" t="s">
        <v>831</v>
      </c>
      <c r="B65" s="602"/>
      <c r="C65" s="586">
        <v>80</v>
      </c>
      <c r="D65" s="586">
        <v>55360</v>
      </c>
      <c r="E65" s="586">
        <f>C65*D65</f>
        <v>4428800</v>
      </c>
      <c r="F65" s="637"/>
      <c r="G65" s="468">
        <v>80</v>
      </c>
      <c r="H65" s="468">
        <v>55360</v>
      </c>
      <c r="I65" s="468">
        <f>G65*H65</f>
        <v>4428800</v>
      </c>
      <c r="J65" s="503"/>
    </row>
    <row r="66" spans="1:12" ht="12.75" x14ac:dyDescent="0.2">
      <c r="A66" s="471" t="s">
        <v>832</v>
      </c>
      <c r="B66" s="602"/>
      <c r="C66" s="586">
        <v>55</v>
      </c>
      <c r="D66" s="586">
        <v>145000</v>
      </c>
      <c r="E66" s="586">
        <f>C66*D66</f>
        <v>7975000</v>
      </c>
      <c r="F66" s="542"/>
      <c r="G66" s="586"/>
      <c r="H66" s="586"/>
      <c r="I66" s="586"/>
      <c r="J66" s="503"/>
    </row>
    <row r="67" spans="1:12" ht="12.75" x14ac:dyDescent="0.2">
      <c r="A67" s="471" t="s">
        <v>865</v>
      </c>
      <c r="B67" s="602"/>
      <c r="C67" s="586"/>
      <c r="D67" s="586"/>
      <c r="E67" s="586"/>
      <c r="F67" s="637"/>
      <c r="G67" s="784">
        <v>5</v>
      </c>
      <c r="H67" s="468">
        <v>25000</v>
      </c>
      <c r="I67" s="784">
        <f>G67*H67</f>
        <v>125000</v>
      </c>
      <c r="J67" s="503"/>
    </row>
    <row r="68" spans="1:12" ht="12.75" x14ac:dyDescent="0.2">
      <c r="A68" s="471" t="s">
        <v>866</v>
      </c>
      <c r="B68" s="602"/>
      <c r="C68" s="586"/>
      <c r="D68" s="586"/>
      <c r="E68" s="586"/>
      <c r="F68" s="637"/>
      <c r="G68" s="784">
        <v>49</v>
      </c>
      <c r="H68" s="468">
        <v>210000</v>
      </c>
      <c r="I68" s="784">
        <f>G68*H68</f>
        <v>10290000</v>
      </c>
      <c r="J68" s="503"/>
    </row>
    <row r="69" spans="1:12" ht="12.75" x14ac:dyDescent="0.2">
      <c r="A69" s="583" t="s">
        <v>867</v>
      </c>
      <c r="B69" s="642"/>
      <c r="C69" s="468">
        <v>23</v>
      </c>
      <c r="D69" s="468">
        <v>109000</v>
      </c>
      <c r="E69" s="468">
        <f>C69*D69</f>
        <v>2507000</v>
      </c>
      <c r="F69" s="467"/>
      <c r="G69" s="784">
        <v>25</v>
      </c>
      <c r="H69" s="468">
        <v>109000</v>
      </c>
      <c r="I69" s="784">
        <f>G69*H69</f>
        <v>2725000</v>
      </c>
      <c r="J69" s="503"/>
    </row>
    <row r="70" spans="1:12" ht="12.75" x14ac:dyDescent="0.2">
      <c r="A70" s="583" t="s">
        <v>834</v>
      </c>
      <c r="B70" s="642"/>
      <c r="C70" s="468"/>
      <c r="D70" s="468"/>
      <c r="E70" s="468"/>
      <c r="F70" s="467"/>
      <c r="G70" s="466"/>
      <c r="H70" s="466"/>
      <c r="I70" s="467"/>
      <c r="J70" s="503"/>
    </row>
    <row r="71" spans="1:12" ht="24" x14ac:dyDescent="0.2">
      <c r="A71" s="583" t="s">
        <v>954</v>
      </c>
      <c r="B71" s="602"/>
      <c r="C71" s="586"/>
      <c r="D71" s="586"/>
      <c r="E71" s="586"/>
      <c r="F71" s="542"/>
      <c r="G71" s="591"/>
      <c r="H71" s="591"/>
      <c r="I71" s="542"/>
      <c r="J71" s="503"/>
    </row>
    <row r="72" spans="1:12" ht="24" x14ac:dyDescent="0.2">
      <c r="A72" s="597" t="s">
        <v>878</v>
      </c>
      <c r="B72" s="602"/>
      <c r="C72" s="586">
        <v>15</v>
      </c>
      <c r="D72" s="586">
        <v>2606040</v>
      </c>
      <c r="E72" s="586">
        <f>C72*D72</f>
        <v>39090600</v>
      </c>
      <c r="F72" s="637"/>
      <c r="G72" s="468">
        <v>15</v>
      </c>
      <c r="H72" s="468">
        <v>2606040</v>
      </c>
      <c r="I72" s="468">
        <f>G72*H72</f>
        <v>39090600</v>
      </c>
      <c r="J72" s="503"/>
    </row>
    <row r="73" spans="1:12" ht="36" x14ac:dyDescent="0.2">
      <c r="A73" s="471" t="s">
        <v>839</v>
      </c>
      <c r="B73" s="602"/>
      <c r="C73" s="586"/>
      <c r="D73" s="586"/>
      <c r="E73" s="589">
        <v>37834000</v>
      </c>
      <c r="F73" s="637" t="s">
        <v>955</v>
      </c>
      <c r="G73" s="591"/>
      <c r="H73" s="591"/>
      <c r="I73" s="542">
        <v>30040000</v>
      </c>
      <c r="J73" s="507"/>
    </row>
    <row r="74" spans="1:12" ht="12.75" x14ac:dyDescent="0.2">
      <c r="A74" s="471" t="s">
        <v>956</v>
      </c>
      <c r="B74" s="602"/>
      <c r="C74" s="586"/>
      <c r="D74" s="586"/>
      <c r="E74" s="586"/>
      <c r="F74" s="542"/>
      <c r="G74" s="591"/>
      <c r="H74" s="591"/>
      <c r="I74" s="542"/>
      <c r="J74" s="503"/>
    </row>
    <row r="75" spans="1:12" ht="12.75" x14ac:dyDescent="0.2">
      <c r="A75" s="471" t="s">
        <v>957</v>
      </c>
      <c r="B75" s="586"/>
      <c r="C75" s="595">
        <v>12.33</v>
      </c>
      <c r="D75" s="586">
        <v>1632000</v>
      </c>
      <c r="E75" s="586">
        <f>C75*D75</f>
        <v>20122560</v>
      </c>
      <c r="F75" s="785" t="s">
        <v>979</v>
      </c>
      <c r="G75" s="469">
        <v>14.4</v>
      </c>
      <c r="H75" s="774">
        <v>1900000</v>
      </c>
      <c r="I75" s="468">
        <f>G75*H75</f>
        <v>27360000</v>
      </c>
      <c r="J75" s="508"/>
    </row>
    <row r="76" spans="1:12" ht="36" x14ac:dyDescent="0.2">
      <c r="A76" s="471" t="s">
        <v>958</v>
      </c>
      <c r="B76" s="586"/>
      <c r="C76" s="586"/>
      <c r="D76" s="586"/>
      <c r="E76" s="589">
        <v>7038795</v>
      </c>
      <c r="F76" s="637" t="s">
        <v>955</v>
      </c>
      <c r="G76" s="591"/>
      <c r="H76" s="591"/>
      <c r="I76" s="542">
        <v>13278900</v>
      </c>
      <c r="J76" s="509"/>
    </row>
    <row r="77" spans="1:12" ht="24" x14ac:dyDescent="0.2">
      <c r="A77" s="583" t="s">
        <v>959</v>
      </c>
      <c r="B77" s="586"/>
      <c r="C77" s="586"/>
      <c r="D77" s="586"/>
      <c r="E77" s="589"/>
      <c r="F77" s="637"/>
      <c r="G77" s="778">
        <v>0</v>
      </c>
      <c r="H77" s="467">
        <v>285</v>
      </c>
      <c r="I77" s="778">
        <f>G77*H77</f>
        <v>0</v>
      </c>
      <c r="J77" s="503"/>
    </row>
    <row r="78" spans="1:12" ht="12.75" x14ac:dyDescent="0.2">
      <c r="A78" s="583" t="s">
        <v>960</v>
      </c>
      <c r="B78" s="586"/>
      <c r="C78" s="586"/>
      <c r="D78" s="586"/>
      <c r="E78" s="605"/>
      <c r="F78" s="637"/>
      <c r="G78" s="640"/>
      <c r="H78" s="467"/>
      <c r="I78" s="467"/>
      <c r="J78" s="503"/>
      <c r="K78" s="592">
        <f>SUM(I56:I82)</f>
        <v>147563700</v>
      </c>
      <c r="L78" s="6" t="s">
        <v>879</v>
      </c>
    </row>
    <row r="79" spans="1:12" ht="12.75" x14ac:dyDescent="0.2">
      <c r="A79" s="583" t="s">
        <v>961</v>
      </c>
      <c r="B79" s="586"/>
      <c r="C79" s="586"/>
      <c r="D79" s="586"/>
      <c r="E79" s="605"/>
      <c r="F79" s="637"/>
      <c r="G79" s="640"/>
      <c r="H79" s="467"/>
      <c r="I79" s="467"/>
      <c r="J79" s="503"/>
      <c r="K79" s="592"/>
    </row>
    <row r="80" spans="1:12" ht="36" x14ac:dyDescent="0.2">
      <c r="A80" s="583" t="s">
        <v>962</v>
      </c>
      <c r="B80" s="586"/>
      <c r="C80" s="586"/>
      <c r="D80" s="586"/>
      <c r="E80" s="605"/>
      <c r="F80" s="667" t="s">
        <v>963</v>
      </c>
      <c r="G80" s="640">
        <v>1.8</v>
      </c>
      <c r="H80" s="467">
        <v>2993000</v>
      </c>
      <c r="I80" s="467">
        <f>G80*H80</f>
        <v>5387400</v>
      </c>
      <c r="J80" s="503"/>
      <c r="K80" s="592"/>
    </row>
    <row r="81" spans="1:14" ht="36" x14ac:dyDescent="0.2">
      <c r="A81" s="583" t="s">
        <v>964</v>
      </c>
      <c r="B81" s="586"/>
      <c r="C81" s="586"/>
      <c r="D81" s="586"/>
      <c r="E81" s="605"/>
      <c r="F81" s="667" t="s">
        <v>965</v>
      </c>
      <c r="G81" s="640">
        <v>2</v>
      </c>
      <c r="H81" s="467">
        <v>4419000</v>
      </c>
      <c r="I81" s="467">
        <f>G81*H81</f>
        <v>8838000</v>
      </c>
      <c r="J81" s="503"/>
      <c r="K81" s="592"/>
    </row>
    <row r="82" spans="1:14" ht="24" x14ac:dyDescent="0.2">
      <c r="A82" s="583" t="s">
        <v>966</v>
      </c>
      <c r="B82" s="586"/>
      <c r="C82" s="586"/>
      <c r="D82" s="586"/>
      <c r="E82" s="605"/>
      <c r="F82" s="637"/>
      <c r="G82" s="640"/>
      <c r="H82" s="467">
        <v>0</v>
      </c>
      <c r="I82" s="467">
        <v>0</v>
      </c>
      <c r="J82" s="503"/>
      <c r="K82" s="592"/>
    </row>
    <row r="83" spans="1:14" ht="12.75" x14ac:dyDescent="0.2">
      <c r="A83" s="583"/>
      <c r="B83" s="586"/>
      <c r="C83" s="586"/>
      <c r="D83" s="586"/>
      <c r="E83" s="605"/>
      <c r="F83" s="637"/>
      <c r="G83" s="640"/>
      <c r="H83" s="467"/>
      <c r="I83" s="467"/>
      <c r="J83" s="503"/>
      <c r="K83" s="592"/>
    </row>
    <row r="84" spans="1:14" ht="12.75" x14ac:dyDescent="0.2">
      <c r="A84" s="471" t="s">
        <v>845</v>
      </c>
      <c r="B84" s="586"/>
      <c r="C84" s="586"/>
      <c r="D84" s="586"/>
      <c r="E84" s="605"/>
      <c r="F84" s="542"/>
      <c r="G84" s="591"/>
      <c r="H84" s="591"/>
      <c r="I84" s="542"/>
      <c r="J84" s="503"/>
    </row>
    <row r="85" spans="1:14" ht="12.75" x14ac:dyDescent="0.2">
      <c r="A85" s="471" t="s">
        <v>846</v>
      </c>
      <c r="B85" s="586"/>
      <c r="C85" s="586"/>
      <c r="D85" s="586"/>
      <c r="E85" s="605"/>
      <c r="F85" s="542"/>
      <c r="G85" s="591"/>
      <c r="H85" s="591"/>
      <c r="I85" s="542"/>
      <c r="J85" s="503"/>
    </row>
    <row r="86" spans="1:14" ht="12.75" x14ac:dyDescent="0.2">
      <c r="A86" s="471" t="s">
        <v>847</v>
      </c>
      <c r="B86" s="586"/>
      <c r="C86" s="586">
        <v>4865</v>
      </c>
      <c r="D86" s="586">
        <v>1140</v>
      </c>
      <c r="E86" s="606"/>
      <c r="F86" s="542"/>
      <c r="G86" s="468">
        <v>4705</v>
      </c>
      <c r="H86" s="774">
        <v>1210</v>
      </c>
      <c r="I86" s="231">
        <f>G86*H86</f>
        <v>5693050</v>
      </c>
      <c r="J86" s="503"/>
    </row>
    <row r="87" spans="1:14" ht="48" x14ac:dyDescent="0.2">
      <c r="A87" s="583" t="s">
        <v>848</v>
      </c>
      <c r="B87" s="586"/>
      <c r="C87" s="586"/>
      <c r="D87" s="586"/>
      <c r="E87" s="606"/>
      <c r="F87" s="667" t="s">
        <v>967</v>
      </c>
      <c r="G87" s="586"/>
      <c r="H87" s="586"/>
      <c r="I87" s="231">
        <v>0</v>
      </c>
      <c r="J87" s="503"/>
    </row>
    <row r="88" spans="1:14" ht="48" x14ac:dyDescent="0.2">
      <c r="A88" s="583" t="s">
        <v>968</v>
      </c>
      <c r="B88" s="586"/>
      <c r="C88" s="586"/>
      <c r="D88" s="586"/>
      <c r="E88" s="606"/>
      <c r="F88" s="667" t="s">
        <v>969</v>
      </c>
      <c r="G88" s="586"/>
      <c r="H88" s="586"/>
      <c r="I88" s="231">
        <v>0</v>
      </c>
      <c r="J88" s="503"/>
    </row>
    <row r="89" spans="1:14" ht="12.75" x14ac:dyDescent="0.2">
      <c r="A89" s="597" t="s">
        <v>970</v>
      </c>
      <c r="B89" s="602"/>
      <c r="C89" s="586"/>
      <c r="D89" s="600"/>
      <c r="E89" s="586"/>
      <c r="F89" s="542"/>
      <c r="G89" s="591"/>
      <c r="H89" s="591"/>
      <c r="I89" s="542"/>
      <c r="J89" s="503"/>
      <c r="K89" s="592">
        <f>SUM(I86+I87)</f>
        <v>5693050</v>
      </c>
      <c r="L89" s="6" t="s">
        <v>880</v>
      </c>
    </row>
    <row r="90" spans="1:14" ht="24" x14ac:dyDescent="0.2">
      <c r="A90" s="607" t="s">
        <v>971</v>
      </c>
      <c r="B90" s="643"/>
      <c r="C90" s="644"/>
      <c r="D90" s="468"/>
      <c r="E90" s="468"/>
      <c r="F90" s="645"/>
      <c r="G90" s="466"/>
      <c r="H90" s="466"/>
      <c r="I90" s="542"/>
      <c r="J90" s="503"/>
      <c r="K90" s="592"/>
      <c r="L90" s="592">
        <f>I15+I18+I21+I24+I27+I30+I33</f>
        <v>-123432901</v>
      </c>
      <c r="M90" s="646" t="s">
        <v>881</v>
      </c>
      <c r="N90" s="230"/>
    </row>
    <row r="91" spans="1:14" ht="12.75" x14ac:dyDescent="0.2">
      <c r="A91" s="621" t="s">
        <v>972</v>
      </c>
      <c r="B91" s="647"/>
      <c r="C91" s="648"/>
      <c r="D91" s="649"/>
      <c r="E91" s="649"/>
      <c r="F91" s="650"/>
      <c r="G91" s="651"/>
      <c r="H91" s="651"/>
      <c r="I91" s="652">
        <v>0</v>
      </c>
      <c r="J91" s="503"/>
      <c r="K91" s="592"/>
      <c r="L91" s="592"/>
      <c r="M91" s="646"/>
      <c r="N91" s="230"/>
    </row>
    <row r="92" spans="1:14" ht="12.75" x14ac:dyDescent="0.2">
      <c r="A92" s="621"/>
      <c r="B92" s="647"/>
      <c r="C92" s="648"/>
      <c r="D92" s="649"/>
      <c r="E92" s="649"/>
      <c r="F92" s="647"/>
      <c r="G92" s="651"/>
      <c r="H92" s="651"/>
      <c r="I92" s="613"/>
      <c r="J92" s="503"/>
      <c r="K92" s="592"/>
      <c r="L92" s="592"/>
      <c r="N92" s="230"/>
    </row>
    <row r="93" spans="1:14" ht="12.75" x14ac:dyDescent="0.2">
      <c r="A93" s="621" t="s">
        <v>868</v>
      </c>
      <c r="B93" s="647"/>
      <c r="C93" s="648"/>
      <c r="D93" s="649"/>
      <c r="E93" s="649"/>
      <c r="F93" s="647"/>
      <c r="G93" s="651"/>
      <c r="H93" s="651"/>
      <c r="I93" s="613"/>
      <c r="J93" s="503"/>
      <c r="K93" s="592"/>
      <c r="L93" s="592"/>
      <c r="N93" s="230"/>
    </row>
    <row r="94" spans="1:14" ht="12.75" x14ac:dyDescent="0.2">
      <c r="A94" s="621" t="s">
        <v>869</v>
      </c>
      <c r="B94" s="647"/>
      <c r="C94" s="648"/>
      <c r="D94" s="649"/>
      <c r="E94" s="649"/>
      <c r="F94" s="647"/>
      <c r="G94" s="651"/>
      <c r="H94" s="651"/>
      <c r="I94" s="652">
        <v>0</v>
      </c>
      <c r="J94" s="503"/>
      <c r="K94" s="592"/>
      <c r="L94" s="592"/>
      <c r="N94" s="230"/>
    </row>
    <row r="95" spans="1:14" ht="12.75" x14ac:dyDescent="0.2">
      <c r="A95" s="622" t="s">
        <v>870</v>
      </c>
      <c r="B95" s="647"/>
      <c r="C95" s="648"/>
      <c r="D95" s="649"/>
      <c r="E95" s="649"/>
      <c r="F95" s="647"/>
      <c r="G95" s="651"/>
      <c r="H95" s="651"/>
      <c r="I95" s="652">
        <v>0</v>
      </c>
      <c r="J95" s="503"/>
      <c r="K95" s="592">
        <f>I94+I95</f>
        <v>0</v>
      </c>
      <c r="L95" s="592" t="s">
        <v>882</v>
      </c>
      <c r="N95" s="230"/>
    </row>
    <row r="96" spans="1:14" ht="13.5" thickBot="1" x14ac:dyDescent="0.25">
      <c r="A96" s="609"/>
      <c r="B96" s="610"/>
      <c r="C96" s="611"/>
      <c r="D96" s="612"/>
      <c r="E96" s="611"/>
      <c r="F96" s="613"/>
      <c r="G96" s="614"/>
      <c r="H96" s="614"/>
      <c r="I96" s="613"/>
      <c r="J96" s="503"/>
    </row>
    <row r="97" spans="1:256" ht="12.75" thickBot="1" x14ac:dyDescent="0.25">
      <c r="A97" s="615" t="s">
        <v>850</v>
      </c>
      <c r="B97" s="616"/>
      <c r="C97" s="616"/>
      <c r="D97" s="617"/>
      <c r="E97" s="618" t="e">
        <f>E12+E14+E17+E20+E23+E28+E31+E34+E40+E41+#REF!+E42+E44+E47+E49+E52+E56+E57+E61+E62+E65+E66+E69+#REF!+E72+E73+E75+E76</f>
        <v>#REF!</v>
      </c>
      <c r="F97" s="1480">
        <f>I12+I16+I19+I22+I25+I28+I31+I34+I35+I36+I40+I41+I42+I43+I44+I45+I47+I48+I49+I50+I52+I53+I56+I57+I64+I65+I67+I68+I69+I72+I73+I75+I76+I77+I80+I81+I82+I86+I87+I88+I94+I95+I91</f>
        <v>789557318</v>
      </c>
      <c r="G97" s="1480"/>
      <c r="H97" s="1480"/>
      <c r="I97" s="1481"/>
      <c r="J97" s="7"/>
      <c r="K97" s="619">
        <f>K78+K53+K35+K89</f>
        <v>789557318</v>
      </c>
      <c r="L97" s="653" t="s">
        <v>883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654"/>
      <c r="B99" s="655"/>
      <c r="C99" s="655"/>
      <c r="D99" s="655"/>
      <c r="E99" s="656"/>
      <c r="F99" s="657"/>
      <c r="G99" s="657"/>
      <c r="H99" s="657"/>
      <c r="I99" s="657"/>
    </row>
    <row r="100" spans="1:256" ht="12.75" x14ac:dyDescent="0.2">
      <c r="A100" s="775" t="s">
        <v>973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43"/>
  <sheetViews>
    <sheetView workbookViewId="0">
      <pane ySplit="7" topLeftCell="A25" activePane="bottomLeft" state="frozen"/>
      <selection activeCell="B65" sqref="B65"/>
      <selection pane="bottomLeft" activeCell="M34" sqref="M34"/>
    </sheetView>
  </sheetViews>
  <sheetFormatPr defaultColWidth="9.140625" defaultRowHeight="14.45" customHeight="1" x14ac:dyDescent="0.2"/>
  <cols>
    <col min="1" max="1" width="9.140625" style="10"/>
    <col min="2" max="2" width="5.140625" style="269" customWidth="1"/>
    <col min="3" max="3" width="50.42578125" style="14" customWidth="1"/>
    <col min="4" max="4" width="11.85546875" style="114" customWidth="1"/>
    <col min="5" max="5" width="12.7109375" style="114" customWidth="1"/>
    <col min="6" max="6" width="13.5703125" style="114" customWidth="1"/>
    <col min="7" max="9" width="0" style="115" hidden="1" customWidth="1"/>
    <col min="10" max="16384" width="9.140625" style="10"/>
  </cols>
  <sheetData>
    <row r="1" spans="1:13" ht="14.45" customHeight="1" x14ac:dyDescent="0.2">
      <c r="C1" s="1472" t="s">
        <v>1369</v>
      </c>
      <c r="D1" s="1472"/>
      <c r="E1" s="1472"/>
      <c r="F1" s="1472"/>
      <c r="G1" s="1472"/>
      <c r="H1" s="1472"/>
      <c r="I1" s="1472"/>
    </row>
    <row r="2" spans="1:13" ht="14.45" customHeight="1" x14ac:dyDescent="0.2">
      <c r="C2" s="1472"/>
      <c r="D2" s="1472"/>
      <c r="E2" s="1472"/>
      <c r="F2" s="1472"/>
      <c r="G2" s="1472"/>
      <c r="H2" s="1472"/>
      <c r="I2" s="1472"/>
    </row>
    <row r="3" spans="1:13" ht="14.45" customHeight="1" x14ac:dyDescent="0.2">
      <c r="B3" s="1476" t="s">
        <v>54</v>
      </c>
      <c r="C3" s="1468"/>
      <c r="D3" s="1468"/>
      <c r="E3" s="1468"/>
      <c r="F3" s="1468"/>
      <c r="G3" s="1468"/>
      <c r="H3" s="1468"/>
      <c r="I3" s="1468"/>
    </row>
    <row r="4" spans="1:13" s="11" customFormat="1" ht="14.45" customHeight="1" x14ac:dyDescent="0.2">
      <c r="B4" s="1486" t="s">
        <v>1183</v>
      </c>
      <c r="C4" s="1468"/>
      <c r="D4" s="1468"/>
      <c r="E4" s="1468"/>
      <c r="F4" s="1468"/>
      <c r="G4" s="1468"/>
      <c r="H4" s="1468"/>
      <c r="I4" s="1468"/>
    </row>
    <row r="5" spans="1:13" s="11" customFormat="1" ht="14.45" customHeight="1" x14ac:dyDescent="0.15">
      <c r="B5" s="140"/>
    </row>
    <row r="6" spans="1:13" ht="14.45" customHeight="1" thickBot="1" x14ac:dyDescent="0.25">
      <c r="B6" s="1493" t="s">
        <v>425</v>
      </c>
      <c r="C6" s="1468"/>
      <c r="D6" s="1468"/>
      <c r="E6" s="1468"/>
      <c r="F6" s="1468"/>
      <c r="G6" s="1468"/>
      <c r="H6" s="1468"/>
      <c r="I6" s="1468"/>
    </row>
    <row r="7" spans="1:13" s="12" customFormat="1" ht="36.75" customHeight="1" x14ac:dyDescent="0.2">
      <c r="B7" s="1487" t="s">
        <v>56</v>
      </c>
      <c r="C7" s="1489" t="s">
        <v>85</v>
      </c>
      <c r="D7" s="1491" t="s">
        <v>1184</v>
      </c>
      <c r="E7" s="1491"/>
      <c r="F7" s="1492"/>
      <c r="G7" s="131"/>
    </row>
    <row r="8" spans="1:13" s="12" customFormat="1" ht="40.9" customHeight="1" thickBot="1" x14ac:dyDescent="0.25">
      <c r="B8" s="1488"/>
      <c r="C8" s="1490"/>
      <c r="D8" s="974" t="s">
        <v>62</v>
      </c>
      <c r="E8" s="974" t="s">
        <v>63</v>
      </c>
      <c r="F8" s="975" t="s">
        <v>64</v>
      </c>
      <c r="G8" s="131"/>
      <c r="J8" s="459"/>
    </row>
    <row r="9" spans="1:13" s="12" customFormat="1" ht="10.5" customHeight="1" x14ac:dyDescent="0.2">
      <c r="A9" s="972"/>
      <c r="B9" s="986"/>
      <c r="C9" s="158"/>
      <c r="D9" s="159"/>
      <c r="E9" s="159"/>
      <c r="F9" s="377"/>
      <c r="G9" s="131"/>
      <c r="J9" s="459"/>
    </row>
    <row r="10" spans="1:13" s="12" customFormat="1" ht="14.45" customHeight="1" x14ac:dyDescent="0.2">
      <c r="A10" s="972"/>
      <c r="B10" s="987" t="s">
        <v>470</v>
      </c>
      <c r="C10" s="160" t="s">
        <v>86</v>
      </c>
      <c r="D10" s="159"/>
      <c r="E10" s="159"/>
      <c r="F10" s="377"/>
      <c r="G10" s="131"/>
      <c r="J10" s="459"/>
    </row>
    <row r="11" spans="1:13" s="12" customFormat="1" ht="14.45" customHeight="1" x14ac:dyDescent="0.2">
      <c r="A11" s="972"/>
      <c r="B11" s="987" t="s">
        <v>478</v>
      </c>
      <c r="C11" s="161" t="s">
        <v>1026</v>
      </c>
      <c r="D11" s="159"/>
      <c r="E11" s="159"/>
      <c r="F11" s="377"/>
      <c r="G11" s="131"/>
      <c r="J11" s="459"/>
    </row>
    <row r="12" spans="1:13" s="12" customFormat="1" ht="14.45" customHeight="1" x14ac:dyDescent="0.2">
      <c r="A12" s="972"/>
      <c r="B12" s="987" t="s">
        <v>479</v>
      </c>
      <c r="C12" s="162" t="s">
        <v>1185</v>
      </c>
      <c r="D12" s="115">
        <v>2028</v>
      </c>
      <c r="E12" s="115"/>
      <c r="F12" s="378">
        <f>SUM(D12:E12)</f>
        <v>2028</v>
      </c>
      <c r="G12" s="131"/>
      <c r="J12" s="459"/>
    </row>
    <row r="13" spans="1:13" s="12" customFormat="1" ht="14.45" customHeight="1" x14ac:dyDescent="0.2">
      <c r="A13" s="972"/>
      <c r="B13" s="987" t="s">
        <v>480</v>
      </c>
      <c r="C13" s="162" t="s">
        <v>276</v>
      </c>
      <c r="D13" s="115"/>
      <c r="E13" s="115">
        <v>0</v>
      </c>
      <c r="F13" s="378">
        <f>SUM(D13:E13)</f>
        <v>0</v>
      </c>
      <c r="G13" s="131"/>
      <c r="J13" s="459"/>
    </row>
    <row r="14" spans="1:13" s="12" customFormat="1" ht="14.45" customHeight="1" x14ac:dyDescent="0.2">
      <c r="A14" s="972"/>
      <c r="B14" s="987" t="s">
        <v>481</v>
      </c>
      <c r="C14" s="14"/>
      <c r="D14" s="115"/>
      <c r="E14" s="115"/>
      <c r="F14" s="378"/>
      <c r="G14" s="131"/>
      <c r="J14" s="459"/>
    </row>
    <row r="15" spans="1:13" s="12" customFormat="1" ht="14.45" customHeight="1" thickBot="1" x14ac:dyDescent="0.25">
      <c r="A15" s="972"/>
      <c r="B15" s="987" t="s">
        <v>482</v>
      </c>
      <c r="C15" s="14"/>
      <c r="D15" s="115">
        <v>0</v>
      </c>
      <c r="E15" s="115"/>
      <c r="F15" s="378">
        <f t="shared" ref="F15" si="0">SUM(D15:E15)</f>
        <v>0</v>
      </c>
      <c r="G15" s="131"/>
      <c r="J15" s="459"/>
      <c r="M15" s="10"/>
    </row>
    <row r="16" spans="1:13" s="12" customFormat="1" ht="14.45" customHeight="1" thickBot="1" x14ac:dyDescent="0.25">
      <c r="B16" s="988" t="s">
        <v>483</v>
      </c>
      <c r="C16" s="386" t="s">
        <v>1029</v>
      </c>
      <c r="D16" s="247">
        <f>SUM(D12:D15)</f>
        <v>2028</v>
      </c>
      <c r="E16" s="247">
        <f>SUM(E12:E15)</f>
        <v>0</v>
      </c>
      <c r="F16" s="765">
        <f>SUM(F12:F15)</f>
        <v>2028</v>
      </c>
      <c r="G16" s="131"/>
      <c r="J16" s="459"/>
    </row>
    <row r="17" spans="1:10" s="12" customFormat="1" ht="14.45" customHeight="1" x14ac:dyDescent="0.2">
      <c r="A17" s="972"/>
      <c r="B17" s="987" t="s">
        <v>484</v>
      </c>
      <c r="C17" s="163"/>
      <c r="D17" s="139"/>
      <c r="E17" s="139"/>
      <c r="F17" s="381"/>
      <c r="G17" s="131"/>
      <c r="J17" s="459"/>
    </row>
    <row r="18" spans="1:10" s="12" customFormat="1" ht="14.45" customHeight="1" x14ac:dyDescent="0.2">
      <c r="A18" s="972"/>
      <c r="B18" s="987" t="s">
        <v>485</v>
      </c>
      <c r="C18" s="458" t="s">
        <v>277</v>
      </c>
      <c r="D18" s="139"/>
      <c r="E18" s="139"/>
      <c r="F18" s="381"/>
      <c r="G18" s="131"/>
      <c r="J18" s="459"/>
    </row>
    <row r="19" spans="1:10" s="12" customFormat="1" ht="14.45" customHeight="1" thickBot="1" x14ac:dyDescent="0.25">
      <c r="A19" s="972"/>
      <c r="B19" s="987" t="s">
        <v>520</v>
      </c>
      <c r="C19" s="14" t="s">
        <v>1219</v>
      </c>
      <c r="D19" s="139"/>
      <c r="E19" s="232">
        <v>750000</v>
      </c>
      <c r="F19" s="401">
        <f>D19+E19</f>
        <v>750000</v>
      </c>
      <c r="G19" s="131"/>
      <c r="J19" s="459"/>
    </row>
    <row r="20" spans="1:10" s="12" customFormat="1" ht="14.45" customHeight="1" thickBot="1" x14ac:dyDescent="0.25">
      <c r="B20" s="988" t="s">
        <v>521</v>
      </c>
      <c r="C20" s="386" t="s">
        <v>278</v>
      </c>
      <c r="D20" s="247">
        <f>D19</f>
        <v>0</v>
      </c>
      <c r="E20" s="247">
        <f t="shared" ref="E20:F20" si="1">E19</f>
        <v>750000</v>
      </c>
      <c r="F20" s="247">
        <f t="shared" si="1"/>
        <v>750000</v>
      </c>
      <c r="G20" s="247" t="e">
        <f>#REF!+G19</f>
        <v>#REF!</v>
      </c>
      <c r="H20" s="247" t="e">
        <f>#REF!+H19</f>
        <v>#REF!</v>
      </c>
      <c r="I20" s="247" t="e">
        <f>#REF!+I19</f>
        <v>#REF!</v>
      </c>
      <c r="J20" s="459"/>
    </row>
    <row r="21" spans="1:10" s="12" customFormat="1" ht="14.45" customHeight="1" x14ac:dyDescent="0.2">
      <c r="A21" s="972"/>
      <c r="B21" s="987" t="s">
        <v>522</v>
      </c>
      <c r="C21" s="163"/>
      <c r="D21" s="139"/>
      <c r="E21" s="139"/>
      <c r="F21" s="139"/>
      <c r="G21" s="131"/>
      <c r="J21" s="459"/>
    </row>
    <row r="22" spans="1:10" s="12" customFormat="1" ht="14.45" customHeight="1" thickBot="1" x14ac:dyDescent="0.25">
      <c r="A22" s="972"/>
      <c r="B22" s="987" t="s">
        <v>523</v>
      </c>
      <c r="C22" s="165" t="s">
        <v>1027</v>
      </c>
      <c r="D22" s="139"/>
      <c r="E22" s="139"/>
      <c r="F22" s="139"/>
      <c r="G22" s="131"/>
      <c r="J22" s="459"/>
    </row>
    <row r="23" spans="1:10" s="12" customFormat="1" ht="14.45" customHeight="1" thickBot="1" x14ac:dyDescent="0.25">
      <c r="B23" s="988" t="s">
        <v>524</v>
      </c>
      <c r="C23" s="386" t="s">
        <v>1028</v>
      </c>
      <c r="D23" s="247">
        <f>SUM(D22:D22)</f>
        <v>0</v>
      </c>
      <c r="E23" s="247">
        <f t="shared" ref="E23:F23" si="2">SUM(E22:E22)</f>
        <v>0</v>
      </c>
      <c r="F23" s="765">
        <f t="shared" si="2"/>
        <v>0</v>
      </c>
      <c r="G23" s="131"/>
      <c r="J23" s="459"/>
    </row>
    <row r="24" spans="1:10" s="12" customFormat="1" ht="12" customHeight="1" x14ac:dyDescent="0.2">
      <c r="A24" s="972"/>
      <c r="B24" s="987" t="s">
        <v>525</v>
      </c>
      <c r="C24" s="164"/>
      <c r="D24" s="159"/>
      <c r="E24" s="159"/>
      <c r="F24" s="377"/>
      <c r="G24" s="131"/>
      <c r="J24" s="459"/>
    </row>
    <row r="25" spans="1:10" s="11" customFormat="1" ht="14.45" customHeight="1" x14ac:dyDescent="0.2">
      <c r="A25" s="404"/>
      <c r="B25" s="987" t="s">
        <v>526</v>
      </c>
      <c r="C25" s="463" t="s">
        <v>924</v>
      </c>
      <c r="D25" s="139"/>
      <c r="E25" s="139"/>
      <c r="F25" s="381"/>
      <c r="G25" s="140"/>
      <c r="J25" s="431"/>
    </row>
    <row r="26" spans="1:10" s="11" customFormat="1" ht="26.25" customHeight="1" x14ac:dyDescent="0.2">
      <c r="A26" s="404"/>
      <c r="B26" s="987" t="s">
        <v>528</v>
      </c>
      <c r="C26" s="795" t="s">
        <v>1213</v>
      </c>
      <c r="D26" s="115">
        <v>560281</v>
      </c>
      <c r="E26" s="115"/>
      <c r="F26" s="378">
        <f>D26+E26</f>
        <v>560281</v>
      </c>
      <c r="G26" s="140"/>
      <c r="J26" s="431"/>
    </row>
    <row r="27" spans="1:10" s="11" customFormat="1" ht="26.25" customHeight="1" x14ac:dyDescent="0.2">
      <c r="A27" s="404"/>
      <c r="B27" s="987" t="s">
        <v>529</v>
      </c>
      <c r="C27" s="844" t="s">
        <v>981</v>
      </c>
      <c r="D27" s="232">
        <v>51044</v>
      </c>
      <c r="E27" s="232"/>
      <c r="F27" s="401">
        <f>D27+E27</f>
        <v>51044</v>
      </c>
      <c r="G27" s="140"/>
      <c r="J27" s="431"/>
    </row>
    <row r="28" spans="1:10" s="11" customFormat="1" ht="26.25" customHeight="1" x14ac:dyDescent="0.2">
      <c r="A28" s="404"/>
      <c r="B28" s="987" t="s">
        <v>530</v>
      </c>
      <c r="C28" s="844" t="s">
        <v>945</v>
      </c>
      <c r="D28" s="232">
        <v>75141</v>
      </c>
      <c r="E28" s="232"/>
      <c r="F28" s="401">
        <f>D28+E28</f>
        <v>75141</v>
      </c>
      <c r="G28" s="140"/>
      <c r="J28" s="431"/>
    </row>
    <row r="29" spans="1:10" s="11" customFormat="1" ht="26.25" customHeight="1" x14ac:dyDescent="0.2">
      <c r="A29" s="404"/>
      <c r="B29" s="987" t="s">
        <v>531</v>
      </c>
      <c r="C29" s="1275" t="s">
        <v>1182</v>
      </c>
      <c r="D29" s="232">
        <v>0</v>
      </c>
      <c r="E29" s="232"/>
      <c r="F29" s="401">
        <f t="shared" ref="F29:F30" si="3">D29+E29</f>
        <v>0</v>
      </c>
      <c r="G29" s="140"/>
      <c r="J29" s="431"/>
    </row>
    <row r="30" spans="1:10" s="11" customFormat="1" ht="26.25" customHeight="1" thickBot="1" x14ac:dyDescent="0.25">
      <c r="A30" s="404"/>
      <c r="B30" s="987" t="s">
        <v>532</v>
      </c>
      <c r="C30" s="1275" t="s">
        <v>1363</v>
      </c>
      <c r="D30" s="232">
        <v>880000</v>
      </c>
      <c r="E30" s="232"/>
      <c r="F30" s="401">
        <f t="shared" si="3"/>
        <v>880000</v>
      </c>
      <c r="G30" s="140"/>
      <c r="J30" s="431"/>
    </row>
    <row r="31" spans="1:10" ht="14.45" customHeight="1" thickBot="1" x14ac:dyDescent="0.25">
      <c r="B31" s="988" t="s">
        <v>533</v>
      </c>
      <c r="C31" s="1276" t="s">
        <v>1024</v>
      </c>
      <c r="D31" s="771">
        <f>SUM(D26:D30)</f>
        <v>1566466</v>
      </c>
      <c r="E31" s="771">
        <f t="shared" ref="E31:F31" si="4">SUM(E26:E30)</f>
        <v>0</v>
      </c>
      <c r="F31" s="771">
        <f t="shared" si="4"/>
        <v>1566466</v>
      </c>
      <c r="G31" s="114"/>
      <c r="H31" s="10"/>
      <c r="I31" s="10"/>
      <c r="J31" s="147"/>
    </row>
    <row r="32" spans="1:10" ht="14.45" customHeight="1" x14ac:dyDescent="0.2">
      <c r="A32" s="973"/>
      <c r="B32" s="987" t="s">
        <v>534</v>
      </c>
      <c r="C32" s="163"/>
      <c r="D32" s="139"/>
      <c r="E32" s="139"/>
      <c r="F32" s="381"/>
      <c r="G32" s="114"/>
      <c r="H32" s="10"/>
      <c r="I32" s="10"/>
      <c r="J32" s="147"/>
    </row>
    <row r="33" spans="1:10" ht="14.45" customHeight="1" x14ac:dyDescent="0.2">
      <c r="A33" s="973"/>
      <c r="B33" s="987" t="s">
        <v>535</v>
      </c>
      <c r="C33" s="165" t="s">
        <v>164</v>
      </c>
      <c r="D33" s="139"/>
      <c r="E33" s="115"/>
      <c r="F33" s="378"/>
      <c r="G33" s="114"/>
      <c r="H33" s="10"/>
      <c r="I33" s="10"/>
      <c r="J33" s="147"/>
    </row>
    <row r="34" spans="1:10" ht="28.5" customHeight="1" x14ac:dyDescent="0.2">
      <c r="A34" s="973"/>
      <c r="B34" s="987" t="s">
        <v>552</v>
      </c>
      <c r="D34" s="970"/>
      <c r="E34" s="969"/>
      <c r="F34" s="971"/>
      <c r="G34" s="114"/>
      <c r="H34" s="10"/>
      <c r="I34" s="10"/>
      <c r="J34" s="147"/>
    </row>
    <row r="35" spans="1:10" ht="17.25" customHeight="1" thickBot="1" x14ac:dyDescent="0.25">
      <c r="A35" s="973"/>
      <c r="B35" s="987" t="s">
        <v>553</v>
      </c>
      <c r="C35" s="14" t="s">
        <v>1130</v>
      </c>
      <c r="D35" s="1055">
        <v>0</v>
      </c>
      <c r="E35" s="1055"/>
      <c r="F35" s="1056">
        <f>D35+E35</f>
        <v>0</v>
      </c>
      <c r="G35" s="114"/>
      <c r="H35" s="10"/>
      <c r="I35" s="10"/>
      <c r="J35" s="147"/>
    </row>
    <row r="36" spans="1:10" ht="14.45" customHeight="1" thickBot="1" x14ac:dyDescent="0.25">
      <c r="B36" s="988" t="s">
        <v>554</v>
      </c>
      <c r="C36" s="386" t="s">
        <v>1025</v>
      </c>
      <c r="D36" s="247">
        <f>SUM(D34:D35)</f>
        <v>0</v>
      </c>
      <c r="E36" s="247">
        <f>SUM(E34:E35)</f>
        <v>0</v>
      </c>
      <c r="F36" s="765">
        <f>SUM(F34:F35)</f>
        <v>0</v>
      </c>
      <c r="G36" s="114"/>
      <c r="H36" s="10"/>
      <c r="I36" s="10"/>
      <c r="J36" s="147"/>
    </row>
    <row r="37" spans="1:10" ht="14.45" customHeight="1" x14ac:dyDescent="0.2">
      <c r="A37" s="973"/>
      <c r="B37" s="987" t="s">
        <v>555</v>
      </c>
      <c r="C37" s="163"/>
      <c r="D37" s="139"/>
      <c r="E37" s="139"/>
      <c r="F37" s="139"/>
      <c r="G37" s="114"/>
      <c r="H37" s="10"/>
      <c r="I37" s="10"/>
      <c r="J37" s="147"/>
    </row>
    <row r="38" spans="1:10" s="12" customFormat="1" ht="14.45" customHeight="1" x14ac:dyDescent="0.2">
      <c r="A38" s="972"/>
      <c r="B38" s="987" t="s">
        <v>556</v>
      </c>
      <c r="C38" s="165" t="s">
        <v>97</v>
      </c>
      <c r="D38" s="131"/>
      <c r="E38" s="1052"/>
      <c r="F38" s="1053"/>
      <c r="G38" s="131"/>
      <c r="J38" s="459"/>
    </row>
    <row r="39" spans="1:10" s="12" customFormat="1" ht="14.45" customHeight="1" thickBot="1" x14ac:dyDescent="0.25">
      <c r="A39" s="972"/>
      <c r="B39" s="987" t="s">
        <v>557</v>
      </c>
      <c r="C39" s="14" t="s">
        <v>98</v>
      </c>
      <c r="D39" s="131"/>
      <c r="E39" s="232">
        <v>3006</v>
      </c>
      <c r="F39" s="401">
        <f>SUM(E39)</f>
        <v>3006</v>
      </c>
      <c r="G39" s="131"/>
      <c r="J39" s="459"/>
    </row>
    <row r="40" spans="1:10" s="12" customFormat="1" ht="14.45" customHeight="1" thickBot="1" x14ac:dyDescent="0.25">
      <c r="A40" s="972"/>
      <c r="B40" s="989" t="s">
        <v>558</v>
      </c>
      <c r="C40" s="386" t="s">
        <v>99</v>
      </c>
      <c r="D40" s="771">
        <f>SUM(D39:D39)</f>
        <v>0</v>
      </c>
      <c r="E40" s="771">
        <f>SUM(E39:E39)</f>
        <v>3006</v>
      </c>
      <c r="F40" s="772">
        <f>SUM(F39:F39)</f>
        <v>3006</v>
      </c>
      <c r="G40" s="159"/>
      <c r="J40" s="459"/>
    </row>
    <row r="41" spans="1:10" s="12" customFormat="1" ht="15.75" customHeight="1" thickBot="1" x14ac:dyDescent="0.25">
      <c r="A41" s="972"/>
      <c r="B41" s="989" t="s">
        <v>559</v>
      </c>
      <c r="C41" s="163"/>
      <c r="D41" s="1052"/>
      <c r="E41" s="1052"/>
      <c r="F41" s="1053"/>
      <c r="G41" s="131"/>
      <c r="J41" s="459"/>
    </row>
    <row r="42" spans="1:10" s="12" customFormat="1" ht="14.45" customHeight="1" thickBot="1" x14ac:dyDescent="0.25">
      <c r="B42" s="990" t="s">
        <v>560</v>
      </c>
      <c r="C42" s="386" t="s">
        <v>100</v>
      </c>
      <c r="D42" s="771">
        <f t="shared" ref="D42:I42" si="5">D16+D31+D36+D40+D23+D20</f>
        <v>1568494</v>
      </c>
      <c r="E42" s="771">
        <f t="shared" si="5"/>
        <v>753006</v>
      </c>
      <c r="F42" s="772">
        <f t="shared" si="5"/>
        <v>2321500</v>
      </c>
      <c r="G42" s="247" t="e">
        <f t="shared" si="5"/>
        <v>#REF!</v>
      </c>
      <c r="H42" s="247" t="e">
        <f t="shared" si="5"/>
        <v>#REF!</v>
      </c>
      <c r="I42" s="247" t="e">
        <f t="shared" si="5"/>
        <v>#REF!</v>
      </c>
      <c r="J42" s="459"/>
    </row>
    <row r="43" spans="1:10" ht="14.45" customHeight="1" x14ac:dyDescent="0.2">
      <c r="D43" s="1054"/>
      <c r="E43" s="1054"/>
      <c r="F43" s="1054"/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9</vt:i4>
      </vt:variant>
    </vt:vector>
  </HeadingPairs>
  <TitlesOfParts>
    <vt:vector size="42" baseType="lpstr">
      <vt:lpstr>Össz.önkor.mérleg.</vt:lpstr>
      <vt:lpstr>működ. mérleg </vt:lpstr>
      <vt:lpstr>felhalm. mérleg</vt:lpstr>
      <vt:lpstr>2020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Munka3</vt:lpstr>
      <vt:lpstr>Munka6</vt:lpstr>
      <vt:lpstr>likvid</vt:lpstr>
      <vt:lpstr>Munka1</vt:lpstr>
      <vt:lpstr>létszám</vt:lpstr>
      <vt:lpstr>2019 évi 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'2019 évi létszám'!Nyomtatási_cím</vt:lpstr>
      <vt:lpstr>'ellátottak önk.'!Nyomtatási_cím</vt:lpstr>
      <vt:lpstr>'felh. bev.  '!Nyomtatási_cím</vt:lpstr>
      <vt:lpstr>'felhalm. kiad.  '!Nyomtatási_cím</vt:lpstr>
      <vt:lpstr>'kötváll. '!Nyomtatási_cím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2020-06-18T08:49:40Z</cp:lastPrinted>
  <dcterms:created xsi:type="dcterms:W3CDTF">2013-12-16T15:47:29Z</dcterms:created>
  <dcterms:modified xsi:type="dcterms:W3CDTF">2020-06-19T10:07:31Z</dcterms:modified>
</cp:coreProperties>
</file>