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mborimonika\Desktop\2017.szeptemberi rendeletmódosítás\"/>
    </mc:Choice>
  </mc:AlternateContent>
  <bookViews>
    <workbookView xWindow="0" yWindow="0" windowWidth="19200" windowHeight="10755" tabRatio="783" firstSheet="12" activeTab="17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 Önkormányzat" sheetId="66" r:id="rId5"/>
    <sheet name="5.sz.melléklet Közös Hivatal" sheetId="67" r:id="rId6"/>
    <sheet name="6.sz.melléklet" sheetId="68" r:id="rId7"/>
    <sheet name="7. sz. melléklet" sheetId="59" r:id="rId8"/>
    <sheet name="8. sz. melléklet" sheetId="60" r:id="rId9"/>
    <sheet name="9. sz. melléklet" sheetId="10" r:id="rId10"/>
    <sheet name="10. sz. melléklet" sheetId="11" r:id="rId11"/>
    <sheet name="11. sz. melléklet " sheetId="12" r:id="rId12"/>
    <sheet name="12. sz. melléklet" sheetId="13" r:id="rId13"/>
    <sheet name="13. sz. melléklet" sheetId="45" r:id="rId14"/>
    <sheet name="13. sz. melléklet 2. oldal" sheetId="48" r:id="rId15"/>
    <sheet name="14. sz. melléklet" sheetId="16" r:id="rId16"/>
    <sheet name="15. sz. melléklet" sheetId="53" r:id="rId17"/>
    <sheet name="16. sz. melléklet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" localSheetId="6">NA()</definedName>
    <definedName name="__c" localSheetId="7">#REF!</definedName>
    <definedName name="__c" localSheetId="8">#REF!</definedName>
    <definedName name="__c">#REF!</definedName>
    <definedName name="__xlnm.Print_Titles_1" localSheetId="6">"""'5. sz. melléklet - önkormányzat'[.#HIV!$4]:6"""</definedName>
    <definedName name="__xlnm.Print_Titles_1">"'5. sz. melléklet - önkormányzat'[.#HIV!$4]:6"</definedName>
    <definedName name="_c" localSheetId="6">NA()</definedName>
    <definedName name="_c" localSheetId="7">#REF!</definedName>
    <definedName name="_c" localSheetId="8">#REF!</definedName>
    <definedName name="_c">#REF!</definedName>
    <definedName name="Beszúrás" localSheetId="6">"SUM(#REF!,#REF!,#REF!,#REF!,#REF!,#REF!))"</definedName>
    <definedName name="Beszúrás" localSheetId="7">SUM(#REF!,#REF!,#REF!,#REF!,#REF!,#REF!)</definedName>
    <definedName name="Beszúrás" localSheetId="8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4">#REF!</definedName>
    <definedName name="Excel_BuiltIn__FilterDatabase_5" localSheetId="15">#REF!</definedName>
    <definedName name="Excel_BuiltIn__FilterDatabase_5" localSheetId="2">#REF!</definedName>
    <definedName name="Excel_BuiltIn__FilterDatabase_5" localSheetId="3">#REF!</definedName>
    <definedName name="Excel_BuiltIn__FilterDatabase_5" localSheetId="6">NA()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4">'[2]4. sz. melléklet'!#REF!</definedName>
    <definedName name="Excel_BuiltIn__FilterDatabase_5_1" localSheetId="6">"'[1]4. sz. melléklet'!#ref!"</definedName>
    <definedName name="Excel_BuiltIn__FilterDatabase_5_1" localSheetId="7">'[3]4. sz. melléklet'!#REF!</definedName>
    <definedName name="Excel_BuiltIn__FilterDatabase_5_1" localSheetId="8">'[3]4. sz. melléklet'!#REF!</definedName>
    <definedName name="Excel_BuiltIn__FilterDatabase_5_1">'[3]4. sz. melléklet'!#REF!</definedName>
    <definedName name="Excel_BuiltIn__FilterDatabase_5_10" localSheetId="6">"NA()"</definedName>
    <definedName name="Excel_BuiltIn__FilterDatabase_5_10">NA()</definedName>
    <definedName name="Excel_BuiltIn__FilterDatabase_5_11" localSheetId="14">'[4]4. sz. melléklet'!#REF!</definedName>
    <definedName name="Excel_BuiltIn__FilterDatabase_5_11" localSheetId="6">"'[2]4. sz. melléklet'!#ref!"</definedName>
    <definedName name="Excel_BuiltIn__FilterDatabase_5_11" localSheetId="7">'[5]4. sz. melléklet'!#REF!</definedName>
    <definedName name="Excel_BuiltIn__FilterDatabase_5_11" localSheetId="8">'[5]4. sz. melléklet'!#REF!</definedName>
    <definedName name="Excel_BuiltIn__FilterDatabase_5_11">'[5]4. sz. melléklet'!#REF!</definedName>
    <definedName name="Excel_BuiltIn__FilterDatabase_5_12" localSheetId="14">'[4]4. sz. melléklet'!#REF!</definedName>
    <definedName name="Excel_BuiltIn__FilterDatabase_5_12" localSheetId="6">"'[2]4. sz. melléklet'!#ref!"</definedName>
    <definedName name="Excel_BuiltIn__FilterDatabase_5_12" localSheetId="7">'[5]4. sz. melléklet'!#REF!</definedName>
    <definedName name="Excel_BuiltIn__FilterDatabase_5_12" localSheetId="8">'[5]4. sz. melléklet'!#REF!</definedName>
    <definedName name="Excel_BuiltIn__FilterDatabase_5_12">'[5]4.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4">#REF!</definedName>
    <definedName name="Excel_BuiltIn__FilterDatabase_5_13" localSheetId="15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6">NA()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4">'[6]4. sz. melléklet'!#REF!</definedName>
    <definedName name="Excel_BuiltIn__FilterDatabase_5_15" localSheetId="6">"'[3]4. sz. melléklet'!#ref!"</definedName>
    <definedName name="Excel_BuiltIn__FilterDatabase_5_15" localSheetId="7">'[7]4. sz. melléklet'!#REF!</definedName>
    <definedName name="Excel_BuiltIn__FilterDatabase_5_15" localSheetId="8">'[7]4. sz. melléklet'!#REF!</definedName>
    <definedName name="Excel_BuiltIn__FilterDatabase_5_15">'[7]4.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4">#REF!</definedName>
    <definedName name="Excel_BuiltIn__FilterDatabase_5_17" localSheetId="15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6">NA()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4">'[8]4.A sz. melléklet'!#REF!</definedName>
    <definedName name="Excel_BuiltIn__FilterDatabase_5_5" localSheetId="6">"'[4]4.a sz. melléklet'!#ref!"</definedName>
    <definedName name="Excel_BuiltIn__FilterDatabase_5_5" localSheetId="7">'[9]4.A sz. melléklet'!#REF!</definedName>
    <definedName name="Excel_BuiltIn__FilterDatabase_5_5" localSheetId="8">'[9]4.A sz. melléklet'!#REF!</definedName>
    <definedName name="Excel_BuiltIn__FilterDatabase_5_5">'[9]4.A sz. melléklet'!#REF!</definedName>
    <definedName name="Excel_BuiltIn__FilterDatabase_5_6" localSheetId="14">'[8]4.B-C. sz. melléklet'!#REF!</definedName>
    <definedName name="Excel_BuiltIn__FilterDatabase_5_6" localSheetId="6">"'[4]4.b-c. sz. melléklet'!#ref!"</definedName>
    <definedName name="Excel_BuiltIn__FilterDatabase_5_6" localSheetId="7">'[9]4.B-C. sz. melléklet'!#REF!</definedName>
    <definedName name="Excel_BuiltIn__FilterDatabase_5_6" localSheetId="8">'[9]4.B-C. sz. melléklet'!#REF!</definedName>
    <definedName name="Excel_BuiltIn__FilterDatabase_5_6">'[9]4.B-C. sz. melléklet'!#REF!</definedName>
    <definedName name="Excel_BuiltIn__FilterDatabase_5_7" localSheetId="6">"NA()"</definedName>
    <definedName name="Excel_BuiltIn__FilterDatabase_5_7">NA()</definedName>
    <definedName name="Excel_BuiltIn__FilterDatabase_5_8" localSheetId="14">'[4]4. sz. melléklet'!#REF!</definedName>
    <definedName name="Excel_BuiltIn__FilterDatabase_5_8" localSheetId="6">"'[2]4. sz. melléklet'!#ref!"</definedName>
    <definedName name="Excel_BuiltIn__FilterDatabase_5_8" localSheetId="7">'[5]4. sz. melléklet'!#REF!</definedName>
    <definedName name="Excel_BuiltIn__FilterDatabase_5_8" localSheetId="8">'[5]4. sz. melléklet'!#REF!</definedName>
    <definedName name="Excel_BuiltIn__FilterDatabase_5_8">'[5]4. sz. melléklet'!#REF!</definedName>
    <definedName name="Excel_BuiltIn__FilterDatabase_5_9" localSheetId="14">'[4]4. sz. melléklet'!#REF!</definedName>
    <definedName name="Excel_BuiltIn__FilterDatabase_5_9" localSheetId="6">"'[2]4. sz. melléklet'!#ref!"</definedName>
    <definedName name="Excel_BuiltIn__FilterDatabase_5_9" localSheetId="7">'[5]4. sz. melléklet'!#REF!</definedName>
    <definedName name="Excel_BuiltIn__FilterDatabase_5_9" localSheetId="8">'[5]4. sz. melléklet'!#REF!</definedName>
    <definedName name="Excel_BuiltIn__FilterDatabase_5_9">'[5]4.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4">#REF!</definedName>
    <definedName name="Excel_BuiltIn_Print_Area_1" localSheetId="15">'14. sz. melléklet'!#REF!</definedName>
    <definedName name="Excel_BuiltIn_Print_Area_1" localSheetId="2">#REF!</definedName>
    <definedName name="Excel_BuiltIn_Print_Area_1" localSheetId="3">#REF!</definedName>
    <definedName name="Excel_BuiltIn_Print_Area_1" localSheetId="6">NA()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 localSheetId="6">"NA()"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4">#REF!</definedName>
    <definedName name="Excel_BuiltIn_Print_Area_1_15" localSheetId="15">#REF!</definedName>
    <definedName name="Excel_BuiltIn_Print_Area_1_15" localSheetId="2">#REF!</definedName>
    <definedName name="Excel_BuiltIn_Print_Area_1_15" localSheetId="3">#REF!</definedName>
    <definedName name="Excel_BuiltIn_Print_Area_1_15" localSheetId="6">NA()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4">'[8]18.'!#REF!</definedName>
    <definedName name="Excel_BuiltIn_Print_Area_1_21" localSheetId="6">"'[4]18.'!#ref!"</definedName>
    <definedName name="Excel_BuiltIn_Print_Area_1_21" localSheetId="7">'[9]18.'!#REF!</definedName>
    <definedName name="Excel_BuiltIn_Print_Area_1_21" localSheetId="8">'[9]18.'!#REF!</definedName>
    <definedName name="Excel_BuiltIn_Print_Area_1_21">'[9]18.'!#REF!</definedName>
    <definedName name="Excel_BuiltIn_Print_Area_1_22" localSheetId="14">'[8]19.'!#REF!</definedName>
    <definedName name="Excel_BuiltIn_Print_Area_1_22" localSheetId="6">"'[4]19.'!#ref!"</definedName>
    <definedName name="Excel_BuiltIn_Print_Area_1_22" localSheetId="7">'[9]19.'!#REF!</definedName>
    <definedName name="Excel_BuiltIn_Print_Area_1_22" localSheetId="8">'[9]19.'!#REF!</definedName>
    <definedName name="Excel_BuiltIn_Print_Area_1_22">'[9]19.'!#REF!</definedName>
    <definedName name="Excel_BuiltIn_Print_Area_2" localSheetId="10">#REF!</definedName>
    <definedName name="Excel_BuiltIn_Print_Area_2" localSheetId="11">#REF!</definedName>
    <definedName name="Excel_BuiltIn_Print_Area_2" localSheetId="14">#REF!</definedName>
    <definedName name="Excel_BuiltIn_Print_Area_2" localSheetId="15">#REF!</definedName>
    <definedName name="Excel_BuiltIn_Print_Area_2" localSheetId="2">#REF!</definedName>
    <definedName name="Excel_BuiltIn_Print_Area_2" localSheetId="3">#REF!</definedName>
    <definedName name="Excel_BuiltIn_Print_Area_2" localSheetId="6">NA()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4">#REF!</definedName>
    <definedName name="Excel_BuiltIn_Print_Area_2_1" localSheetId="15">#REF!</definedName>
    <definedName name="Excel_BuiltIn_Print_Area_2_1" localSheetId="2">#REF!</definedName>
    <definedName name="Excel_BuiltIn_Print_Area_2_1" localSheetId="3">#REF!</definedName>
    <definedName name="Excel_BuiltIn_Print_Area_2_1" localSheetId="6">NA()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4">#REF!</definedName>
    <definedName name="Excel_BuiltIn_Print_Area_2_15" localSheetId="15">#REF!</definedName>
    <definedName name="Excel_BuiltIn_Print_Area_2_15" localSheetId="2">#REF!</definedName>
    <definedName name="Excel_BuiltIn_Print_Area_2_15" localSheetId="3">#REF!</definedName>
    <definedName name="Excel_BuiltIn_Print_Area_2_15" localSheetId="6">NA()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4">#REF!</definedName>
    <definedName name="Excel_BuiltIn_Print_Area_2_5" localSheetId="15">#REF!</definedName>
    <definedName name="Excel_BuiltIn_Print_Area_2_5" localSheetId="2">#REF!</definedName>
    <definedName name="Excel_BuiltIn_Print_Area_2_5" localSheetId="3">#REF!</definedName>
    <definedName name="Excel_BuiltIn_Print_Area_2_5" localSheetId="6">NA()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4">#REF!</definedName>
    <definedName name="Excel_BuiltIn_Print_Area_2_6" localSheetId="15">#REF!</definedName>
    <definedName name="Excel_BuiltIn_Print_Area_2_6" localSheetId="2">#REF!</definedName>
    <definedName name="Excel_BuiltIn_Print_Area_2_6" localSheetId="3">#REF!</definedName>
    <definedName name="Excel_BuiltIn_Print_Area_2_6" localSheetId="6">NA()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4">'[8]4.B-C. sz. melléklet'!#REF!</definedName>
    <definedName name="Excel_BuiltIn_Print_Titles_6" localSheetId="6">"'[4]4.b-c. sz. melléklet'!#ref!"</definedName>
    <definedName name="Excel_BuiltIn_Print_Titles_6" localSheetId="7">'[9]4.B-C. sz. melléklet'!#REF!</definedName>
    <definedName name="Excel_BuiltIn_Print_Titles_6" localSheetId="8">'[9]4.B-C. sz. melléklet'!#REF!</definedName>
    <definedName name="Excel_BuiltIn_Print_Titles_6">'[9]4.B-C. sz. melléklet'!#REF!</definedName>
    <definedName name="fff" localSheetId="14">#REF!</definedName>
    <definedName name="fff" localSheetId="6">NA()</definedName>
    <definedName name="fff" localSheetId="7">#REF!</definedName>
    <definedName name="fff" localSheetId="8">#REF!</definedName>
    <definedName name="fff">#REF!</definedName>
    <definedName name="melléklet" localSheetId="6">"SUM(#REF!)-#REF!-#REF!-#REF!)"</definedName>
    <definedName name="melléklet" localSheetId="7">SUM(#REF!)-#REF!-#REF!-#REF!</definedName>
    <definedName name="melléklet" localSheetId="8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16">'15. sz. melléklet'!$6:$7</definedName>
    <definedName name="_xlnm.Print_Titles" localSheetId="5">'5.sz.melléklet Közös Hivatal'!$6:$8</definedName>
    <definedName name="_xlnm.Print_Titles" localSheetId="4">'5.sz.melléklet Önkormányzat'!$4:$6</definedName>
    <definedName name="_xlnm.Print_Titles" localSheetId="7">'7. sz. melléklet'!$4:$4</definedName>
    <definedName name="_xlnm.Print_Area" localSheetId="0">'1. sz. melléklet'!$A$1:$J$54</definedName>
    <definedName name="_xlnm.Print_Area" localSheetId="10">'10. sz. melléklet'!$A$1:$F$109</definedName>
    <definedName name="_xlnm.Print_Area" localSheetId="11">'11. sz. melléklet '!$A$1:$F$98</definedName>
    <definedName name="_xlnm.Print_Area" localSheetId="12">'12. sz. melléklet'!$A$1:$E$41</definedName>
    <definedName name="_xlnm.Print_Area" localSheetId="14">'13. sz. melléklet 2. oldal'!$A$1:$L$18</definedName>
    <definedName name="_xlnm.Print_Area" localSheetId="15">'14. sz. melléklet'!$A$1:$H$17</definedName>
    <definedName name="_xlnm.Print_Area" localSheetId="16">'15. sz. melléklet'!$A$1:$H$95</definedName>
    <definedName name="_xlnm.Print_Area" localSheetId="17">'16. sz. melléklet'!$A$1:$D$30</definedName>
    <definedName name="_xlnm.Print_Area" localSheetId="1">'2. sz. melléklet'!$A$1:$H$68</definedName>
    <definedName name="_xlnm.Print_Area" localSheetId="2">'3. sz. melléklet'!$A$1:$M$49</definedName>
    <definedName name="_xlnm.Print_Area" localSheetId="3">'4.sz. melléklet'!$C$1:$O$33</definedName>
    <definedName name="_xlnm.Print_Area" localSheetId="7">'7. sz. melléklet'!$A$1:$I$129</definedName>
    <definedName name="_xlnm.Print_Area" localSheetId="9">'9. sz. melléklet'!$A$1:$E$22</definedName>
    <definedName name="Print_Area" localSheetId="6">#REF!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4">SUM(#REF!,#REF!,#REF!,#REF!,#REF!,#REF!)</definedName>
    <definedName name="SHARED_FORMULA_1_10_1_10_2" localSheetId="6">"SUM(#REF!,#REF!,#REF!,#REF!,#REF!,#REF!))"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4">SUM(#REF!,#REF!,#REF!)</definedName>
    <definedName name="SHARED_FORMULA_1_26_1_26_2" localSheetId="6">"SUM(#REF!,#REF!,#REF!))"</definedName>
    <definedName name="SHARED_FORMULA_1_26_1_26_2" localSheetId="7">SUM(#REF!,#REF!,#REF!)</definedName>
    <definedName name="SHARED_FORMULA_1_26_1_26_2" localSheetId="8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4">SUM(#REF!)</definedName>
    <definedName name="SHARED_FORMULA_1_38_1_38_8" localSheetId="6">"SUM(#REF!))"</definedName>
    <definedName name="SHARED_FORMULA_1_38_1_38_8" localSheetId="7">SUM(#REF!)</definedName>
    <definedName name="SHARED_FORMULA_1_38_1_38_8" localSheetId="8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4">SUM(#REF!,#REF!)</definedName>
    <definedName name="SHARED_FORMULA_1_42_1_42_8" localSheetId="6">"SUM(#REF!,#REF!))"</definedName>
    <definedName name="SHARED_FORMULA_1_42_1_42_8" localSheetId="7">SUM(#REF!,#REF!)</definedName>
    <definedName name="SHARED_FORMULA_1_42_1_42_8" localSheetId="8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4">SUM(#REF!+#REF!+#REF!)</definedName>
    <definedName name="SHARED_FORMULA_10_41_10_41_2" localSheetId="6">"SUM(#REF!+#REF!+#REF!))"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4">SUM(#REF!+#REF!+#REF!)</definedName>
    <definedName name="SHARED_FORMULA_10_5_10_5_2" localSheetId="6">"SUM(#REF!+#REF!+#REF!))"</definedName>
    <definedName name="SHARED_FORMULA_10_5_10_5_2" localSheetId="7">SUM(#REF!+#REF!+#REF!)</definedName>
    <definedName name="SHARED_FORMULA_10_5_10_5_2" localSheetId="8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4">SUM(#REF!+#REF!+#REF!)</definedName>
    <definedName name="SHARED_FORMULA_11_40_11_40_2" localSheetId="6">"SUM(#REF!+#REF!+#REF!))"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4">SUM(#REF!+#REF!+#REF!)</definedName>
    <definedName name="SHARED_FORMULA_11_5_11_5_2" localSheetId="6">"SUM(#REF!+#REF!+#REF!))"</definedName>
    <definedName name="SHARED_FORMULA_11_5_11_5_2" localSheetId="7">SUM(#REF!+#REF!+#REF!)</definedName>
    <definedName name="SHARED_FORMULA_11_5_11_5_2" localSheetId="8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4">SUM(#REF!+#REF!+#REF!)</definedName>
    <definedName name="SHARED_FORMULA_12_13_12_13_3" localSheetId="6">"SUM(#REF!+#REF!+#REF!))"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4">SUM(#REF!)-#REF!-#REF!-#REF!</definedName>
    <definedName name="SHARED_FORMULA_12_133_12_133_5" localSheetId="6">"SUM(#REF!)-#REF!-#REF!-#REF!)"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4">SUM(#REF!+#REF!+#REF!)</definedName>
    <definedName name="SHARED_FORMULA_12_40_12_40_2" localSheetId="6">"SUM(#REF!+#REF!+#REF!))"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4">SUM(#REF!+#REF!+#REF!)</definedName>
    <definedName name="SHARED_FORMULA_12_5_12_5_2" localSheetId="6">"SUM(#REF!+#REF!+#REF!))"</definedName>
    <definedName name="SHARED_FORMULA_12_5_12_5_2" localSheetId="7">SUM(#REF!+#REF!+#REF!)</definedName>
    <definedName name="SHARED_FORMULA_12_5_12_5_2" localSheetId="8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4">SUM(#REF!+#REF!+#REF!)</definedName>
    <definedName name="SHARED_FORMULA_12_5_12_5_3" localSheetId="6">"SUM(#REF!+#REF!+#REF!))"</definedName>
    <definedName name="SHARED_FORMULA_12_5_12_5_3" localSheetId="7">SUM(#REF!+#REF!+#REF!)</definedName>
    <definedName name="SHARED_FORMULA_12_5_12_5_3" localSheetId="8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4">#REF!/#REF!*100</definedName>
    <definedName name="SHARED_FORMULA_12_6_12_6_0" localSheetId="6">"#REF!/#REF!*100"</definedName>
    <definedName name="SHARED_FORMULA_12_6_12_6_0" localSheetId="7">#REF!/#REF!*100</definedName>
    <definedName name="SHARED_FORMULA_12_6_12_6_0" localSheetId="8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4">SUM(#REF!)-#REF!</definedName>
    <definedName name="SHARED_FORMULA_13_105_13_105_5" localSheetId="6">"SUM(#REF!)-#REF!)"</definedName>
    <definedName name="SHARED_FORMULA_13_105_13_105_5" localSheetId="7">SUM(#REF!)-#REF!</definedName>
    <definedName name="SHARED_FORMULA_13_105_13_105_5" localSheetId="8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4">SUM(#REF!)-#REF!</definedName>
    <definedName name="SHARED_FORMULA_13_3_13_3_5" localSheetId="6">"SUM(#REF!)-#REF!)"</definedName>
    <definedName name="SHARED_FORMULA_13_3_13_3_5" localSheetId="7">SUM(#REF!)-#REF!</definedName>
    <definedName name="SHARED_FORMULA_13_3_13_3_5" localSheetId="8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4">SUM(#REF!)-#REF!</definedName>
    <definedName name="SHARED_FORMULA_13_41_13_41_5" localSheetId="6">"SUM(#REF!)-#REF!)"</definedName>
    <definedName name="SHARED_FORMULA_13_41_13_41_5" localSheetId="7">SUM(#REF!)-#REF!</definedName>
    <definedName name="SHARED_FORMULA_13_41_13_41_5" localSheetId="8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4">SUM(#REF!)-#REF!</definedName>
    <definedName name="SHARED_FORMULA_13_73_13_73_5" localSheetId="6">"SUM(#REF!)-#REF!)"</definedName>
    <definedName name="SHARED_FORMULA_13_73_13_73_5" localSheetId="7">SUM(#REF!)-#REF!</definedName>
    <definedName name="SHARED_FORMULA_13_73_13_73_5" localSheetId="8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4">SUM(#REF!+#REF!+#REF!)</definedName>
    <definedName name="SHARED_FORMULA_13_9_13_9_3" localSheetId="6">"SUM(#REF!+#REF!+#REF!))"</definedName>
    <definedName name="SHARED_FORMULA_13_9_13_9_3" localSheetId="7">SUM(#REF!+#REF!+#REF!)</definedName>
    <definedName name="SHARED_FORMULA_13_9_13_9_3" localSheetId="8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4">#REF!</definedName>
    <definedName name="SHARED_FORMULA_14_102_14_102_5" localSheetId="6">NA()</definedName>
    <definedName name="SHARED_FORMULA_14_102_14_102_5" localSheetId="7">#REF!</definedName>
    <definedName name="SHARED_FORMULA_14_102_14_102_5" localSheetId="8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4">#REF!+#REF!+#REF!+#REF!</definedName>
    <definedName name="SHARED_FORMULA_14_121_14_121_5" localSheetId="6">"#REF!+#REF!+#REF!+#REF!"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4">#REF!+#REF!+#REF!+#REF!+#REF!+#REF!+#REF!+#REF!+#REF!+#REF!+#REF!+#REF!+#REF!+#REF!+#REF!+#REF!+#REF!+#REF!+#REF!+#REF!+#REF!+#REF!+#REF!</definedName>
    <definedName name="SHARED_FORMULA_14_131_14_131_5" localSheetId="6">"#REF!+#REF!+#REF!+#REF!+#REF!+#REF!+#REF!+#REF!+#REF!+#REF!+#REF!+#REF!+#REF!+#REF!+#REF!+#REF!+#REF!+#REF!+#REF!+#REF!+#REF!+#REF!+#REF!"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4">#REF!+#REF!</definedName>
    <definedName name="SHARED_FORMULA_14_150_14_150_5" localSheetId="6">"#REF!+#REF!"</definedName>
    <definedName name="SHARED_FORMULA_14_150_14_150_5" localSheetId="7">#REF!+#REF!</definedName>
    <definedName name="SHARED_FORMULA_14_150_14_150_5" localSheetId="8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4">#REF!-#REF!</definedName>
    <definedName name="SHARED_FORMULA_14_151_14_151_5" localSheetId="6">"#REF!-#REF!"</definedName>
    <definedName name="SHARED_FORMULA_14_151_14_151_5" localSheetId="7">#REF!-#REF!</definedName>
    <definedName name="SHARED_FORMULA_14_151_14_151_5" localSheetId="8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4">#REF!+#REF!+#REF!+#REF!</definedName>
    <definedName name="SHARED_FORMULA_14_71_14_71_5" localSheetId="6">"#REF!+#REF!+#REF!+#REF!"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4">#REF!+#REF!+#REF!+#REF!</definedName>
    <definedName name="SHARED_FORMULA_14_72_14_72_5" localSheetId="6">"#REF!+#REF!+#REF!+#REF!"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4">#REF!+#REF!+#REF!+#REF!</definedName>
    <definedName name="SHARED_FORMULA_14_73_14_73_5" localSheetId="6">"#REF!+#REF!+#REF!+#REF!"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4">#REF!+#REF!+#REF!+#REF!</definedName>
    <definedName name="SHARED_FORMULA_14_74_14_74_5" localSheetId="6">"#REF!+#REF!+#REF!+#REF!"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4">#REF!+#REF!+#REF!+#REF!</definedName>
    <definedName name="SHARED_FORMULA_14_75_14_75_5" localSheetId="6">"#REF!+#REF!+#REF!+#REF!"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4">#REF!+#REF!</definedName>
    <definedName name="SHARED_FORMULA_14_86_14_86_5" localSheetId="6">"#REF!+#REF!"</definedName>
    <definedName name="SHARED_FORMULA_14_86_14_86_5" localSheetId="7">#REF!+#REF!</definedName>
    <definedName name="SHARED_FORMULA_14_86_14_86_5" localSheetId="8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4">SUM(#REF!+#REF!+#REF!)</definedName>
    <definedName name="SHARED_FORMULA_14_9_14_9_3" localSheetId="6">"SUM(#REF!+#REF!+#REF!))"</definedName>
    <definedName name="SHARED_FORMULA_14_9_14_9_3" localSheetId="7">SUM(#REF!+#REF!+#REF!)</definedName>
    <definedName name="SHARED_FORMULA_14_9_14_9_3" localSheetId="8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4">#REF!</definedName>
    <definedName name="SHARED_FORMULA_16_112_16_112_5" localSheetId="6">NA()</definedName>
    <definedName name="SHARED_FORMULA_16_112_16_112_5" localSheetId="7">#REF!</definedName>
    <definedName name="SHARED_FORMULA_16_112_16_112_5" localSheetId="8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4">#REF!</definedName>
    <definedName name="SHARED_FORMULA_17_108_17_108_5" localSheetId="6">NA()</definedName>
    <definedName name="SHARED_FORMULA_17_108_17_108_5" localSheetId="7">#REF!</definedName>
    <definedName name="SHARED_FORMULA_17_108_17_108_5" localSheetId="8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4">#REF!</definedName>
    <definedName name="SHARED_FORMULA_17_117_17_117_5" localSheetId="6">NA()</definedName>
    <definedName name="SHARED_FORMULA_17_117_17_117_5" localSheetId="7">#REF!</definedName>
    <definedName name="SHARED_FORMULA_17_117_17_117_5" localSheetId="8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4">#REF!</definedName>
    <definedName name="SHARED_FORMULA_17_127_17_127_5" localSheetId="6">NA()</definedName>
    <definedName name="SHARED_FORMULA_17_127_17_127_5" localSheetId="7">#REF!</definedName>
    <definedName name="SHARED_FORMULA_17_127_17_127_5" localSheetId="8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4">#REF!</definedName>
    <definedName name="SHARED_FORMULA_17_22_17_22_5" localSheetId="6">NA()</definedName>
    <definedName name="SHARED_FORMULA_17_22_17_22_5" localSheetId="7">#REF!</definedName>
    <definedName name="SHARED_FORMULA_17_22_17_22_5" localSheetId="8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4">#REF!</definedName>
    <definedName name="SHARED_FORMULA_17_27_17_27_5" localSheetId="6">NA()</definedName>
    <definedName name="SHARED_FORMULA_17_27_17_27_5" localSheetId="7">#REF!</definedName>
    <definedName name="SHARED_FORMULA_17_27_17_27_5" localSheetId="8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4">#REF!</definedName>
    <definedName name="SHARED_FORMULA_17_32_17_32_5" localSheetId="6">NA()</definedName>
    <definedName name="SHARED_FORMULA_17_32_17_32_5" localSheetId="7">#REF!</definedName>
    <definedName name="SHARED_FORMULA_17_32_17_32_5" localSheetId="8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4">#REF!</definedName>
    <definedName name="SHARED_FORMULA_17_37_17_37_5" localSheetId="6">NA()</definedName>
    <definedName name="SHARED_FORMULA_17_37_17_37_5" localSheetId="7">#REF!</definedName>
    <definedName name="SHARED_FORMULA_17_37_17_37_5" localSheetId="8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4">#REF!</definedName>
    <definedName name="SHARED_FORMULA_17_4_17_4_5" localSheetId="6">NA()</definedName>
    <definedName name="SHARED_FORMULA_17_4_17_4_5" localSheetId="7">#REF!</definedName>
    <definedName name="SHARED_FORMULA_17_4_17_4_5" localSheetId="8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4">#REF!</definedName>
    <definedName name="SHARED_FORMULA_17_43_17_43_5" localSheetId="6">NA()</definedName>
    <definedName name="SHARED_FORMULA_17_43_17_43_5" localSheetId="7">#REF!</definedName>
    <definedName name="SHARED_FORMULA_17_43_17_43_5" localSheetId="8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4">#REF!</definedName>
    <definedName name="SHARED_FORMULA_17_47_17_47_5" localSheetId="6">NA()</definedName>
    <definedName name="SHARED_FORMULA_17_47_17_47_5" localSheetId="7">#REF!</definedName>
    <definedName name="SHARED_FORMULA_17_47_17_47_5" localSheetId="8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4">#REF!</definedName>
    <definedName name="SHARED_FORMULA_17_52_17_52_5" localSheetId="6">NA()</definedName>
    <definedName name="SHARED_FORMULA_17_52_17_52_5" localSheetId="7">#REF!</definedName>
    <definedName name="SHARED_FORMULA_17_52_17_52_5" localSheetId="8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4">#REF!</definedName>
    <definedName name="SHARED_FORMULA_17_57_17_57_5" localSheetId="6">NA()</definedName>
    <definedName name="SHARED_FORMULA_17_57_17_57_5" localSheetId="7">#REF!</definedName>
    <definedName name="SHARED_FORMULA_17_57_17_57_5" localSheetId="8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4">#REF!</definedName>
    <definedName name="SHARED_FORMULA_17_62_17_62_5" localSheetId="6">NA()</definedName>
    <definedName name="SHARED_FORMULA_17_62_17_62_5" localSheetId="7">#REF!</definedName>
    <definedName name="SHARED_FORMULA_17_62_17_62_5" localSheetId="8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4">#REF!</definedName>
    <definedName name="SHARED_FORMULA_17_67_17_67_5" localSheetId="6">NA()</definedName>
    <definedName name="SHARED_FORMULA_17_67_17_67_5" localSheetId="7">#REF!</definedName>
    <definedName name="SHARED_FORMULA_17_67_17_67_5" localSheetId="8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4">#REF!</definedName>
    <definedName name="SHARED_FORMULA_17_77_17_77_5" localSheetId="6">NA()</definedName>
    <definedName name="SHARED_FORMULA_17_77_17_77_5" localSheetId="7">#REF!</definedName>
    <definedName name="SHARED_FORMULA_17_77_17_77_5" localSheetId="8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4">#REF!</definedName>
    <definedName name="SHARED_FORMULA_17_82_17_82_5" localSheetId="6">NA()</definedName>
    <definedName name="SHARED_FORMULA_17_82_17_82_5" localSheetId="7">#REF!</definedName>
    <definedName name="SHARED_FORMULA_17_82_17_82_5" localSheetId="8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4">#REF!</definedName>
    <definedName name="SHARED_FORMULA_17_9_17_9_5" localSheetId="6">NA()</definedName>
    <definedName name="SHARED_FORMULA_17_9_17_9_5" localSheetId="7">#REF!</definedName>
    <definedName name="SHARED_FORMULA_17_9_17_9_5" localSheetId="8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4">#REF!</definedName>
    <definedName name="SHARED_FORMULA_17_92_17_92_5" localSheetId="6">NA()</definedName>
    <definedName name="SHARED_FORMULA_17_92_17_92_5" localSheetId="7">#REF!</definedName>
    <definedName name="SHARED_FORMULA_17_92_17_92_5" localSheetId="8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4">#REF!</definedName>
    <definedName name="SHARED_FORMULA_17_97_17_97_5" localSheetId="6">NA()</definedName>
    <definedName name="SHARED_FORMULA_17_97_17_97_5" localSheetId="7">#REF!</definedName>
    <definedName name="SHARED_FORMULA_17_97_17_97_5" localSheetId="8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4">#REF!</definedName>
    <definedName name="SHARED_FORMULA_2_102_2_102_5" localSheetId="6">NA()</definedName>
    <definedName name="SHARED_FORMULA_2_102_2_102_5" localSheetId="7">#REF!</definedName>
    <definedName name="SHARED_FORMULA_2_102_2_102_5" localSheetId="8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4">#REF!</definedName>
    <definedName name="SHARED_FORMULA_2_107_2_107_5" localSheetId="6">NA()</definedName>
    <definedName name="SHARED_FORMULA_2_107_2_107_5" localSheetId="7">#REF!</definedName>
    <definedName name="SHARED_FORMULA_2_107_2_107_5" localSheetId="8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4">#REF!</definedName>
    <definedName name="SHARED_FORMULA_2_112_2_112_5" localSheetId="6">NA()</definedName>
    <definedName name="SHARED_FORMULA_2_112_2_112_5" localSheetId="7">#REF!</definedName>
    <definedName name="SHARED_FORMULA_2_112_2_112_5" localSheetId="8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4">#REF!+#REF!+#REF!+#REF!</definedName>
    <definedName name="SHARED_FORMULA_2_121_2_121_5" localSheetId="6">"#REF!+#REF!+#REF!+#REF!"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4">#REF!+#REF!+#REF!+#REF!</definedName>
    <definedName name="SHARED_FORMULA_2_122_2_122_5" localSheetId="6">"#REF!+#REF!+#REF!+#REF!"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4">#REF!+#REF!+#REF!+#REF!</definedName>
    <definedName name="SHARED_FORMULA_2_123_2_123_5" localSheetId="6">"#REF!+#REF!+#REF!+#REF!"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4">#REF!+#REF!+#REF!+#REF!</definedName>
    <definedName name="SHARED_FORMULA_2_124_2_124_5" localSheetId="6">"#REF!+#REF!+#REF!+#REF!"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4">#REF!+#REF!+#REF!+#REF!</definedName>
    <definedName name="SHARED_FORMULA_2_125_2_125_5" localSheetId="6">"#REF!+#REF!+#REF!+#REF!"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4">#REF!</definedName>
    <definedName name="SHARED_FORMULA_2_127_2_127_5" localSheetId="6">NA()</definedName>
    <definedName name="SHARED_FORMULA_2_127_2_127_5" localSheetId="7">#REF!</definedName>
    <definedName name="SHARED_FORMULA_2_127_2_127_5" localSheetId="8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4">#REF!+#REF!+#REF!+#REF!+#REF!+#REF!+#REF!+#REF!+#REF!+#REF!+#REF!+#REF!+#REF!+#REF!+#REF!+#REF!+#REF!+#REF!+#REF!+#REF!+#REF!+#REF!+#REF!</definedName>
    <definedName name="SHARED_FORMULA_2_131_2_131_5" localSheetId="6">"#REF!+#REF!+#REF!+#REF!+#REF!+#REF!+#REF!+#REF!+#REF!+#REF!+#REF!+#REF!+#REF!+#REF!+#REF!+#REF!+#REF!+#REF!+#REF!+#REF!+#REF!+#REF!+#REF!"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4">#REF!+#REF!+#REF!+#REF!+#REF!+#REF!+#REF!+#REF!+#REF!+#REF!+#REF!+#REF!+#REF!+#REF!+#REF!+#REF!+#REF!+#REF!+#REF!+#REF!+#REF!+#REF!+#REF!</definedName>
    <definedName name="SHARED_FORMULA_2_132_2_132_5" localSheetId="6">"#REF!+#REF!+#REF!+#REF!+#REF!+#REF!+#REF!+#REF!+#REF!+#REF!+#REF!+#REF!+#REF!+#REF!+#REF!+#REF!+#REF!+#REF!+#REF!+#REF!+#REF!+#REF!+#REF!"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4">#REF!+#REF!+#REF!+#REF!+#REF!+#REF!+#REF!+#REF!+#REF!+#REF!+#REF!+#REF!+#REF!+#REF!+#REF!+#REF!+#REF!+#REF!+#REF!+#REF!+#REF!+#REF!+#REF!</definedName>
    <definedName name="SHARED_FORMULA_2_134_2_134_5" localSheetId="6">"#REF!+#REF!+#REF!+#REF!+#REF!+#REF!+#REF!+#REF!+#REF!+#REF!+#REF!+#REF!+#REF!+#REF!+#REF!+#REF!+#REF!+#REF!+#REF!+#REF!+#REF!+#REF!+#REF!"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4">#REF!+#REF!+#REF!+#REF!+#REF!+#REF!+#REF!+#REF!+#REF!+#REF!+#REF!+#REF!+#REF!+#REF!+#REF!+#REF!+#REF!+#REF!+#REF!+#REF!+#REF!+#REF!+#REF!</definedName>
    <definedName name="SHARED_FORMULA_2_137_2_137_5" localSheetId="6">"#REF!+#REF!+#REF!+#REF!+#REF!+#REF!+#REF!+#REF!+#REF!+#REF!+#REF!+#REF!+#REF!+#REF!+#REF!+#REF!+#REF!+#REF!+#REF!+#REF!+#REF!+#REF!+#REF!"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4">#REF!</definedName>
    <definedName name="SHARED_FORMULA_2_14_2_14_5" localSheetId="6">NA()</definedName>
    <definedName name="SHARED_FORMULA_2_14_2_14_5" localSheetId="7">#REF!</definedName>
    <definedName name="SHARED_FORMULA_2_14_2_14_5" localSheetId="8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4">#REF!+#REF!+#REF!+#REF!+#REF!+#REF!+#REF!+#REF!+#REF!+#REF!+#REF!+#REF!+#REF!+#REF!+#REF!+#REF!+#REF!+#REF!+#REF!+#REF!+#REF!+#REF!</definedName>
    <definedName name="SHARED_FORMULA_2_140_2_140_5" localSheetId="6">"#REF!+#REF!+#REF!+#REF!+#REF!+#REF!+#REF!+#REF!+#REF!+#REF!+#REF!+#REF!+#REF!+#REF!+#REF!+#REF!+#REF!+#REF!+#REF!+#REF!+#REF!+#REF!"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4">#REF!+#REF!+#REF!+#REF!+#REF!+#REF!+#REF!+#REF!+#REF!+#REF!+#REF!+#REF!+#REF!+#REF!+#REF!+#REF!+#REF!+#REF!+#REF!+#REF!+#REF!+#REF!</definedName>
    <definedName name="SHARED_FORMULA_2_141_2_141_5" localSheetId="6">"#REF!+#REF!+#REF!+#REF!+#REF!+#REF!+#REF!+#REF!+#REF!+#REF!+#REF!+#REF!+#REF!+#REF!+#REF!+#REF!+#REF!+#REF!+#REF!+#REF!+#REF!+#REF!"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4">#REF!+#REF!+#REF!+#REF!+#REF!+#REF!+#REF!+#REF!+#REF!+#REF!+#REF!+#REF!+#REF!+#REF!+#REF!+#REF!+#REF!+#REF!+#REF!+#REF!+#REF!+#REF!</definedName>
    <definedName name="SHARED_FORMULA_2_142_2_142_5" localSheetId="6">"#REF!+#REF!+#REF!+#REF!+#REF!+#REF!+#REF!+#REF!+#REF!+#REF!+#REF!+#REF!+#REF!+#REF!+#REF!+#REF!+#REF!+#REF!+#REF!+#REF!+#REF!+#REF!"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4">#REF!+#REF!+#REF!+#REF!+#REF!+#REF!+#REF!+#REF!+#REF!+#REF!+#REF!+#REF!+#REF!+#REF!+#REF!+#REF!+#REF!+#REF!+#REF!+#REF!+#REF!+#REF!</definedName>
    <definedName name="SHARED_FORMULA_2_143_2_143_5" localSheetId="6">"#REF!+#REF!+#REF!+#REF!+#REF!+#REF!+#REF!+#REF!+#REF!+#REF!+#REF!+#REF!+#REF!+#REF!+#REF!+#REF!+#REF!+#REF!+#REF!+#REF!+#REF!+#REF!"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4">#REF!+#REF!+#REF!+#REF!+#REF!+#REF!+#REF!+#REF!+#REF!+#REF!+#REF!+#REF!+#REF!+#REF!+#REF!+#REF!+#REF!+#REF!+#REF!+#REF!+#REF!+#REF!</definedName>
    <definedName name="SHARED_FORMULA_2_144_2_144_5" localSheetId="6">"#REF!+#REF!+#REF!+#REF!+#REF!+#REF!+#REF!+#REF!+#REF!+#REF!+#REF!+#REF!+#REF!+#REF!+#REF!+#REF!+#REF!+#REF!+#REF!+#REF!+#REF!+#REF!"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4">#REF!+#REF!+#REF!+#REF!+#REF!+#REF!+#REF!+#REF!+#REF!+#REF!+#REF!+#REF!+#REF!+#REF!+#REF!+#REF!+#REF!+#REF!+#REF!+#REF!+#REF!+#REF!</definedName>
    <definedName name="SHARED_FORMULA_2_145_2_145_5" localSheetId="6">"#REF!+#REF!+#REF!+#REF!+#REF!+#REF!+#REF!+#REF!+#REF!+#REF!+#REF!+#REF!+#REF!+#REF!+#REF!+#REF!+#REF!+#REF!+#REF!+#REF!+#REF!+#REF!"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4">#REF!-#REF!</definedName>
    <definedName name="SHARED_FORMULA_2_146_2_146_5" localSheetId="6">"#REF!-#REF!"</definedName>
    <definedName name="SHARED_FORMULA_2_146_2_146_5" localSheetId="7">#REF!-#REF!</definedName>
    <definedName name="SHARED_FORMULA_2_146_2_146_5" localSheetId="8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4">#REF!</definedName>
    <definedName name="SHARED_FORMULA_2_22_2_22_5" localSheetId="6">NA()</definedName>
    <definedName name="SHARED_FORMULA_2_22_2_22_5" localSheetId="7">#REF!</definedName>
    <definedName name="SHARED_FORMULA_2_22_2_22_5" localSheetId="8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4">#REF!</definedName>
    <definedName name="SHARED_FORMULA_2_27_2_27_5" localSheetId="6">NA()</definedName>
    <definedName name="SHARED_FORMULA_2_27_2_27_5" localSheetId="7">#REF!</definedName>
    <definedName name="SHARED_FORMULA_2_27_2_27_5" localSheetId="8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4">#REF!</definedName>
    <definedName name="SHARED_FORMULA_2_32_2_32_5" localSheetId="6">NA()</definedName>
    <definedName name="SHARED_FORMULA_2_32_2_32_5" localSheetId="7">#REF!</definedName>
    <definedName name="SHARED_FORMULA_2_32_2_32_5" localSheetId="8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4">#REF!</definedName>
    <definedName name="SHARED_FORMULA_2_37_2_37_5" localSheetId="6">NA()</definedName>
    <definedName name="SHARED_FORMULA_2_37_2_37_5" localSheetId="7">#REF!</definedName>
    <definedName name="SHARED_FORMULA_2_37_2_37_5" localSheetId="8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4">#REF!</definedName>
    <definedName name="SHARED_FORMULA_2_4_2_4_5" localSheetId="6">NA()</definedName>
    <definedName name="SHARED_FORMULA_2_4_2_4_5" localSheetId="7">#REF!</definedName>
    <definedName name="SHARED_FORMULA_2_4_2_4_5" localSheetId="8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4">#REF!</definedName>
    <definedName name="SHARED_FORMULA_2_42_2_42_5" localSheetId="6">NA()</definedName>
    <definedName name="SHARED_FORMULA_2_42_2_42_5" localSheetId="7">#REF!</definedName>
    <definedName name="SHARED_FORMULA_2_42_2_42_5" localSheetId="8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4">#REF!</definedName>
    <definedName name="SHARED_FORMULA_2_44_2_44_5" localSheetId="6">NA()</definedName>
    <definedName name="SHARED_FORMULA_2_44_2_44_5" localSheetId="7">#REF!</definedName>
    <definedName name="SHARED_FORMULA_2_44_2_44_5" localSheetId="8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4">#REF!</definedName>
    <definedName name="SHARED_FORMULA_2_47_2_47_5" localSheetId="6">NA()</definedName>
    <definedName name="SHARED_FORMULA_2_47_2_47_5" localSheetId="7">#REF!</definedName>
    <definedName name="SHARED_FORMULA_2_47_2_47_5" localSheetId="8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4">#REF!</definedName>
    <definedName name="SHARED_FORMULA_2_48_2_48_5" localSheetId="6">NA()</definedName>
    <definedName name="SHARED_FORMULA_2_48_2_48_5" localSheetId="7">#REF!</definedName>
    <definedName name="SHARED_FORMULA_2_48_2_48_5" localSheetId="8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4">#REF!</definedName>
    <definedName name="SHARED_FORMULA_2_52_2_52_5" localSheetId="6">NA()</definedName>
    <definedName name="SHARED_FORMULA_2_52_2_52_5" localSheetId="7">#REF!</definedName>
    <definedName name="SHARED_FORMULA_2_52_2_52_5" localSheetId="8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4">#REF!</definedName>
    <definedName name="SHARED_FORMULA_2_57_2_57_5" localSheetId="6">NA()</definedName>
    <definedName name="SHARED_FORMULA_2_57_2_57_5" localSheetId="7">#REF!</definedName>
    <definedName name="SHARED_FORMULA_2_57_2_57_5" localSheetId="8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4">#REF!</definedName>
    <definedName name="SHARED_FORMULA_2_67_2_67_5" localSheetId="6">NA()</definedName>
    <definedName name="SHARED_FORMULA_2_67_2_67_5" localSheetId="7">#REF!</definedName>
    <definedName name="SHARED_FORMULA_2_67_2_67_5" localSheetId="8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4">#REF!+#REF!+#REF!+#REF!</definedName>
    <definedName name="SHARED_FORMULA_2_71_2_71_5" localSheetId="6">"#REF!+#REF!+#REF!+#REF!"</definedName>
    <definedName name="SHARED_FORMULA_2_71_2_71_5" localSheetId="7">#REF!+#REF!+#REF!+#REF!</definedName>
    <definedName name="SHARED_FORMULA_2_71_2_71_5" localSheetId="8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4">#REF!+#REF!+#REF!+#REF!</definedName>
    <definedName name="SHARED_FORMULA_2_72_2_72_5" localSheetId="6">"#REF!+#REF!+#REF!+#REF!"</definedName>
    <definedName name="SHARED_FORMULA_2_72_2_72_5" localSheetId="7">#REF!+#REF!+#REF!+#REF!</definedName>
    <definedName name="SHARED_FORMULA_2_72_2_72_5" localSheetId="8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4">#REF!+#REF!+#REF!+#REF!</definedName>
    <definedName name="SHARED_FORMULA_2_73_2_73_5" localSheetId="6">"#REF!+#REF!+#REF!+#REF!"</definedName>
    <definedName name="SHARED_FORMULA_2_73_2_73_5" localSheetId="7">#REF!+#REF!+#REF!+#REF!</definedName>
    <definedName name="SHARED_FORMULA_2_73_2_73_5" localSheetId="8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4">#REF!+#REF!+#REF!+#REF!</definedName>
    <definedName name="SHARED_FORMULA_2_74_2_74_5" localSheetId="6">"#REF!+#REF!+#REF!+#REF!"</definedName>
    <definedName name="SHARED_FORMULA_2_74_2_74_5" localSheetId="7">#REF!+#REF!+#REF!+#REF!</definedName>
    <definedName name="SHARED_FORMULA_2_74_2_74_5" localSheetId="8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4">#REF!+#REF!+#REF!+#REF!</definedName>
    <definedName name="SHARED_FORMULA_2_75_2_75_5" localSheetId="6">"#REF!+#REF!+#REF!+#REF!"</definedName>
    <definedName name="SHARED_FORMULA_2_75_2_75_5" localSheetId="7">#REF!+#REF!+#REF!+#REF!</definedName>
    <definedName name="SHARED_FORMULA_2_75_2_75_5" localSheetId="8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4">#REF!</definedName>
    <definedName name="SHARED_FORMULA_2_82_2_82_5" localSheetId="6">NA()</definedName>
    <definedName name="SHARED_FORMULA_2_82_2_82_5" localSheetId="7">#REF!</definedName>
    <definedName name="SHARED_FORMULA_2_82_2_82_5" localSheetId="8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4">#REF!+#REF!</definedName>
    <definedName name="SHARED_FORMULA_2_86_2_86_5" localSheetId="6">"#REF!+#REF!"</definedName>
    <definedName name="SHARED_FORMULA_2_86_2_86_5" localSheetId="7">#REF!+#REF!</definedName>
    <definedName name="SHARED_FORMULA_2_86_2_86_5" localSheetId="8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4">#REF!+#REF!</definedName>
    <definedName name="SHARED_FORMULA_2_87_2_87_5" localSheetId="6">"#REF!+#REF!"</definedName>
    <definedName name="SHARED_FORMULA_2_87_2_87_5" localSheetId="7">#REF!+#REF!</definedName>
    <definedName name="SHARED_FORMULA_2_87_2_87_5" localSheetId="8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4">#REF!+#REF!</definedName>
    <definedName name="SHARED_FORMULA_2_88_2_88_5" localSheetId="6">"#REF!+#REF!"</definedName>
    <definedName name="SHARED_FORMULA_2_88_2_88_5" localSheetId="7">#REF!+#REF!</definedName>
    <definedName name="SHARED_FORMULA_2_88_2_88_5" localSheetId="8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4">#REF!+#REF!</definedName>
    <definedName name="SHARED_FORMULA_2_89_2_89_5" localSheetId="6">"#REF!+#REF!"</definedName>
    <definedName name="SHARED_FORMULA_2_89_2_89_5" localSheetId="7">#REF!+#REF!</definedName>
    <definedName name="SHARED_FORMULA_2_89_2_89_5" localSheetId="8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4">#REF!</definedName>
    <definedName name="SHARED_FORMULA_2_9_2_9_5" localSheetId="6">NA()</definedName>
    <definedName name="SHARED_FORMULA_2_9_2_9_5" localSheetId="7">#REF!</definedName>
    <definedName name="SHARED_FORMULA_2_9_2_9_5" localSheetId="8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4">#REF!+#REF!</definedName>
    <definedName name="SHARED_FORMULA_2_90_2_90_5" localSheetId="6">"#REF!+#REF!"</definedName>
    <definedName name="SHARED_FORMULA_2_90_2_90_5" localSheetId="7">#REF!+#REF!</definedName>
    <definedName name="SHARED_FORMULA_2_90_2_90_5" localSheetId="8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4">#REF!</definedName>
    <definedName name="SHARED_FORMULA_2_92_2_92_5" localSheetId="6">NA()</definedName>
    <definedName name="SHARED_FORMULA_2_92_2_92_5" localSheetId="7">#REF!</definedName>
    <definedName name="SHARED_FORMULA_2_92_2_92_5" localSheetId="8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4">#REF!</definedName>
    <definedName name="SHARED_FORMULA_2_97_2_97_5" localSheetId="6">NA()</definedName>
    <definedName name="SHARED_FORMULA_2_97_2_97_5" localSheetId="7">#REF!</definedName>
    <definedName name="SHARED_FORMULA_2_97_2_97_5" localSheetId="8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4">#REF!</definedName>
    <definedName name="SHARED_FORMULA_20_10_20_10_5" localSheetId="6">NA()</definedName>
    <definedName name="SHARED_FORMULA_20_10_20_10_5" localSheetId="7">#REF!</definedName>
    <definedName name="SHARED_FORMULA_20_10_20_10_5" localSheetId="8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4">#REF!</definedName>
    <definedName name="SHARED_FORMULA_20_102_20_102_5" localSheetId="6">NA()</definedName>
    <definedName name="SHARED_FORMULA_20_102_20_102_5" localSheetId="7">#REF!</definedName>
    <definedName name="SHARED_FORMULA_20_102_20_102_5" localSheetId="8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4">#REF!</definedName>
    <definedName name="SHARED_FORMULA_20_112_20_112_5" localSheetId="6">NA()</definedName>
    <definedName name="SHARED_FORMULA_20_112_20_112_5" localSheetId="7">#REF!</definedName>
    <definedName name="SHARED_FORMULA_20_112_20_112_5" localSheetId="8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4">#REF!</definedName>
    <definedName name="SHARED_FORMULA_20_117_20_117_5" localSheetId="6">NA()</definedName>
    <definedName name="SHARED_FORMULA_20_117_20_117_5" localSheetId="7">#REF!</definedName>
    <definedName name="SHARED_FORMULA_20_117_20_117_5" localSheetId="8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4">#REF!+#REF!+#REF!+#REF!</definedName>
    <definedName name="SHARED_FORMULA_20_121_20_121_5" localSheetId="6">"#REF!+#REF!+#REF!+#REF!"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4">#REF!</definedName>
    <definedName name="SHARED_FORMULA_20_127_20_127_5" localSheetId="6">NA()</definedName>
    <definedName name="SHARED_FORMULA_20_127_20_127_5" localSheetId="7">#REF!</definedName>
    <definedName name="SHARED_FORMULA_20_127_20_127_5" localSheetId="8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4">#REF!+#REF!+#REF!+#REF!+#REF!+#REF!+#REF!+#REF!+#REF!+#REF!+#REF!+#REF!+#REF!+#REF!+#REF!+#REF!+#REF!+#REF!+#REF!+#REF!+#REF!+#REF!+#REF!</definedName>
    <definedName name="SHARED_FORMULA_20_131_20_131_5" localSheetId="6">"#REF!+#REF!+#REF!+#REF!+#REF!+#REF!+#REF!+#REF!+#REF!+#REF!+#REF!+#REF!+#REF!+#REF!+#REF!+#REF!+#REF!+#REF!+#REF!+#REF!+#REF!+#REF!+#REF!"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4">#REF!</definedName>
    <definedName name="SHARED_FORMULA_20_14_20_14_5" localSheetId="6">NA()</definedName>
    <definedName name="SHARED_FORMULA_20_14_20_14_5" localSheetId="7">#REF!</definedName>
    <definedName name="SHARED_FORMULA_20_14_20_14_5" localSheetId="8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4">#REF!+#REF!+#REF!+#REF!+#REF!+#REF!+#REF!+#REF!+#REF!+#REF!+#REF!+#REF!+#REF!+#REF!+#REF!+#REF!+#REF!+#REF!+#REF!+#REF!+#REF!+#REF!</definedName>
    <definedName name="SHARED_FORMULA_20_141_20_141_5" localSheetId="6">"#REF!+#REF!+#REF!+#REF!+#REF!+#REF!+#REF!+#REF!+#REF!+#REF!+#REF!+#REF!+#REF!+#REF!+#REF!+#REF!+#REF!+#REF!+#REF!+#REF!+#REF!+#REF!"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4">#REF!</definedName>
    <definedName name="SHARED_FORMULA_20_19_20_19_5" localSheetId="6">NA()</definedName>
    <definedName name="SHARED_FORMULA_20_19_20_19_5" localSheetId="7">#REF!</definedName>
    <definedName name="SHARED_FORMULA_20_19_20_19_5" localSheetId="8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4">#REF!</definedName>
    <definedName name="SHARED_FORMULA_20_22_20_22_5" localSheetId="6">NA()</definedName>
    <definedName name="SHARED_FORMULA_20_22_20_22_5" localSheetId="7">#REF!</definedName>
    <definedName name="SHARED_FORMULA_20_22_20_22_5" localSheetId="8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4">#REF!</definedName>
    <definedName name="SHARED_FORMULA_20_27_20_27_5" localSheetId="6">NA()</definedName>
    <definedName name="SHARED_FORMULA_20_27_20_27_5" localSheetId="7">#REF!</definedName>
    <definedName name="SHARED_FORMULA_20_27_20_27_5" localSheetId="8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4">#REF!</definedName>
    <definedName name="SHARED_FORMULA_20_33_20_33_5" localSheetId="6">NA()</definedName>
    <definedName name="SHARED_FORMULA_20_33_20_33_5" localSheetId="7">#REF!</definedName>
    <definedName name="SHARED_FORMULA_20_33_20_33_5" localSheetId="8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4">#REF!</definedName>
    <definedName name="SHARED_FORMULA_20_37_20_37_5" localSheetId="6">NA()</definedName>
    <definedName name="SHARED_FORMULA_20_37_20_37_5" localSheetId="7">#REF!</definedName>
    <definedName name="SHARED_FORMULA_20_37_20_37_5" localSheetId="8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4">#REF!</definedName>
    <definedName name="SHARED_FORMULA_20_42_20_42_5" localSheetId="6">NA()</definedName>
    <definedName name="SHARED_FORMULA_20_42_20_42_5" localSheetId="7">#REF!</definedName>
    <definedName name="SHARED_FORMULA_20_42_20_42_5" localSheetId="8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4">#REF!</definedName>
    <definedName name="SHARED_FORMULA_20_57_20_57_5" localSheetId="6">NA()</definedName>
    <definedName name="SHARED_FORMULA_20_57_20_57_5" localSheetId="7">#REF!</definedName>
    <definedName name="SHARED_FORMULA_20_57_20_57_5" localSheetId="8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4">#REF!</definedName>
    <definedName name="SHARED_FORMULA_20_63_20_63_5" localSheetId="6">NA()</definedName>
    <definedName name="SHARED_FORMULA_20_63_20_63_5" localSheetId="7">#REF!</definedName>
    <definedName name="SHARED_FORMULA_20_63_20_63_5" localSheetId="8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4">#REF!</definedName>
    <definedName name="SHARED_FORMULA_20_67_20_67_5" localSheetId="6">NA()</definedName>
    <definedName name="SHARED_FORMULA_20_67_20_67_5" localSheetId="7">#REF!</definedName>
    <definedName name="SHARED_FORMULA_20_67_20_67_5" localSheetId="8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4">#REF!</definedName>
    <definedName name="SHARED_FORMULA_20_78_20_78_5" localSheetId="6">NA()</definedName>
    <definedName name="SHARED_FORMULA_20_78_20_78_5" localSheetId="7">#REF!</definedName>
    <definedName name="SHARED_FORMULA_20_78_20_78_5" localSheetId="8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4">#REF!</definedName>
    <definedName name="SHARED_FORMULA_20_82_20_82_5" localSheetId="6">NA()</definedName>
    <definedName name="SHARED_FORMULA_20_82_20_82_5" localSheetId="7">#REF!</definedName>
    <definedName name="SHARED_FORMULA_20_82_20_82_5" localSheetId="8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4">#REF!+#REF!</definedName>
    <definedName name="SHARED_FORMULA_20_86_20_86_5" localSheetId="6">"#REF!+#REF!"</definedName>
    <definedName name="SHARED_FORMULA_20_86_20_86_5" localSheetId="7">#REF!+#REF!</definedName>
    <definedName name="SHARED_FORMULA_20_86_20_86_5" localSheetId="8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4">#REF!</definedName>
    <definedName name="SHARED_FORMULA_20_92_20_92_5" localSheetId="6">NA()</definedName>
    <definedName name="SHARED_FORMULA_20_92_20_92_5" localSheetId="7">#REF!</definedName>
    <definedName name="SHARED_FORMULA_20_92_20_92_5" localSheetId="8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4">SUM(#REF!)-#REF!</definedName>
    <definedName name="SHARED_FORMULA_23_3_23_3_5" localSheetId="6">"SUM(#REF!)-#REF!)"</definedName>
    <definedName name="SHARED_FORMULA_23_3_23_3_5" localSheetId="7">SUM(#REF!)-#REF!</definedName>
    <definedName name="SHARED_FORMULA_23_3_23_3_5" localSheetId="8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4">SUM(#REF!)-#REF!</definedName>
    <definedName name="SHARED_FORMULA_23_32_23_32_5" localSheetId="6">"SUM(#REF!)-#REF!)"</definedName>
    <definedName name="SHARED_FORMULA_23_32_23_32_5" localSheetId="7">SUM(#REF!)-#REF!</definedName>
    <definedName name="SHARED_FORMULA_23_32_23_32_5" localSheetId="8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4">SUM(#REF!)-#REF!</definedName>
    <definedName name="SHARED_FORMULA_23_64_23_64_5" localSheetId="6">"SUM(#REF!)-#REF!)"</definedName>
    <definedName name="SHARED_FORMULA_23_64_23_64_5" localSheetId="7">SUM(#REF!)-#REF!</definedName>
    <definedName name="SHARED_FORMULA_23_64_23_64_5" localSheetId="8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4">SUM(#REF!)-#REF!</definedName>
    <definedName name="SHARED_FORMULA_23_96_23_96_5" localSheetId="6">"SUM(#REF!)-#REF!)"</definedName>
    <definedName name="SHARED_FORMULA_23_96_23_96_5" localSheetId="7">SUM(#REF!)-#REF!</definedName>
    <definedName name="SHARED_FORMULA_23_96_23_96_5" localSheetId="8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4">SUM(#REF!)-#REF!</definedName>
    <definedName name="SHARED_FORMULA_25_131_25_131_5" localSheetId="6">"SUM(#REF!)-#REF!)"</definedName>
    <definedName name="SHARED_FORMULA_25_131_25_131_5" localSheetId="7">SUM(#REF!)-#REF!</definedName>
    <definedName name="SHARED_FORMULA_25_131_25_131_5" localSheetId="8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4">SUM(#REF!)</definedName>
    <definedName name="SHARED_FORMULA_3_10_3_10_3" localSheetId="6">"SUM(#REF!))"</definedName>
    <definedName name="SHARED_FORMULA_3_10_3_10_3" localSheetId="7">SUM(#REF!)</definedName>
    <definedName name="SHARED_FORMULA_3_10_3_10_3" localSheetId="8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4">SUM(#REF!+#REF!+#REF!)</definedName>
    <definedName name="SHARED_FORMULA_3_308_3_308_4" localSheetId="6">"SUM(#REF!+#REF!+#REF!))"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4">#REF!+#REF!+#REF!</definedName>
    <definedName name="SHARED_FORMULA_3_309_3_309_4" localSheetId="6">"#REF!+#REF!+#REF!"</definedName>
    <definedName name="SHARED_FORMULA_3_309_3_309_4" localSheetId="7">#REF!+#REF!+#REF!</definedName>
    <definedName name="SHARED_FORMULA_3_309_3_309_4" localSheetId="8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4">SUM(#REF!+#REF!+#REF!)</definedName>
    <definedName name="SHARED_FORMULA_3_312_3_312_4" localSheetId="6">"SUM(#REF!+#REF!+#REF!))"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4">SUM(#REF!)</definedName>
    <definedName name="SHARED_FORMULA_3_32_3_32_2" localSheetId="6">"SUM(#REF!))"</definedName>
    <definedName name="SHARED_FORMULA_3_32_3_32_2" localSheetId="7">SUM(#REF!)</definedName>
    <definedName name="SHARED_FORMULA_3_32_3_32_2" localSheetId="8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4">SUM(#REF!+#REF!+#REF!+#REF!)</definedName>
    <definedName name="SHARED_FORMULA_3_320_3_320_4" localSheetId="6">"SUM(#REF!+#REF!+#REF!+#REF!))"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4">SUM(#REF!+#REF!+#REF!+#REF!)</definedName>
    <definedName name="SHARED_FORMULA_3_321_3_321_4" localSheetId="6">"SUM(#REF!+#REF!+#REF!+#REF!))"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4">SUM(#REF!)</definedName>
    <definedName name="SHARED_FORMULA_3_37_3_37_2" localSheetId="6">"SUM(#REF!))"</definedName>
    <definedName name="SHARED_FORMULA_3_37_3_37_2" localSheetId="7">SUM(#REF!)</definedName>
    <definedName name="SHARED_FORMULA_3_37_3_37_2" localSheetId="8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4">SUM(#REF!)</definedName>
    <definedName name="SHARED_FORMULA_3_47_3_47_2" localSheetId="6">"SUM(#REF!))"</definedName>
    <definedName name="SHARED_FORMULA_3_47_3_47_2" localSheetId="7">SUM(#REF!)</definedName>
    <definedName name="SHARED_FORMULA_3_47_3_47_2" localSheetId="8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4">#REF!</definedName>
    <definedName name="SHARED_FORMULA_3_59_3_59_5" localSheetId="6">NA()</definedName>
    <definedName name="SHARED_FORMULA_3_59_3_59_5" localSheetId="7">#REF!</definedName>
    <definedName name="SHARED_FORMULA_3_59_3_59_5" localSheetId="8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4">#REF!</definedName>
    <definedName name="SHARED_FORMULA_3_77_3_77_5" localSheetId="6">NA()</definedName>
    <definedName name="SHARED_FORMULA_3_77_3_77_5" localSheetId="7">#REF!</definedName>
    <definedName name="SHARED_FORMULA_3_77_3_77_5" localSheetId="8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4">#REF!</definedName>
    <definedName name="SHARED_FORMULA_3_94_3_94_5" localSheetId="6">NA()</definedName>
    <definedName name="SHARED_FORMULA_3_94_3_94_5" localSheetId="7">#REF!</definedName>
    <definedName name="SHARED_FORMULA_3_94_3_94_5" localSheetId="8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4">SUM(#REF!)-#REF!-#REF!-#REF!</definedName>
    <definedName name="SHARED_FORMULA_4_133_4_133_5" localSheetId="6">"SUM(#REF!)-#REF!-#REF!-#REF!)"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4">SUM(#REF!)</definedName>
    <definedName name="SHARED_FORMULA_4_136_4_136_4" localSheetId="6">"SUM(#REF!))"</definedName>
    <definedName name="SHARED_FORMULA_4_136_4_136_4" localSheetId="7">SUM(#REF!)</definedName>
    <definedName name="SHARED_FORMULA_4_136_4_136_4" localSheetId="8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4">SUM(#REF!)</definedName>
    <definedName name="SHARED_FORMULA_4_200_4_200_4" localSheetId="6">"SUM(#REF!))"</definedName>
    <definedName name="SHARED_FORMULA_4_200_4_200_4" localSheetId="7">SUM(#REF!)</definedName>
    <definedName name="SHARED_FORMULA_4_200_4_200_4" localSheetId="8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4">SUM(#REF!)</definedName>
    <definedName name="SHARED_FORMULA_4_264_4_264_4" localSheetId="6">"SUM(#REF!))"</definedName>
    <definedName name="SHARED_FORMULA_4_264_4_264_4" localSheetId="7">SUM(#REF!)</definedName>
    <definedName name="SHARED_FORMULA_4_264_4_264_4" localSheetId="8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4">SUM(#REF!,#REF!,#REF!)</definedName>
    <definedName name="SHARED_FORMULA_4_322_4_322_4" localSheetId="6">"SUM(#REF!,#REF!,#REF!))"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4">SUM(#REF!,#REF!,#REF!,#REF!,#REF!,#REF!,#REF!,#REF!,#REF!,#REF!,#REF!,#REF!,#REF!,#REF!)</definedName>
    <definedName name="SHARED_FORMULA_4_43_4_43_3" localSheetId="6">"SUM(#REF!,#REF!,#REF!,#REF!,#REF!,#REF!,#REF!,#REF!,#REF!,#REF!,#REF!,#REF!,#REF!,#REF!))"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4">SUM(#REF!,#REF!,#REF!,#REF!,#REF!,#REF!,#REF!,#REF!,#REF!,#REF!,#REF!)</definedName>
    <definedName name="SHARED_FORMULA_4_58_4_58_2" localSheetId="6">"SUM(#REF!,#REF!,#REF!,#REF!,#REF!,#REF!,#REF!,#REF!,#REF!,#REF!,#REF!))"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4">SUM(#REF!)</definedName>
    <definedName name="SHARED_FORMULA_4_73_4_73_4" localSheetId="6">"SUM(#REF!))"</definedName>
    <definedName name="SHARED_FORMULA_4_73_4_73_4" localSheetId="7">SUM(#REF!)</definedName>
    <definedName name="SHARED_FORMULA_4_73_4_73_4" localSheetId="8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4">SUM(#REF!)</definedName>
    <definedName name="SHARED_FORMULA_4_8_4_8_4" localSheetId="6">"SUM(#REF!))"</definedName>
    <definedName name="SHARED_FORMULA_4_8_4_8_4" localSheetId="7">SUM(#REF!)</definedName>
    <definedName name="SHARED_FORMULA_4_8_4_8_4" localSheetId="8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4">SUM(#REF!)</definedName>
    <definedName name="SHARED_FORMULA_4_9_4_9_3" localSheetId="6">"SUM(#REF!))"</definedName>
    <definedName name="SHARED_FORMULA_4_9_4_9_3" localSheetId="7">SUM(#REF!)</definedName>
    <definedName name="SHARED_FORMULA_4_9_4_9_3" localSheetId="8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4">#REF!</definedName>
    <definedName name="SHARED_FORMULA_5_108_5_108_5" localSheetId="6">NA()</definedName>
    <definedName name="SHARED_FORMULA_5_108_5_108_5" localSheetId="7">#REF!</definedName>
    <definedName name="SHARED_FORMULA_5_108_5_108_5" localSheetId="8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4">#REF!</definedName>
    <definedName name="SHARED_FORMULA_5_109_5_109_5" localSheetId="6">NA()</definedName>
    <definedName name="SHARED_FORMULA_5_109_5_109_5" localSheetId="7">#REF!</definedName>
    <definedName name="SHARED_FORMULA_5_109_5_109_5" localSheetId="8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4">#REF!</definedName>
    <definedName name="SHARED_FORMULA_5_129_5_129_5" localSheetId="6">NA()</definedName>
    <definedName name="SHARED_FORMULA_5_129_5_129_5" localSheetId="7">#REF!</definedName>
    <definedName name="SHARED_FORMULA_5_129_5_129_5" localSheetId="8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4">#REF!</definedName>
    <definedName name="SHARED_FORMULA_5_19_5_19_5" localSheetId="6">NA()</definedName>
    <definedName name="SHARED_FORMULA_5_19_5_19_5" localSheetId="7">#REF!</definedName>
    <definedName name="SHARED_FORMULA_5_19_5_19_5" localSheetId="8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4">#REF!</definedName>
    <definedName name="SHARED_FORMULA_5_28_5_28_5" localSheetId="6">NA()</definedName>
    <definedName name="SHARED_FORMULA_5_28_5_28_5" localSheetId="7">#REF!</definedName>
    <definedName name="SHARED_FORMULA_5_28_5_28_5" localSheetId="8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4">#REF!</definedName>
    <definedName name="SHARED_FORMULA_5_35_5_35_5" localSheetId="6">NA()</definedName>
    <definedName name="SHARED_FORMULA_5_35_5_35_5" localSheetId="7">#REF!</definedName>
    <definedName name="SHARED_FORMULA_5_35_5_35_5" localSheetId="8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4">#REF!</definedName>
    <definedName name="SHARED_FORMULA_5_69_5_69_5" localSheetId="6">NA()</definedName>
    <definedName name="SHARED_FORMULA_5_69_5_69_5" localSheetId="7">#REF!</definedName>
    <definedName name="SHARED_FORMULA_5_69_5_69_5" localSheetId="8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4">#REF!</definedName>
    <definedName name="SHARED_FORMULA_5_7_5_7_5" localSheetId="6">NA()</definedName>
    <definedName name="SHARED_FORMULA_5_7_5_7_5" localSheetId="7">#REF!</definedName>
    <definedName name="SHARED_FORMULA_5_7_5_7_5" localSheetId="8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4">#REF!/#REF!*100</definedName>
    <definedName name="SHARED_FORMULA_6_5_6_5_0" localSheetId="6">"#REF!/#REF!*100"</definedName>
    <definedName name="SHARED_FORMULA_6_5_6_5_0" localSheetId="7">#REF!/#REF!*100</definedName>
    <definedName name="SHARED_FORMULA_6_5_6_5_0" localSheetId="8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4">#REF!</definedName>
    <definedName name="SHARED_FORMULA_7_62_7_62_5" localSheetId="6">NA()</definedName>
    <definedName name="SHARED_FORMULA_7_62_7_62_5" localSheetId="7">#REF!</definedName>
    <definedName name="SHARED_FORMULA_7_62_7_62_5" localSheetId="8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4">#REF!</definedName>
    <definedName name="SHARED_FORMULA_7_82_7_82_5" localSheetId="6">NA()</definedName>
    <definedName name="SHARED_FORMULA_7_82_7_82_5" localSheetId="7">#REF!</definedName>
    <definedName name="SHARED_FORMULA_7_82_7_82_5" localSheetId="8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4">#REF!</definedName>
    <definedName name="SHARED_FORMULA_7_93_7_93_5" localSheetId="6">NA()</definedName>
    <definedName name="SHARED_FORMULA_7_93_7_93_5" localSheetId="7">#REF!</definedName>
    <definedName name="SHARED_FORMULA_7_93_7_93_5" localSheetId="8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4">#REF!</definedName>
    <definedName name="SHARED_FORMULA_8_48_8_48_5" localSheetId="6">NA()</definedName>
    <definedName name="SHARED_FORMULA_8_48_8_48_5" localSheetId="7">#REF!</definedName>
    <definedName name="SHARED_FORMULA_8_48_8_48_5" localSheetId="8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4">#REF!</definedName>
    <definedName name="SHARED_FORMULA_9_112_9_112_5" localSheetId="6">NA()</definedName>
    <definedName name="SHARED_FORMULA_9_112_9_112_5" localSheetId="7">#REF!</definedName>
    <definedName name="SHARED_FORMULA_9_112_9_112_5" localSheetId="8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4">#REF!</definedName>
    <definedName name="SHARED_FORMULA_9_118_9_118_5" localSheetId="6">NA()</definedName>
    <definedName name="SHARED_FORMULA_9_118_9_118_5" localSheetId="7">#REF!</definedName>
    <definedName name="SHARED_FORMULA_9_118_9_118_5" localSheetId="8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4">#REF!</definedName>
    <definedName name="SHARED_FORMULA_9_44_9_44_5" localSheetId="6">NA()</definedName>
    <definedName name="SHARED_FORMULA_9_44_9_44_5" localSheetId="7">#REF!</definedName>
    <definedName name="SHARED_FORMULA_9_44_9_44_5" localSheetId="8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4">#REF!</definedName>
    <definedName name="SHARED_FORMULA_9_53_9_53_5" localSheetId="6">NA()</definedName>
    <definedName name="SHARED_FORMULA_9_53_9_53_5" localSheetId="7">#REF!</definedName>
    <definedName name="SHARED_FORMULA_9_53_9_53_5" localSheetId="8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4">#REF!</definedName>
    <definedName name="SHARED_FORMULA_9_77_9_77_5" localSheetId="6">NA()</definedName>
    <definedName name="SHARED_FORMULA_9_77_9_77_5" localSheetId="7">#REF!</definedName>
    <definedName name="SHARED_FORMULA_9_77_9_77_5" localSheetId="8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4">#REF!</definedName>
    <definedName name="SHARED_FORMULA_9_98_9_98_5" localSheetId="6">NA()</definedName>
    <definedName name="SHARED_FORMULA_9_98_9_98_5" localSheetId="7">#REF!</definedName>
    <definedName name="SHARED_FORMULA_9_98_9_98_5" localSheetId="8">#REF!</definedName>
    <definedName name="SHARED_FORMULA_9_98_9_98_5">#REF!</definedName>
    <definedName name="x" localSheetId="14">#REF!</definedName>
    <definedName name="x" localSheetId="6">NA()</definedName>
    <definedName name="x" localSheetId="7">#REF!</definedName>
    <definedName name="x" localSheetId="8">#REF!</definedName>
    <definedName name="x">#REF!</definedName>
  </definedNames>
  <calcPr calcId="152511"/>
  <fileRecoveryPr autoRecover="0"/>
</workbook>
</file>

<file path=xl/calcChain.xml><?xml version="1.0" encoding="utf-8"?>
<calcChain xmlns="http://schemas.openxmlformats.org/spreadsheetml/2006/main">
  <c r="D41" i="1" l="1"/>
  <c r="E41" i="1" l="1"/>
  <c r="F15" i="53" l="1"/>
  <c r="F19" i="53" s="1"/>
  <c r="F22" i="53" s="1"/>
  <c r="G15" i="53"/>
  <c r="H15" i="53"/>
  <c r="H19" i="53" s="1"/>
  <c r="H22" i="53" s="1"/>
  <c r="G19" i="53"/>
  <c r="G22" i="53" s="1"/>
  <c r="G88" i="53" s="1"/>
  <c r="G95" i="53" s="1"/>
  <c r="F32" i="53"/>
  <c r="G32" i="53"/>
  <c r="H32" i="53"/>
  <c r="H44" i="53" s="1"/>
  <c r="F39" i="53"/>
  <c r="F44" i="53" s="1"/>
  <c r="G39" i="53"/>
  <c r="H39" i="53"/>
  <c r="E42" i="53"/>
  <c r="F43" i="53"/>
  <c r="G43" i="53"/>
  <c r="H43" i="53"/>
  <c r="G44" i="53"/>
  <c r="F52" i="53"/>
  <c r="F68" i="53" s="1"/>
  <c r="F78" i="53" s="1"/>
  <c r="G52" i="53"/>
  <c r="G68" i="53" s="1"/>
  <c r="G78" i="53" s="1"/>
  <c r="H52" i="53"/>
  <c r="H68" i="53" s="1"/>
  <c r="F61" i="53"/>
  <c r="G61" i="53"/>
  <c r="H61" i="53"/>
  <c r="E62" i="53"/>
  <c r="H70" i="53"/>
  <c r="H71" i="53" s="1"/>
  <c r="F71" i="53"/>
  <c r="G71" i="53"/>
  <c r="F75" i="53"/>
  <c r="G75" i="53"/>
  <c r="H75" i="53"/>
  <c r="F83" i="53"/>
  <c r="G83" i="53"/>
  <c r="H83" i="53"/>
  <c r="C86" i="53"/>
  <c r="H78" i="53" l="1"/>
  <c r="H88" i="53" s="1"/>
  <c r="H95" i="53" s="1"/>
  <c r="F88" i="53"/>
  <c r="F95" i="53" s="1"/>
  <c r="R92" i="67"/>
  <c r="Q92" i="67"/>
  <c r="P92" i="67"/>
  <c r="O92" i="67"/>
  <c r="N92" i="67"/>
  <c r="M92" i="67"/>
  <c r="L92" i="67"/>
  <c r="K92" i="67"/>
  <c r="J92" i="67"/>
  <c r="R91" i="67"/>
  <c r="Q91" i="67"/>
  <c r="P91" i="67"/>
  <c r="O91" i="67"/>
  <c r="N91" i="67"/>
  <c r="M91" i="67"/>
  <c r="L91" i="67"/>
  <c r="K91" i="67"/>
  <c r="J91" i="67"/>
  <c r="I91" i="67"/>
  <c r="H91" i="67"/>
  <c r="E91" i="67"/>
  <c r="R90" i="67"/>
  <c r="Q90" i="67"/>
  <c r="P90" i="67"/>
  <c r="O90" i="67"/>
  <c r="N90" i="67"/>
  <c r="M90" i="67"/>
  <c r="L90" i="67"/>
  <c r="K90" i="67"/>
  <c r="J90" i="67"/>
  <c r="R88" i="67"/>
  <c r="Q88" i="67"/>
  <c r="P88" i="67"/>
  <c r="O88" i="67"/>
  <c r="N88" i="67"/>
  <c r="M88" i="67"/>
  <c r="L88" i="67"/>
  <c r="K88" i="67"/>
  <c r="J88" i="67"/>
  <c r="I88" i="67"/>
  <c r="H88" i="67"/>
  <c r="G88" i="67"/>
  <c r="E88" i="67"/>
  <c r="R87" i="67"/>
  <c r="Q87" i="67"/>
  <c r="P87" i="67"/>
  <c r="O87" i="67"/>
  <c r="N87" i="67"/>
  <c r="M87" i="67"/>
  <c r="L87" i="67"/>
  <c r="K87" i="67"/>
  <c r="J87" i="67"/>
  <c r="I87" i="67"/>
  <c r="H87" i="67"/>
  <c r="G87" i="67"/>
  <c r="F87" i="67"/>
  <c r="E87" i="67"/>
  <c r="R86" i="67"/>
  <c r="Q86" i="67"/>
  <c r="P86" i="67"/>
  <c r="O86" i="67"/>
  <c r="N86" i="67"/>
  <c r="M86" i="67"/>
  <c r="L86" i="67"/>
  <c r="K86" i="67"/>
  <c r="J86" i="67"/>
  <c r="H86" i="67"/>
  <c r="G86" i="67"/>
  <c r="E86" i="67"/>
  <c r="E82" i="67" s="1"/>
  <c r="R84" i="67"/>
  <c r="Q84" i="67"/>
  <c r="P84" i="67"/>
  <c r="O84" i="67"/>
  <c r="N84" i="67"/>
  <c r="M84" i="67"/>
  <c r="L84" i="67"/>
  <c r="K84" i="67"/>
  <c r="J84" i="67"/>
  <c r="I84" i="67"/>
  <c r="E84" i="67"/>
  <c r="R83" i="67"/>
  <c r="Q83" i="67"/>
  <c r="P83" i="67"/>
  <c r="O83" i="67"/>
  <c r="N83" i="67"/>
  <c r="M83" i="67"/>
  <c r="L83" i="67"/>
  <c r="K83" i="67"/>
  <c r="J83" i="67"/>
  <c r="I83" i="67"/>
  <c r="H83" i="67"/>
  <c r="E83" i="67"/>
  <c r="R82" i="67"/>
  <c r="Q82" i="67"/>
  <c r="P82" i="67"/>
  <c r="O82" i="67"/>
  <c r="N82" i="67"/>
  <c r="M82" i="67"/>
  <c r="L82" i="67"/>
  <c r="K82" i="67"/>
  <c r="J82" i="67"/>
  <c r="I82" i="67"/>
  <c r="H82" i="67"/>
  <c r="G82" i="67"/>
  <c r="F82" i="67"/>
  <c r="R76" i="67"/>
  <c r="O76" i="67"/>
  <c r="J76" i="67"/>
  <c r="R72" i="67"/>
  <c r="Q72" i="67"/>
  <c r="P72" i="67"/>
  <c r="O72" i="67"/>
  <c r="N72" i="67"/>
  <c r="M72" i="67"/>
  <c r="L72" i="67"/>
  <c r="K72" i="67"/>
  <c r="J72" i="67"/>
  <c r="I72" i="67"/>
  <c r="E72" i="67"/>
  <c r="R71" i="67"/>
  <c r="Q71" i="67"/>
  <c r="P71" i="67"/>
  <c r="O71" i="67"/>
  <c r="N71" i="67"/>
  <c r="M71" i="67"/>
  <c r="L71" i="67"/>
  <c r="K71" i="67"/>
  <c r="J71" i="67"/>
  <c r="I71" i="67"/>
  <c r="H71" i="67"/>
  <c r="G71" i="67"/>
  <c r="F71" i="67"/>
  <c r="E71" i="67"/>
  <c r="R70" i="67"/>
  <c r="Q70" i="67"/>
  <c r="P70" i="67"/>
  <c r="O70" i="67"/>
  <c r="N70" i="67"/>
  <c r="M70" i="67"/>
  <c r="L70" i="67"/>
  <c r="K70" i="67"/>
  <c r="J70" i="67"/>
  <c r="I70" i="67"/>
  <c r="H70" i="67"/>
  <c r="G70" i="67"/>
  <c r="E70" i="67"/>
  <c r="F69" i="67"/>
  <c r="E69" i="67"/>
  <c r="F68" i="67"/>
  <c r="F67" i="67"/>
  <c r="H66" i="67"/>
  <c r="F66" i="67" s="1"/>
  <c r="F72" i="67" s="1"/>
  <c r="G66" i="67"/>
  <c r="G72" i="67" s="1"/>
  <c r="F65" i="67"/>
  <c r="F64" i="67"/>
  <c r="F70" i="67" s="1"/>
  <c r="R61" i="67"/>
  <c r="Q61" i="67"/>
  <c r="P61" i="67"/>
  <c r="O61" i="67"/>
  <c r="N61" i="67"/>
  <c r="M61" i="67"/>
  <c r="L61" i="67"/>
  <c r="K61" i="67"/>
  <c r="K76" i="67" s="1"/>
  <c r="J61" i="67"/>
  <c r="I61" i="67"/>
  <c r="R60" i="67"/>
  <c r="Q60" i="67"/>
  <c r="P60" i="67"/>
  <c r="O60" i="67"/>
  <c r="N60" i="67"/>
  <c r="M60" i="67"/>
  <c r="M75" i="67" s="1"/>
  <c r="L60" i="67"/>
  <c r="K60" i="67"/>
  <c r="J60" i="67"/>
  <c r="I60" i="67"/>
  <c r="H60" i="67"/>
  <c r="G60" i="67"/>
  <c r="F60" i="67"/>
  <c r="E60" i="67"/>
  <c r="E75" i="67" s="1"/>
  <c r="R59" i="67"/>
  <c r="Q59" i="67"/>
  <c r="P59" i="67"/>
  <c r="O59" i="67"/>
  <c r="N59" i="67"/>
  <c r="M59" i="67"/>
  <c r="L59" i="67"/>
  <c r="K59" i="67"/>
  <c r="K74" i="67" s="1"/>
  <c r="J59" i="67"/>
  <c r="I59" i="67"/>
  <c r="H59" i="67"/>
  <c r="G59" i="67"/>
  <c r="E59" i="67"/>
  <c r="F58" i="67"/>
  <c r="E58" i="67"/>
  <c r="E61" i="67" s="1"/>
  <c r="F57" i="67"/>
  <c r="F56" i="67"/>
  <c r="H55" i="67"/>
  <c r="H61" i="67" s="1"/>
  <c r="G55" i="67"/>
  <c r="F55" i="67" s="1"/>
  <c r="F61" i="67" s="1"/>
  <c r="F54" i="67"/>
  <c r="F53" i="67"/>
  <c r="F59" i="67" s="1"/>
  <c r="R50" i="67"/>
  <c r="Q50" i="67"/>
  <c r="Q76" i="67" s="1"/>
  <c r="Q80" i="67" s="1"/>
  <c r="P50" i="67"/>
  <c r="P76" i="67" s="1"/>
  <c r="P80" i="67" s="1"/>
  <c r="O50" i="67"/>
  <c r="N50" i="67"/>
  <c r="N76" i="67" s="1"/>
  <c r="M50" i="67"/>
  <c r="M76" i="67" s="1"/>
  <c r="M80" i="67" s="1"/>
  <c r="L50" i="67"/>
  <c r="L76" i="67" s="1"/>
  <c r="L80" i="67" s="1"/>
  <c r="K50" i="67"/>
  <c r="J50" i="67"/>
  <c r="I50" i="67"/>
  <c r="I76" i="67" s="1"/>
  <c r="G50" i="67"/>
  <c r="R49" i="67"/>
  <c r="Q49" i="67"/>
  <c r="Q75" i="67" s="1"/>
  <c r="P49" i="67"/>
  <c r="P75" i="67" s="1"/>
  <c r="O49" i="67"/>
  <c r="N49" i="67"/>
  <c r="M49" i="67"/>
  <c r="L49" i="67"/>
  <c r="L75" i="67" s="1"/>
  <c r="K49" i="67"/>
  <c r="J49" i="67"/>
  <c r="I49" i="67"/>
  <c r="I75" i="67" s="1"/>
  <c r="H49" i="67"/>
  <c r="H75" i="67" s="1"/>
  <c r="G49" i="67"/>
  <c r="E49" i="67"/>
  <c r="R48" i="67"/>
  <c r="R74" i="67" s="1"/>
  <c r="Q48" i="67"/>
  <c r="Q74" i="67" s="1"/>
  <c r="Q78" i="67" s="1"/>
  <c r="P48" i="67"/>
  <c r="O48" i="67"/>
  <c r="O74" i="67" s="1"/>
  <c r="N48" i="67"/>
  <c r="N74" i="67" s="1"/>
  <c r="M48" i="67"/>
  <c r="M74" i="67" s="1"/>
  <c r="M78" i="67" s="1"/>
  <c r="L48" i="67"/>
  <c r="K48" i="67"/>
  <c r="J48" i="67"/>
  <c r="J74" i="67" s="1"/>
  <c r="I48" i="67"/>
  <c r="I74" i="67" s="1"/>
  <c r="H48" i="67"/>
  <c r="G48" i="67"/>
  <c r="G74" i="67" s="1"/>
  <c r="F48" i="67"/>
  <c r="F74" i="67" s="1"/>
  <c r="E48" i="67"/>
  <c r="E74" i="67" s="1"/>
  <c r="E78" i="67" s="1"/>
  <c r="F47" i="67"/>
  <c r="E47" i="67"/>
  <c r="F46" i="67"/>
  <c r="F45" i="67"/>
  <c r="H44" i="67"/>
  <c r="H50" i="67" s="1"/>
  <c r="G44" i="67"/>
  <c r="F44" i="67"/>
  <c r="F50" i="67" s="1"/>
  <c r="F76" i="67" s="1"/>
  <c r="E44" i="67"/>
  <c r="E50" i="67" s="1"/>
  <c r="E76" i="67" s="1"/>
  <c r="F43" i="67"/>
  <c r="F42" i="67"/>
  <c r="R39" i="67"/>
  <c r="R80" i="67" s="1"/>
  <c r="Q39" i="67"/>
  <c r="P39" i="67"/>
  <c r="O39" i="67"/>
  <c r="N39" i="67"/>
  <c r="M39" i="67"/>
  <c r="L39" i="67"/>
  <c r="K39" i="67"/>
  <c r="J39" i="67"/>
  <c r="J80" i="67" s="1"/>
  <c r="R38" i="67"/>
  <c r="Q38" i="67"/>
  <c r="P38" i="67"/>
  <c r="O38" i="67"/>
  <c r="N38" i="67"/>
  <c r="M38" i="67"/>
  <c r="L38" i="67"/>
  <c r="K38" i="67"/>
  <c r="J38" i="67"/>
  <c r="I38" i="67"/>
  <c r="H38" i="67"/>
  <c r="E38" i="67"/>
  <c r="R37" i="67"/>
  <c r="Q37" i="67"/>
  <c r="P37" i="67"/>
  <c r="O37" i="67"/>
  <c r="N37" i="67"/>
  <c r="M37" i="67"/>
  <c r="L37" i="67"/>
  <c r="K37" i="67"/>
  <c r="J37" i="67"/>
  <c r="H37" i="67"/>
  <c r="G37" i="67"/>
  <c r="E37" i="67"/>
  <c r="H36" i="67"/>
  <c r="H84" i="67" s="1"/>
  <c r="G36" i="67"/>
  <c r="G84" i="67" s="1"/>
  <c r="H35" i="67"/>
  <c r="G35" i="67"/>
  <c r="G83" i="67" s="1"/>
  <c r="F35" i="67"/>
  <c r="F83" i="67" s="1"/>
  <c r="F34" i="67"/>
  <c r="H33" i="67"/>
  <c r="G33" i="67"/>
  <c r="F33" i="67"/>
  <c r="H32" i="67"/>
  <c r="F32" i="67" s="1"/>
  <c r="G32" i="67"/>
  <c r="F31" i="67"/>
  <c r="F30" i="67"/>
  <c r="F88" i="67" s="1"/>
  <c r="F29" i="67"/>
  <c r="F28" i="67"/>
  <c r="H27" i="67"/>
  <c r="G27" i="67"/>
  <c r="F27" i="67" s="1"/>
  <c r="H26" i="67"/>
  <c r="G26" i="67"/>
  <c r="F26" i="67"/>
  <c r="F25" i="67"/>
  <c r="F24" i="67"/>
  <c r="F23" i="67"/>
  <c r="I22" i="67"/>
  <c r="F21" i="67"/>
  <c r="E21" i="67"/>
  <c r="F20" i="67"/>
  <c r="E20" i="67"/>
  <c r="F19" i="67"/>
  <c r="F18" i="67"/>
  <c r="F17" i="67"/>
  <c r="I16" i="67"/>
  <c r="F16" i="67"/>
  <c r="H15" i="67"/>
  <c r="G15" i="67"/>
  <c r="F15" i="67" s="1"/>
  <c r="H14" i="67"/>
  <c r="F14" i="67"/>
  <c r="I13" i="67"/>
  <c r="F13" i="67" s="1"/>
  <c r="I12" i="67"/>
  <c r="I92" i="67" s="1"/>
  <c r="H12" i="67"/>
  <c r="G12" i="67"/>
  <c r="H11" i="67"/>
  <c r="G11" i="67"/>
  <c r="F11" i="67"/>
  <c r="I10" i="67"/>
  <c r="I90" i="67" s="1"/>
  <c r="F10" i="67"/>
  <c r="F37" i="67" l="1"/>
  <c r="F78" i="67" s="1"/>
  <c r="F12" i="67"/>
  <c r="G92" i="67"/>
  <c r="G78" i="67"/>
  <c r="H79" i="67"/>
  <c r="L79" i="67"/>
  <c r="P79" i="67"/>
  <c r="G39" i="67"/>
  <c r="F91" i="67"/>
  <c r="F38" i="67"/>
  <c r="H92" i="67"/>
  <c r="H39" i="67"/>
  <c r="H80" i="67" s="1"/>
  <c r="F22" i="67"/>
  <c r="I86" i="67"/>
  <c r="I79" i="67"/>
  <c r="M79" i="67"/>
  <c r="Q79" i="67"/>
  <c r="N80" i="67"/>
  <c r="G91" i="67"/>
  <c r="G38" i="67"/>
  <c r="G79" i="67" s="1"/>
  <c r="F86" i="67"/>
  <c r="J78" i="67"/>
  <c r="N78" i="67"/>
  <c r="R78" i="67"/>
  <c r="K80" i="67"/>
  <c r="O80" i="67"/>
  <c r="J75" i="67"/>
  <c r="J79" i="67" s="1"/>
  <c r="N75" i="67"/>
  <c r="N79" i="67" s="1"/>
  <c r="R75" i="67"/>
  <c r="R79" i="67" s="1"/>
  <c r="G61" i="67"/>
  <c r="G76" i="67" s="1"/>
  <c r="H72" i="67"/>
  <c r="E92" i="67"/>
  <c r="E39" i="67"/>
  <c r="E80" i="67" s="1"/>
  <c r="F36" i="67"/>
  <c r="F84" i="67" s="1"/>
  <c r="K78" i="67"/>
  <c r="O78" i="67"/>
  <c r="E79" i="67"/>
  <c r="F49" i="67"/>
  <c r="F75" i="67" s="1"/>
  <c r="H76" i="67"/>
  <c r="H74" i="67"/>
  <c r="H78" i="67" s="1"/>
  <c r="L74" i="67"/>
  <c r="L78" i="67" s="1"/>
  <c r="P74" i="67"/>
  <c r="P78" i="67" s="1"/>
  <c r="G75" i="67"/>
  <c r="K75" i="67"/>
  <c r="K79" i="67" s="1"/>
  <c r="O75" i="67"/>
  <c r="O79" i="67" s="1"/>
  <c r="I37" i="67"/>
  <c r="I78" i="67" s="1"/>
  <c r="I39" i="67"/>
  <c r="I80" i="67" s="1"/>
  <c r="G80" i="67" l="1"/>
  <c r="F79" i="67"/>
  <c r="F92" i="67"/>
  <c r="F39" i="67"/>
  <c r="F80" i="67" s="1"/>
  <c r="F7" i="66" l="1"/>
  <c r="F160" i="66" s="1"/>
  <c r="F8" i="66"/>
  <c r="F9" i="66"/>
  <c r="F10" i="66"/>
  <c r="E11" i="66"/>
  <c r="H11" i="66"/>
  <c r="I11" i="66"/>
  <c r="J11" i="66"/>
  <c r="J149" i="66" s="1"/>
  <c r="M11" i="66"/>
  <c r="M161" i="66" s="1"/>
  <c r="F12" i="66"/>
  <c r="F13" i="66"/>
  <c r="F14" i="66"/>
  <c r="F15" i="66"/>
  <c r="F16" i="66"/>
  <c r="E17" i="66"/>
  <c r="E153" i="66" s="1"/>
  <c r="I17" i="66"/>
  <c r="I153" i="66" s="1"/>
  <c r="F18" i="66"/>
  <c r="E19" i="66"/>
  <c r="E148" i="66" s="1"/>
  <c r="M19" i="66"/>
  <c r="M148" i="66" s="1"/>
  <c r="E20" i="66"/>
  <c r="I20" i="66"/>
  <c r="F20" i="66" s="1"/>
  <c r="M20" i="66"/>
  <c r="M153" i="66" s="1"/>
  <c r="N20" i="66"/>
  <c r="F21" i="66"/>
  <c r="F154" i="66" s="1"/>
  <c r="F22" i="66"/>
  <c r="F23" i="66"/>
  <c r="F24" i="66"/>
  <c r="I25" i="66"/>
  <c r="I148" i="66" s="1"/>
  <c r="F26" i="66"/>
  <c r="F27" i="66"/>
  <c r="F28" i="66"/>
  <c r="F29" i="66"/>
  <c r="F30" i="66"/>
  <c r="F31" i="66"/>
  <c r="F32" i="66"/>
  <c r="F33" i="66"/>
  <c r="F34" i="66"/>
  <c r="E35" i="66"/>
  <c r="Q35" i="66"/>
  <c r="F35" i="66" s="1"/>
  <c r="F36" i="66"/>
  <c r="F162" i="66" s="1"/>
  <c r="F37" i="66"/>
  <c r="F38" i="66"/>
  <c r="F39" i="66"/>
  <c r="F40" i="66"/>
  <c r="J41" i="66"/>
  <c r="F41" i="66" s="1"/>
  <c r="R41" i="66"/>
  <c r="R149" i="66" s="1"/>
  <c r="F42" i="66"/>
  <c r="F43" i="66"/>
  <c r="J44" i="66"/>
  <c r="F44" i="66" s="1"/>
  <c r="F45" i="66"/>
  <c r="F46" i="66"/>
  <c r="F47" i="66"/>
  <c r="F48" i="66"/>
  <c r="F49" i="66"/>
  <c r="F50" i="66"/>
  <c r="F51" i="66"/>
  <c r="F52" i="66"/>
  <c r="F53" i="66"/>
  <c r="F54" i="66"/>
  <c r="F55" i="66"/>
  <c r="I56" i="66"/>
  <c r="F56" i="66" s="1"/>
  <c r="M56" i="66"/>
  <c r="N56" i="66"/>
  <c r="N149" i="66" s="1"/>
  <c r="F57" i="66"/>
  <c r="F58" i="66"/>
  <c r="I59" i="66"/>
  <c r="F59" i="66" s="1"/>
  <c r="F60" i="66"/>
  <c r="F61" i="66"/>
  <c r="J62" i="66"/>
  <c r="F62" i="66" s="1"/>
  <c r="F63" i="66"/>
  <c r="F64" i="66"/>
  <c r="I65" i="66"/>
  <c r="F65" i="66" s="1"/>
  <c r="F66" i="66"/>
  <c r="F67" i="66"/>
  <c r="F68" i="66"/>
  <c r="F69" i="66"/>
  <c r="F70" i="66"/>
  <c r="F71" i="66"/>
  <c r="I71" i="66"/>
  <c r="F72" i="66"/>
  <c r="F73" i="66"/>
  <c r="F74" i="66"/>
  <c r="F75" i="66"/>
  <c r="F76" i="66"/>
  <c r="F77" i="66"/>
  <c r="F78" i="66"/>
  <c r="I79" i="66"/>
  <c r="F79" i="66" s="1"/>
  <c r="I80" i="66"/>
  <c r="F80" i="66" s="1"/>
  <c r="N80" i="66"/>
  <c r="F81" i="66"/>
  <c r="F82" i="66"/>
  <c r="F83" i="66"/>
  <c r="I83" i="66"/>
  <c r="F84" i="66"/>
  <c r="F85" i="66"/>
  <c r="F86" i="66"/>
  <c r="F87" i="66"/>
  <c r="F88" i="66"/>
  <c r="F89" i="66"/>
  <c r="F90" i="66"/>
  <c r="F91" i="66"/>
  <c r="I92" i="66"/>
  <c r="F92" i="66" s="1"/>
  <c r="O92" i="66"/>
  <c r="O149" i="66" s="1"/>
  <c r="F93" i="66"/>
  <c r="F94" i="66"/>
  <c r="I95" i="66"/>
  <c r="F95" i="66" s="1"/>
  <c r="M95" i="66"/>
  <c r="F96" i="66"/>
  <c r="F97" i="66"/>
  <c r="F98" i="66"/>
  <c r="F99" i="66"/>
  <c r="F100" i="66"/>
  <c r="G101" i="66"/>
  <c r="G149" i="66" s="1"/>
  <c r="H101" i="66"/>
  <c r="I101" i="66"/>
  <c r="G102" i="66"/>
  <c r="G150" i="66" s="1"/>
  <c r="H102" i="66"/>
  <c r="I102" i="66"/>
  <c r="I158" i="66" s="1"/>
  <c r="F103" i="66"/>
  <c r="F104" i="66"/>
  <c r="F105" i="66"/>
  <c r="I106" i="66"/>
  <c r="F106" i="66" s="1"/>
  <c r="F107" i="66"/>
  <c r="F108" i="66"/>
  <c r="F109" i="66"/>
  <c r="F110" i="66"/>
  <c r="F111" i="66"/>
  <c r="F112" i="66"/>
  <c r="I113" i="66"/>
  <c r="F113" i="66" s="1"/>
  <c r="F114" i="66"/>
  <c r="F115" i="66"/>
  <c r="J116" i="66"/>
  <c r="F116" i="66" s="1"/>
  <c r="F117" i="66"/>
  <c r="F118" i="66"/>
  <c r="G119" i="66"/>
  <c r="F119" i="66" s="1"/>
  <c r="H119" i="66"/>
  <c r="H157" i="66" s="1"/>
  <c r="I119" i="66"/>
  <c r="J119" i="66"/>
  <c r="G120" i="66"/>
  <c r="F120" i="66" s="1"/>
  <c r="H120" i="66"/>
  <c r="J120" i="66"/>
  <c r="F121" i="66"/>
  <c r="F122" i="66"/>
  <c r="I122" i="66"/>
  <c r="I123" i="66"/>
  <c r="F123" i="66" s="1"/>
  <c r="F124" i="66"/>
  <c r="I124" i="66"/>
  <c r="F125" i="66"/>
  <c r="F126" i="66"/>
  <c r="F127" i="66"/>
  <c r="F128" i="66"/>
  <c r="F129" i="66"/>
  <c r="F130" i="66"/>
  <c r="F131" i="66"/>
  <c r="F132" i="66"/>
  <c r="F133" i="66"/>
  <c r="F134" i="66"/>
  <c r="F135" i="66"/>
  <c r="F136" i="66"/>
  <c r="K137" i="66"/>
  <c r="F137" i="66" s="1"/>
  <c r="F138" i="66"/>
  <c r="F139" i="66"/>
  <c r="I140" i="66"/>
  <c r="F140" i="66" s="1"/>
  <c r="Q140" i="66"/>
  <c r="Q161" i="66" s="1"/>
  <c r="F141" i="66"/>
  <c r="F142" i="66"/>
  <c r="L143" i="66"/>
  <c r="L161" i="66" s="1"/>
  <c r="F144" i="66"/>
  <c r="F145" i="66"/>
  <c r="F146" i="66"/>
  <c r="F147" i="66"/>
  <c r="G148" i="66"/>
  <c r="H148" i="66"/>
  <c r="J148" i="66"/>
  <c r="K148" i="66"/>
  <c r="L148" i="66"/>
  <c r="N148" i="66"/>
  <c r="O148" i="66"/>
  <c r="P148" i="66"/>
  <c r="Q148" i="66"/>
  <c r="R148" i="66"/>
  <c r="S148" i="66"/>
  <c r="E149" i="66"/>
  <c r="I149" i="66"/>
  <c r="M149" i="66"/>
  <c r="P149" i="66"/>
  <c r="Q149" i="66"/>
  <c r="S149" i="66"/>
  <c r="E150" i="66"/>
  <c r="H150" i="66"/>
  <c r="I150" i="66"/>
  <c r="J150" i="66"/>
  <c r="K150" i="66"/>
  <c r="L150" i="66"/>
  <c r="M150" i="66"/>
  <c r="N150" i="66"/>
  <c r="O150" i="66"/>
  <c r="P150" i="66"/>
  <c r="Q150" i="66"/>
  <c r="R150" i="66"/>
  <c r="S150" i="66"/>
  <c r="E152" i="66"/>
  <c r="G152" i="66"/>
  <c r="H152" i="66"/>
  <c r="J152" i="66"/>
  <c r="K152" i="66"/>
  <c r="L152" i="66"/>
  <c r="N152" i="66"/>
  <c r="O152" i="66"/>
  <c r="P152" i="66"/>
  <c r="Q152" i="66"/>
  <c r="R152" i="66"/>
  <c r="S152" i="66"/>
  <c r="G153" i="66"/>
  <c r="H153" i="66"/>
  <c r="K153" i="66"/>
  <c r="L153" i="66"/>
  <c r="N153" i="66"/>
  <c r="P153" i="66"/>
  <c r="Q153" i="66"/>
  <c r="R153" i="66"/>
  <c r="S153" i="66"/>
  <c r="E154" i="66"/>
  <c r="G154" i="66"/>
  <c r="H154" i="66"/>
  <c r="I154" i="66"/>
  <c r="J154" i="66"/>
  <c r="K154" i="66"/>
  <c r="L154" i="66"/>
  <c r="M154" i="66"/>
  <c r="N154" i="66"/>
  <c r="O154" i="66"/>
  <c r="P154" i="66"/>
  <c r="Q154" i="66"/>
  <c r="R154" i="66"/>
  <c r="S154" i="66"/>
  <c r="E156" i="66"/>
  <c r="G156" i="66"/>
  <c r="H156" i="66"/>
  <c r="I156" i="66"/>
  <c r="J156" i="66"/>
  <c r="K156" i="66"/>
  <c r="L156" i="66"/>
  <c r="M156" i="66"/>
  <c r="N156" i="66"/>
  <c r="O156" i="66"/>
  <c r="P156" i="66"/>
  <c r="Q156" i="66"/>
  <c r="R156" i="66"/>
  <c r="S156" i="66"/>
  <c r="E157" i="66"/>
  <c r="G157" i="66"/>
  <c r="J157" i="66"/>
  <c r="K157" i="66"/>
  <c r="L157" i="66"/>
  <c r="M157" i="66"/>
  <c r="N157" i="66"/>
  <c r="O157" i="66"/>
  <c r="P157" i="66"/>
  <c r="Q157" i="66"/>
  <c r="R157" i="66"/>
  <c r="S157" i="66"/>
  <c r="E158" i="66"/>
  <c r="H158" i="66"/>
  <c r="J158" i="66"/>
  <c r="K158" i="66"/>
  <c r="L158" i="66"/>
  <c r="M158" i="66"/>
  <c r="N158" i="66"/>
  <c r="O158" i="66"/>
  <c r="P158" i="66"/>
  <c r="Q158" i="66"/>
  <c r="R158" i="66"/>
  <c r="S158" i="66"/>
  <c r="E160" i="66"/>
  <c r="G160" i="66"/>
  <c r="H160" i="66"/>
  <c r="I160" i="66"/>
  <c r="J160" i="66"/>
  <c r="K160" i="66"/>
  <c r="L160" i="66"/>
  <c r="M160" i="66"/>
  <c r="N160" i="66"/>
  <c r="O160" i="66"/>
  <c r="P160" i="66"/>
  <c r="Q160" i="66"/>
  <c r="R160" i="66"/>
  <c r="S160" i="66"/>
  <c r="E161" i="66"/>
  <c r="G161" i="66"/>
  <c r="H161" i="66"/>
  <c r="I161" i="66"/>
  <c r="J161" i="66"/>
  <c r="K161" i="66"/>
  <c r="N161" i="66"/>
  <c r="O161" i="66"/>
  <c r="P161" i="66"/>
  <c r="R161" i="66"/>
  <c r="S161" i="66"/>
  <c r="E162" i="66"/>
  <c r="G162" i="66"/>
  <c r="H162" i="66"/>
  <c r="I162" i="66"/>
  <c r="J162" i="66"/>
  <c r="K162" i="66"/>
  <c r="L162" i="66"/>
  <c r="M162" i="66"/>
  <c r="N162" i="66"/>
  <c r="O162" i="66"/>
  <c r="P162" i="66"/>
  <c r="Q162" i="66"/>
  <c r="R162" i="66"/>
  <c r="S162" i="66"/>
  <c r="F11" i="66" l="1"/>
  <c r="F161" i="66" s="1"/>
  <c r="G158" i="66"/>
  <c r="O153" i="66"/>
  <c r="L149" i="66"/>
  <c r="H149" i="66"/>
  <c r="F143" i="66"/>
  <c r="F102" i="66"/>
  <c r="F150" i="66" s="1"/>
  <c r="F101" i="66"/>
  <c r="F157" i="66" s="1"/>
  <c r="F19" i="66"/>
  <c r="F152" i="66" s="1"/>
  <c r="F17" i="66"/>
  <c r="F153" i="66" s="1"/>
  <c r="I157" i="66"/>
  <c r="J153" i="66"/>
  <c r="M152" i="66"/>
  <c r="I152" i="66"/>
  <c r="K149" i="66"/>
  <c r="F25" i="66"/>
  <c r="F156" i="66" s="1"/>
  <c r="F148" i="66" l="1"/>
  <c r="F149" i="66"/>
  <c r="F158" i="66"/>
  <c r="F72" i="12" l="1"/>
  <c r="F42" i="12" l="1"/>
  <c r="F34" i="12"/>
  <c r="F7" i="12"/>
  <c r="I21" i="59" l="1"/>
  <c r="F14" i="11" l="1"/>
  <c r="B8" i="60" l="1"/>
  <c r="C8" i="60"/>
  <c r="D8" i="60"/>
  <c r="E8" i="60"/>
  <c r="G8" i="60"/>
  <c r="H8" i="60"/>
  <c r="I8" i="60"/>
  <c r="J8" i="60"/>
  <c r="B12" i="60"/>
  <c r="C12" i="60"/>
  <c r="D12" i="60"/>
  <c r="E12" i="60"/>
  <c r="H12" i="60"/>
  <c r="J12" i="60"/>
  <c r="J6" i="60" s="1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F34" i="60"/>
  <c r="F12" i="60" s="1"/>
  <c r="F6" i="60" s="1"/>
  <c r="I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I46" i="60"/>
  <c r="G47" i="60"/>
  <c r="G48" i="60"/>
  <c r="G49" i="60"/>
  <c r="G50" i="60"/>
  <c r="G51" i="60"/>
  <c r="B58" i="60"/>
  <c r="C58" i="60"/>
  <c r="D58" i="60"/>
  <c r="E58" i="60"/>
  <c r="F58" i="60"/>
  <c r="G58" i="60"/>
  <c r="H58" i="60"/>
  <c r="J58" i="60"/>
  <c r="B62" i="60"/>
  <c r="C62" i="60"/>
  <c r="D62" i="60"/>
  <c r="E62" i="60"/>
  <c r="F62" i="60"/>
  <c r="H62" i="60"/>
  <c r="J62" i="60"/>
  <c r="G63" i="60"/>
  <c r="G64" i="60"/>
  <c r="G65" i="60"/>
  <c r="G66" i="60"/>
  <c r="G67" i="60"/>
  <c r="G68" i="60"/>
  <c r="G69" i="60"/>
  <c r="G70" i="60"/>
  <c r="G34" i="60" l="1"/>
  <c r="B6" i="60"/>
  <c r="B73" i="60" s="1"/>
  <c r="I12" i="60"/>
  <c r="I6" i="60" s="1"/>
  <c r="J73" i="60"/>
  <c r="C6" i="60"/>
  <c r="C73" i="60" s="1"/>
  <c r="G62" i="60"/>
  <c r="F73" i="60"/>
  <c r="E6" i="60"/>
  <c r="E73" i="60" s="1"/>
  <c r="G12" i="60"/>
  <c r="G6" i="60" s="1"/>
  <c r="D6" i="60"/>
  <c r="D73" i="60" s="1"/>
  <c r="H6" i="60"/>
  <c r="H73" i="60" s="1"/>
  <c r="G73" i="60" l="1"/>
  <c r="F10" i="4"/>
  <c r="N8" i="45" l="1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7" i="45"/>
  <c r="E19" i="4" l="1"/>
  <c r="D19" i="4"/>
  <c r="K9" i="60" l="1"/>
  <c r="K23" i="60"/>
  <c r="K34" i="60"/>
  <c r="K7" i="60" l="1"/>
  <c r="D52" i="2" l="1"/>
  <c r="D51" i="2"/>
  <c r="D49" i="2"/>
  <c r="D48" i="2"/>
  <c r="D47" i="2"/>
  <c r="H35" i="2"/>
  <c r="H36" i="2"/>
  <c r="H34" i="2"/>
  <c r="D24" i="2"/>
  <c r="D23" i="3"/>
  <c r="D23" i="2"/>
  <c r="D22" i="2"/>
  <c r="D21" i="2"/>
  <c r="D20" i="2"/>
  <c r="D19" i="2"/>
  <c r="D18" i="2"/>
  <c r="D16" i="2"/>
  <c r="D15" i="2"/>
  <c r="D50" i="2" l="1"/>
  <c r="D14" i="2"/>
  <c r="D12" i="2"/>
  <c r="D10" i="2"/>
  <c r="D30" i="2"/>
  <c r="D32" i="2"/>
  <c r="D34" i="2"/>
  <c r="D35" i="2"/>
  <c r="D36" i="2"/>
  <c r="D37" i="2" l="1"/>
  <c r="D9" i="2"/>
  <c r="C50" i="1"/>
  <c r="D50" i="1"/>
  <c r="E50" i="1"/>
  <c r="M44" i="3" l="1"/>
  <c r="M42" i="3"/>
  <c r="E48" i="3"/>
  <c r="F48" i="3"/>
  <c r="G48" i="3"/>
  <c r="H48" i="3"/>
  <c r="I48" i="3"/>
  <c r="J48" i="3"/>
  <c r="C48" i="3"/>
  <c r="D48" i="3"/>
  <c r="B48" i="3"/>
  <c r="D28" i="13" l="1"/>
  <c r="D13" i="13"/>
  <c r="D8" i="13"/>
  <c r="D14" i="13" s="1"/>
  <c r="D20" i="13" s="1"/>
  <c r="D21" i="13" s="1"/>
  <c r="D32" i="13" s="1"/>
  <c r="C60" i="12"/>
  <c r="D60" i="12"/>
  <c r="E60" i="12"/>
  <c r="B72" i="12"/>
  <c r="F82" i="11"/>
  <c r="F6" i="11" l="1"/>
  <c r="F73" i="11"/>
  <c r="I36" i="59" l="1"/>
  <c r="X5" i="68" l="1"/>
  <c r="Y5" i="68"/>
  <c r="Z5" i="68"/>
  <c r="AC5" i="68"/>
  <c r="X6" i="68"/>
  <c r="Y6" i="68"/>
  <c r="Z6" i="68"/>
  <c r="AA6" i="68"/>
  <c r="AC6" i="68" s="1"/>
  <c r="X8" i="68"/>
  <c r="Y8" i="68"/>
  <c r="Z8" i="68"/>
  <c r="AC8" i="68" s="1"/>
  <c r="X9" i="68"/>
  <c r="Y9" i="68"/>
  <c r="Z9" i="68"/>
  <c r="X11" i="68"/>
  <c r="Y11" i="68"/>
  <c r="Y74" i="68" s="1"/>
  <c r="Y77" i="68" s="1"/>
  <c r="Z11" i="68"/>
  <c r="X12" i="68"/>
  <c r="Y12" i="68"/>
  <c r="Z12" i="68"/>
  <c r="AC12" i="68" s="1"/>
  <c r="X14" i="68"/>
  <c r="Y14" i="68"/>
  <c r="Z14" i="68"/>
  <c r="AC14" i="68" s="1"/>
  <c r="X15" i="68"/>
  <c r="Y15" i="68"/>
  <c r="Z15" i="68"/>
  <c r="X17" i="68"/>
  <c r="Y17" i="68"/>
  <c r="Z17" i="68"/>
  <c r="X18" i="68"/>
  <c r="Y18" i="68"/>
  <c r="Z18" i="68"/>
  <c r="AC18" i="68" s="1"/>
  <c r="X20" i="68"/>
  <c r="Y20" i="68"/>
  <c r="Z20" i="68"/>
  <c r="AC20" i="68" s="1"/>
  <c r="X21" i="68"/>
  <c r="Y21" i="68"/>
  <c r="Z21" i="68"/>
  <c r="AA21" i="68"/>
  <c r="AB21" i="68"/>
  <c r="X23" i="68"/>
  <c r="AC23" i="68" s="1"/>
  <c r="Y23" i="68"/>
  <c r="Z23" i="68"/>
  <c r="X24" i="68"/>
  <c r="Y24" i="68"/>
  <c r="Z24" i="68"/>
  <c r="X26" i="68"/>
  <c r="Y26" i="68"/>
  <c r="AC26" i="68" s="1"/>
  <c r="Z26" i="68"/>
  <c r="AA26" i="68"/>
  <c r="X27" i="68"/>
  <c r="Y27" i="68"/>
  <c r="Z27" i="68"/>
  <c r="AA27" i="68"/>
  <c r="Z29" i="68"/>
  <c r="AC29" i="68" s="1"/>
  <c r="Z30" i="68"/>
  <c r="AC30" i="68" s="1"/>
  <c r="Z35" i="68"/>
  <c r="AC35" i="68"/>
  <c r="R35" i="68" s="1"/>
  <c r="T35" i="68" s="1"/>
  <c r="Z36" i="68"/>
  <c r="AC36" i="68" s="1"/>
  <c r="AA39" i="68"/>
  <c r="AA63" i="68" s="1"/>
  <c r="AB39" i="68"/>
  <c r="Z41" i="68"/>
  <c r="AC41" i="68" s="1"/>
  <c r="Z42" i="68"/>
  <c r="AC42" i="68" s="1"/>
  <c r="Z44" i="68"/>
  <c r="AC44" i="68" s="1"/>
  <c r="Z45" i="68"/>
  <c r="AC45" i="68" s="1"/>
  <c r="AC50" i="68"/>
  <c r="R50" i="68" s="1"/>
  <c r="T50" i="68" s="1"/>
  <c r="Z51" i="68"/>
  <c r="AC51" i="68" s="1"/>
  <c r="AC53" i="68"/>
  <c r="Z54" i="68"/>
  <c r="AC54" i="68" s="1"/>
  <c r="Z56" i="68"/>
  <c r="AC56" i="68" s="1"/>
  <c r="Z57" i="68"/>
  <c r="AC57" i="68" s="1"/>
  <c r="X59" i="68"/>
  <c r="X62" i="68" s="1"/>
  <c r="Y59" i="68"/>
  <c r="Z59" i="68"/>
  <c r="X60" i="68"/>
  <c r="Y60" i="68"/>
  <c r="Z60" i="68"/>
  <c r="AA60" i="68"/>
  <c r="Y62" i="68"/>
  <c r="AA62" i="68"/>
  <c r="AB62" i="68"/>
  <c r="X63" i="68"/>
  <c r="Y63" i="68"/>
  <c r="AB63" i="68"/>
  <c r="X65" i="68"/>
  <c r="Y65" i="68"/>
  <c r="AC65" i="68" s="1"/>
  <c r="Z65" i="68"/>
  <c r="AA65" i="68"/>
  <c r="X66" i="68"/>
  <c r="Y66" i="68"/>
  <c r="Z66" i="68"/>
  <c r="AA66" i="68"/>
  <c r="X68" i="68"/>
  <c r="Y68" i="68"/>
  <c r="Z68" i="68"/>
  <c r="AA68" i="68"/>
  <c r="X69" i="68"/>
  <c r="Y69" i="68"/>
  <c r="Z69" i="68"/>
  <c r="AA69" i="68"/>
  <c r="X71" i="68"/>
  <c r="Y71" i="68"/>
  <c r="AC71" i="68" s="1"/>
  <c r="Z71" i="68"/>
  <c r="X72" i="68"/>
  <c r="Y72" i="68"/>
  <c r="Z72" i="68"/>
  <c r="Y73" i="68"/>
  <c r="Z73" i="68"/>
  <c r="AA73" i="68"/>
  <c r="AB73" i="68"/>
  <c r="AB74" i="68"/>
  <c r="AB77" i="68" s="1"/>
  <c r="AB75" i="68"/>
  <c r="AB78" i="68" s="1"/>
  <c r="Y80" i="68"/>
  <c r="AA80" i="68"/>
  <c r="AB80" i="68"/>
  <c r="X81" i="68"/>
  <c r="Y81" i="68"/>
  <c r="AA81" i="68"/>
  <c r="AB81" i="68"/>
  <c r="Q81" i="68"/>
  <c r="P81" i="68"/>
  <c r="O81" i="68"/>
  <c r="N81" i="68"/>
  <c r="M81" i="68"/>
  <c r="L81" i="68"/>
  <c r="K81" i="68"/>
  <c r="J81" i="68"/>
  <c r="I81" i="68"/>
  <c r="G81" i="68"/>
  <c r="F81" i="68"/>
  <c r="D81" i="68"/>
  <c r="Q80" i="68"/>
  <c r="P80" i="68"/>
  <c r="O80" i="68"/>
  <c r="N80" i="68"/>
  <c r="M80" i="68"/>
  <c r="L80" i="68"/>
  <c r="K80" i="68"/>
  <c r="H80" i="68"/>
  <c r="G80" i="68"/>
  <c r="F80" i="68"/>
  <c r="D80" i="68"/>
  <c r="S72" i="68"/>
  <c r="S71" i="68"/>
  <c r="S70" i="68"/>
  <c r="E69" i="68"/>
  <c r="S69" i="68" s="1"/>
  <c r="S68" i="68"/>
  <c r="S67" i="68"/>
  <c r="N66" i="68"/>
  <c r="K66" i="68"/>
  <c r="S65" i="68"/>
  <c r="D63" i="68"/>
  <c r="D75" i="68" s="1"/>
  <c r="D62" i="68"/>
  <c r="D74" i="68" s="1"/>
  <c r="D77" i="68" s="1"/>
  <c r="H60" i="68"/>
  <c r="H81" i="68" s="1"/>
  <c r="E60" i="68"/>
  <c r="E81" i="68" s="1"/>
  <c r="E59" i="68"/>
  <c r="E80" i="68" s="1"/>
  <c r="G57" i="68"/>
  <c r="S57" i="68" s="1"/>
  <c r="G56" i="68"/>
  <c r="S56" i="68" s="1"/>
  <c r="S54" i="68"/>
  <c r="S53" i="68"/>
  <c r="R53" i="68" s="1"/>
  <c r="T53" i="68" s="1"/>
  <c r="S51" i="68"/>
  <c r="Q48" i="68"/>
  <c r="P48" i="68"/>
  <c r="O48" i="68"/>
  <c r="N48" i="68"/>
  <c r="M48" i="68"/>
  <c r="L48" i="68"/>
  <c r="K48" i="68"/>
  <c r="J48" i="68"/>
  <c r="I48" i="68"/>
  <c r="H48" i="68"/>
  <c r="F48" i="68"/>
  <c r="F63" i="68" s="1"/>
  <c r="F75" i="68" s="1"/>
  <c r="F78" i="68" s="1"/>
  <c r="Q47" i="68"/>
  <c r="P47" i="68"/>
  <c r="O47" i="68"/>
  <c r="N47" i="68"/>
  <c r="M47" i="68"/>
  <c r="L47" i="68"/>
  <c r="K47" i="68"/>
  <c r="H47" i="68"/>
  <c r="F47" i="68"/>
  <c r="F62" i="68" s="1"/>
  <c r="F74" i="68" s="1"/>
  <c r="F77" i="68" s="1"/>
  <c r="G45" i="68"/>
  <c r="S45" i="68" s="1"/>
  <c r="G44" i="68"/>
  <c r="S44" i="68" s="1"/>
  <c r="G42" i="68"/>
  <c r="E42" i="68"/>
  <c r="E48" i="68" s="1"/>
  <c r="G41" i="68"/>
  <c r="E41" i="68"/>
  <c r="Q39" i="68"/>
  <c r="P39" i="68"/>
  <c r="P63" i="68" s="1"/>
  <c r="P75" i="68" s="1"/>
  <c r="O39" i="68"/>
  <c r="N39" i="68"/>
  <c r="M39" i="68"/>
  <c r="L39" i="68"/>
  <c r="L63" i="68" s="1"/>
  <c r="L75" i="68" s="1"/>
  <c r="K39" i="68"/>
  <c r="J39" i="68"/>
  <c r="I39" i="68"/>
  <c r="H39" i="68"/>
  <c r="H63" i="68" s="1"/>
  <c r="H75" i="68" s="1"/>
  <c r="Q38" i="68"/>
  <c r="P38" i="68"/>
  <c r="O38" i="68"/>
  <c r="O62" i="68" s="1"/>
  <c r="O74" i="68" s="1"/>
  <c r="O77" i="68" s="1"/>
  <c r="N38" i="68"/>
  <c r="M38" i="68"/>
  <c r="L38" i="68"/>
  <c r="K38" i="68"/>
  <c r="K62" i="68" s="1"/>
  <c r="K74" i="68" s="1"/>
  <c r="K77" i="68" s="1"/>
  <c r="H38" i="68"/>
  <c r="G37" i="68"/>
  <c r="G36" i="68"/>
  <c r="S36" i="68" s="1"/>
  <c r="G35" i="68"/>
  <c r="S35" i="68" s="1"/>
  <c r="S33" i="68"/>
  <c r="G30" i="68"/>
  <c r="G29" i="68"/>
  <c r="G38" i="68" s="1"/>
  <c r="S27" i="68"/>
  <c r="S26" i="68"/>
  <c r="S24" i="68"/>
  <c r="S23" i="68"/>
  <c r="S21" i="68"/>
  <c r="S20" i="68"/>
  <c r="E18" i="68"/>
  <c r="S18" i="68" s="1"/>
  <c r="S17" i="68"/>
  <c r="S15" i="68"/>
  <c r="S14" i="68"/>
  <c r="S12" i="68"/>
  <c r="S11" i="68"/>
  <c r="S9" i="68"/>
  <c r="S8" i="68"/>
  <c r="S6" i="68"/>
  <c r="S5" i="68"/>
  <c r="X75" i="68" l="1"/>
  <c r="X78" i="68" s="1"/>
  <c r="S29" i="68"/>
  <c r="X80" i="68"/>
  <c r="AA75" i="68"/>
  <c r="AA78" i="68" s="1"/>
  <c r="AC72" i="68"/>
  <c r="R72" i="68" s="1"/>
  <c r="T72" i="68" s="1"/>
  <c r="AC66" i="68"/>
  <c r="Z48" i="68"/>
  <c r="AC48" i="68" s="1"/>
  <c r="AC27" i="68"/>
  <c r="R27" i="68" s="1"/>
  <c r="T27" i="68" s="1"/>
  <c r="AC68" i="68"/>
  <c r="AC59" i="68"/>
  <c r="AC80" i="68" s="1"/>
  <c r="Z38" i="68"/>
  <c r="AC38" i="68" s="1"/>
  <c r="AC21" i="68"/>
  <c r="AC15" i="68"/>
  <c r="AC9" i="68"/>
  <c r="AC69" i="68"/>
  <c r="AC60" i="68"/>
  <c r="AC81" i="68" s="1"/>
  <c r="AC17" i="68"/>
  <c r="AC11" i="68"/>
  <c r="AC39" i="68"/>
  <c r="R21" i="68"/>
  <c r="T21" i="68" s="1"/>
  <c r="R11" i="68"/>
  <c r="T11" i="68" s="1"/>
  <c r="Z81" i="68"/>
  <c r="X74" i="68"/>
  <c r="X77" i="68" s="1"/>
  <c r="AC24" i="68"/>
  <c r="R15" i="68"/>
  <c r="T15" i="68" s="1"/>
  <c r="Z47" i="68"/>
  <c r="Z39" i="68"/>
  <c r="Z63" i="68" s="1"/>
  <c r="Z75" i="68" s="1"/>
  <c r="Z78" i="68" s="1"/>
  <c r="I63" i="68"/>
  <c r="I75" i="68" s="1"/>
  <c r="M63" i="68"/>
  <c r="M75" i="68" s="1"/>
  <c r="Q63" i="68"/>
  <c r="Q75" i="68" s="1"/>
  <c r="R57" i="68"/>
  <c r="T57" i="68" s="1"/>
  <c r="Y75" i="68"/>
  <c r="Y78" i="68" s="1"/>
  <c r="AA74" i="68"/>
  <c r="AA77" i="68" s="1"/>
  <c r="R54" i="68"/>
  <c r="T54" i="68" s="1"/>
  <c r="L62" i="68"/>
  <c r="L74" i="68" s="1"/>
  <c r="L77" i="68" s="1"/>
  <c r="P62" i="68"/>
  <c r="P74" i="68" s="1"/>
  <c r="P77" i="68" s="1"/>
  <c r="Z80" i="68"/>
  <c r="J63" i="68"/>
  <c r="J75" i="68" s="1"/>
  <c r="J78" i="68" s="1"/>
  <c r="N63" i="68"/>
  <c r="M62" i="68"/>
  <c r="M74" i="68" s="1"/>
  <c r="M77" i="68" s="1"/>
  <c r="Q62" i="68"/>
  <c r="Q74" i="68" s="1"/>
  <c r="Q77" i="68" s="1"/>
  <c r="G47" i="68"/>
  <c r="G62" i="68" s="1"/>
  <c r="G74" i="68" s="1"/>
  <c r="G77" i="68" s="1"/>
  <c r="S59" i="68"/>
  <c r="S80" i="68" s="1"/>
  <c r="R44" i="68"/>
  <c r="T44" i="68" s="1"/>
  <c r="R8" i="68"/>
  <c r="T8" i="68" s="1"/>
  <c r="R12" i="68"/>
  <c r="T12" i="68" s="1"/>
  <c r="R14" i="68"/>
  <c r="T14" i="68" s="1"/>
  <c r="R26" i="68"/>
  <c r="T26" i="68" s="1"/>
  <c r="R29" i="68"/>
  <c r="H62" i="68"/>
  <c r="H74" i="68" s="1"/>
  <c r="H77" i="68" s="1"/>
  <c r="N62" i="68"/>
  <c r="N74" i="68" s="1"/>
  <c r="N77" i="68" s="1"/>
  <c r="E63" i="68"/>
  <c r="E75" i="68" s="1"/>
  <c r="R69" i="68"/>
  <c r="T69" i="68" s="1"/>
  <c r="R9" i="68"/>
  <c r="T9" i="68" s="1"/>
  <c r="R36" i="68"/>
  <c r="T36" i="68" s="1"/>
  <c r="G48" i="68"/>
  <c r="S48" i="68" s="1"/>
  <c r="R51" i="68"/>
  <c r="T51" i="68" s="1"/>
  <c r="R56" i="68"/>
  <c r="T56" i="68" s="1"/>
  <c r="S60" i="68"/>
  <c r="S81" i="68" s="1"/>
  <c r="R6" i="68"/>
  <c r="R17" i="68"/>
  <c r="T17" i="68" s="1"/>
  <c r="R20" i="68"/>
  <c r="T20" i="68" s="1"/>
  <c r="R59" i="68"/>
  <c r="R65" i="68"/>
  <c r="T65" i="68" s="1"/>
  <c r="S66" i="68"/>
  <c r="R66" i="68" s="1"/>
  <c r="T66" i="68" s="1"/>
  <c r="M78" i="68"/>
  <c r="Q78" i="68"/>
  <c r="P78" i="68"/>
  <c r="E47" i="68"/>
  <c r="E62" i="68" s="1"/>
  <c r="E74" i="68" s="1"/>
  <c r="E77" i="68" s="1"/>
  <c r="S41" i="68"/>
  <c r="S47" i="68" s="1"/>
  <c r="G39" i="68"/>
  <c r="S30" i="68"/>
  <c r="R30" i="68" s="1"/>
  <c r="N75" i="68"/>
  <c r="H78" i="68"/>
  <c r="R68" i="68"/>
  <c r="T68" i="68" s="1"/>
  <c r="R45" i="68"/>
  <c r="T45" i="68" s="1"/>
  <c r="D78" i="68"/>
  <c r="R18" i="68"/>
  <c r="T18" i="68" s="1"/>
  <c r="R23" i="68"/>
  <c r="T23" i="68" s="1"/>
  <c r="R24" i="68"/>
  <c r="T24" i="68" s="1"/>
  <c r="S38" i="68"/>
  <c r="S62" i="68" s="1"/>
  <c r="S74" i="68" s="1"/>
  <c r="S77" i="68" s="1"/>
  <c r="K63" i="68"/>
  <c r="K75" i="68" s="1"/>
  <c r="O63" i="68"/>
  <c r="O75" i="68" s="1"/>
  <c r="L78" i="68"/>
  <c r="R71" i="68"/>
  <c r="T71" i="68" s="1"/>
  <c r="I78" i="68"/>
  <c r="S42" i="68"/>
  <c r="AC63" i="68" l="1"/>
  <c r="AC75" i="68"/>
  <c r="AC78" i="68" s="1"/>
  <c r="AC47" i="68"/>
  <c r="AC62" i="68" s="1"/>
  <c r="AC74" i="68" s="1"/>
  <c r="AC77" i="68" s="1"/>
  <c r="Z62" i="68"/>
  <c r="Z74" i="68" s="1"/>
  <c r="Z77" i="68" s="1"/>
  <c r="R42" i="68"/>
  <c r="R60" i="68"/>
  <c r="E78" i="68"/>
  <c r="S39" i="68"/>
  <c r="G63" i="68"/>
  <c r="R80" i="68"/>
  <c r="T59" i="68"/>
  <c r="T80" i="68" s="1"/>
  <c r="O78" i="68"/>
  <c r="R39" i="68"/>
  <c r="T30" i="68"/>
  <c r="T39" i="68" s="1"/>
  <c r="N78" i="68"/>
  <c r="R48" i="68"/>
  <c r="T42" i="68"/>
  <c r="T48" i="68" s="1"/>
  <c r="K78" i="68"/>
  <c r="R38" i="68"/>
  <c r="T29" i="68"/>
  <c r="T38" i="68" s="1"/>
  <c r="R5" i="68"/>
  <c r="R81" i="68"/>
  <c r="T60" i="68"/>
  <c r="T81" i="68" s="1"/>
  <c r="R41" i="68"/>
  <c r="T6" i="68"/>
  <c r="J38" i="3"/>
  <c r="R47" i="68" l="1"/>
  <c r="R62" i="68" s="1"/>
  <c r="R74" i="68" s="1"/>
  <c r="R77" i="68" s="1"/>
  <c r="T41" i="68"/>
  <c r="T47" i="68" s="1"/>
  <c r="T63" i="68"/>
  <c r="G75" i="68"/>
  <c r="S63" i="68"/>
  <c r="S75" i="68" s="1"/>
  <c r="T75" i="68"/>
  <c r="T5" i="68"/>
  <c r="T62" i="68"/>
  <c r="R63" i="68"/>
  <c r="R75" i="68" s="1"/>
  <c r="R78" i="68" l="1"/>
  <c r="T74" i="68"/>
  <c r="T77" i="68" s="1"/>
  <c r="G78" i="68"/>
  <c r="S78" i="68" s="1"/>
  <c r="T78" i="68"/>
  <c r="J49" i="1"/>
  <c r="I49" i="1"/>
  <c r="I48" i="1"/>
  <c r="J35" i="1"/>
  <c r="J32" i="1"/>
  <c r="J18" i="1"/>
  <c r="H56" i="2"/>
  <c r="G51" i="2"/>
  <c r="G36" i="2"/>
  <c r="G14" i="2"/>
  <c r="D62" i="2"/>
  <c r="G35" i="2"/>
  <c r="M8" i="3"/>
  <c r="E9" i="1" s="1"/>
  <c r="M10" i="3"/>
  <c r="D46" i="2" s="1"/>
  <c r="M13" i="3"/>
  <c r="M14" i="3"/>
  <c r="M16" i="3"/>
  <c r="M17" i="3"/>
  <c r="M18" i="3"/>
  <c r="M19" i="3"/>
  <c r="M20" i="3"/>
  <c r="E16" i="1" s="1"/>
  <c r="M21" i="3"/>
  <c r="E18" i="1" s="1"/>
  <c r="M22" i="3"/>
  <c r="M24" i="3"/>
  <c r="E21" i="1" s="1"/>
  <c r="M25" i="3"/>
  <c r="E22" i="1" s="1"/>
  <c r="M26" i="3"/>
  <c r="M27" i="3"/>
  <c r="M28" i="3"/>
  <c r="E25" i="1" s="1"/>
  <c r="M29" i="3"/>
  <c r="E26" i="1" s="1"/>
  <c r="M30" i="3"/>
  <c r="E27" i="1" s="1"/>
  <c r="M31" i="3"/>
  <c r="M33" i="3"/>
  <c r="E31" i="1" s="1"/>
  <c r="M34" i="3"/>
  <c r="E30" i="1" s="1"/>
  <c r="M36" i="3"/>
  <c r="M37" i="3"/>
  <c r="M39" i="3"/>
  <c r="E37" i="1" s="1"/>
  <c r="M40" i="3"/>
  <c r="E38" i="1" s="1"/>
  <c r="M43" i="3"/>
  <c r="E45" i="1"/>
  <c r="M45" i="3"/>
  <c r="M46" i="3"/>
  <c r="E48" i="1" s="1"/>
  <c r="M47" i="3"/>
  <c r="E49" i="1" s="1"/>
  <c r="M6" i="3"/>
  <c r="D5" i="2" s="1"/>
  <c r="G38" i="3"/>
  <c r="F38" i="3"/>
  <c r="E38" i="3"/>
  <c r="J35" i="3"/>
  <c r="I35" i="3"/>
  <c r="G23" i="3"/>
  <c r="J23" i="3"/>
  <c r="G11" i="3"/>
  <c r="J32" i="3"/>
  <c r="J11" i="3"/>
  <c r="J9" i="3"/>
  <c r="J7" i="3"/>
  <c r="G32" i="3"/>
  <c r="G9" i="3"/>
  <c r="G7" i="3"/>
  <c r="D38" i="3"/>
  <c r="M38" i="3" s="1"/>
  <c r="E36" i="1" s="1"/>
  <c r="D35" i="3"/>
  <c r="D32" i="3"/>
  <c r="D15" i="3"/>
  <c r="M15" i="3" s="1"/>
  <c r="C15" i="3"/>
  <c r="C12" i="3"/>
  <c r="D12" i="3"/>
  <c r="D9" i="3"/>
  <c r="D7" i="3"/>
  <c r="O31" i="4"/>
  <c r="N32" i="4"/>
  <c r="O7" i="4"/>
  <c r="H6" i="2" s="1"/>
  <c r="O8" i="4"/>
  <c r="J13" i="1" s="1"/>
  <c r="O9" i="4"/>
  <c r="J15" i="1" s="1"/>
  <c r="O11" i="4"/>
  <c r="J17" i="1" s="1"/>
  <c r="O12" i="4"/>
  <c r="H12" i="2" s="1"/>
  <c r="O13" i="4"/>
  <c r="H13" i="2" s="1"/>
  <c r="O14" i="4"/>
  <c r="H14" i="2" s="1"/>
  <c r="O15" i="4"/>
  <c r="H15" i="2" s="1"/>
  <c r="O16" i="4"/>
  <c r="J22" i="1" s="1"/>
  <c r="O17" i="4"/>
  <c r="J23" i="1" s="1"/>
  <c r="O18" i="4"/>
  <c r="J26" i="1" s="1"/>
  <c r="O19" i="4"/>
  <c r="J28" i="1" s="1"/>
  <c r="O21" i="4"/>
  <c r="H52" i="2" s="1"/>
  <c r="O22" i="4"/>
  <c r="H53" i="2" s="1"/>
  <c r="O23" i="4"/>
  <c r="H54" i="2" s="1"/>
  <c r="O24" i="4"/>
  <c r="J34" i="1" s="1"/>
  <c r="O25" i="4"/>
  <c r="O27" i="4"/>
  <c r="J41" i="1" s="1"/>
  <c r="O28" i="4"/>
  <c r="J42" i="1" s="1"/>
  <c r="O29" i="4"/>
  <c r="J47" i="1" s="1"/>
  <c r="O30" i="4"/>
  <c r="J48" i="1" s="1"/>
  <c r="O6" i="4"/>
  <c r="J6" i="1" s="1"/>
  <c r="L32" i="4"/>
  <c r="L26" i="4"/>
  <c r="L23" i="4"/>
  <c r="L20" i="4" s="1"/>
  <c r="L10" i="4"/>
  <c r="I32" i="4"/>
  <c r="I23" i="4"/>
  <c r="I20" i="4"/>
  <c r="I26" i="4" s="1"/>
  <c r="I33" i="4" s="1"/>
  <c r="I10" i="4"/>
  <c r="F32" i="4"/>
  <c r="O32" i="4" s="1"/>
  <c r="J50" i="1" s="1"/>
  <c r="O10" i="4"/>
  <c r="D40" i="13"/>
  <c r="I116" i="59"/>
  <c r="I113" i="59"/>
  <c r="I110" i="59"/>
  <c r="I100" i="59"/>
  <c r="I98" i="59" s="1"/>
  <c r="E19" i="10"/>
  <c r="E13" i="10"/>
  <c r="F94" i="11"/>
  <c r="F92" i="11"/>
  <c r="F78" i="11"/>
  <c r="F91" i="12"/>
  <c r="F90" i="12" s="1"/>
  <c r="F87" i="12"/>
  <c r="F86" i="12" s="1"/>
  <c r="F83" i="12"/>
  <c r="F82" i="12" s="1"/>
  <c r="F79" i="12"/>
  <c r="F78" i="12" s="1"/>
  <c r="F96" i="12" s="1"/>
  <c r="F65" i="12"/>
  <c r="F62" i="12"/>
  <c r="F31" i="12"/>
  <c r="F29" i="12"/>
  <c r="E33" i="1" l="1"/>
  <c r="D29" i="2"/>
  <c r="E28" i="1"/>
  <c r="D25" i="2"/>
  <c r="D17" i="2" s="1"/>
  <c r="M9" i="3"/>
  <c r="J19" i="1"/>
  <c r="M48" i="3"/>
  <c r="E24" i="1"/>
  <c r="E44" i="1"/>
  <c r="M35" i="3"/>
  <c r="M32" i="3"/>
  <c r="E29" i="1" s="1"/>
  <c r="M23" i="3"/>
  <c r="E19" i="1"/>
  <c r="D11" i="3"/>
  <c r="M11" i="3" s="1"/>
  <c r="M12" i="3"/>
  <c r="E14" i="1" s="1"/>
  <c r="E15" i="1"/>
  <c r="M7" i="3"/>
  <c r="E8" i="1" s="1"/>
  <c r="E6" i="1"/>
  <c r="D61" i="2"/>
  <c r="D58" i="2" s="1"/>
  <c r="O20" i="4"/>
  <c r="J30" i="1" s="1"/>
  <c r="H58" i="2"/>
  <c r="H55" i="2"/>
  <c r="J31" i="1"/>
  <c r="H49" i="2"/>
  <c r="H17" i="2"/>
  <c r="H16" i="2"/>
  <c r="J21" i="1"/>
  <c r="J33" i="1"/>
  <c r="J20" i="1"/>
  <c r="J16" i="1"/>
  <c r="H10" i="2"/>
  <c r="F26" i="4"/>
  <c r="F33" i="4" s="1"/>
  <c r="H11" i="2"/>
  <c r="H9" i="2"/>
  <c r="J9" i="1"/>
  <c r="H5" i="2"/>
  <c r="E21" i="10"/>
  <c r="F94" i="12"/>
  <c r="F98" i="12" s="1"/>
  <c r="F60" i="12"/>
  <c r="F70" i="12"/>
  <c r="F97" i="11"/>
  <c r="F71" i="11"/>
  <c r="F80" i="11" s="1"/>
  <c r="I129" i="59"/>
  <c r="H47" i="2"/>
  <c r="L33" i="4"/>
  <c r="H8" i="2"/>
  <c r="E47" i="1"/>
  <c r="E23" i="1"/>
  <c r="E10" i="1"/>
  <c r="D45" i="2"/>
  <c r="E11" i="1"/>
  <c r="D7" i="2"/>
  <c r="J41" i="3"/>
  <c r="G41" i="3"/>
  <c r="G49" i="3" s="1"/>
  <c r="H51" i="2" l="1"/>
  <c r="E32" i="1"/>
  <c r="D28" i="2"/>
  <c r="H57" i="2"/>
  <c r="H32" i="2"/>
  <c r="E20" i="1"/>
  <c r="E13" i="1"/>
  <c r="D41" i="3"/>
  <c r="D49" i="3" s="1"/>
  <c r="D6" i="2"/>
  <c r="D31" i="2" s="1"/>
  <c r="D38" i="2" s="1"/>
  <c r="O26" i="4"/>
  <c r="J39" i="1" s="1"/>
  <c r="O33" i="4"/>
  <c r="J52" i="1" s="1"/>
  <c r="H31" i="2"/>
  <c r="F99" i="11"/>
  <c r="D65" i="2"/>
  <c r="H60" i="2"/>
  <c r="H65" i="2" s="1"/>
  <c r="J49" i="3"/>
  <c r="D17" i="48"/>
  <c r="D10" i="48"/>
  <c r="L10" i="48" s="1"/>
  <c r="D9" i="48"/>
  <c r="L9" i="48" s="1"/>
  <c r="D8" i="48"/>
  <c r="D7" i="48"/>
  <c r="L7" i="48" s="1"/>
  <c r="D5" i="48"/>
  <c r="L5" i="48" s="1"/>
  <c r="D4" i="48"/>
  <c r="L4" i="48" s="1"/>
  <c r="C14" i="48"/>
  <c r="C17" i="48" s="1"/>
  <c r="E14" i="48"/>
  <c r="E17" i="48" s="1"/>
  <c r="F14" i="48"/>
  <c r="F17" i="48" s="1"/>
  <c r="G14" i="48"/>
  <c r="G17" i="48" s="1"/>
  <c r="H14" i="48"/>
  <c r="H17" i="48" s="1"/>
  <c r="I14" i="48"/>
  <c r="I17" i="48" s="1"/>
  <c r="J14" i="48"/>
  <c r="J17" i="48" s="1"/>
  <c r="K14" i="48"/>
  <c r="K17" i="48" s="1"/>
  <c r="L16" i="48"/>
  <c r="L11" i="48"/>
  <c r="C6" i="48"/>
  <c r="H14" i="16"/>
  <c r="H12" i="16"/>
  <c r="H8" i="16"/>
  <c r="D14" i="16"/>
  <c r="D17" i="20"/>
  <c r="D22" i="20"/>
  <c r="D19" i="20"/>
  <c r="D12" i="20"/>
  <c r="D9" i="20"/>
  <c r="D6" i="20"/>
  <c r="H66" i="2" l="1"/>
  <c r="D57" i="2"/>
  <c r="D66" i="2" s="1"/>
  <c r="M41" i="3"/>
  <c r="E39" i="1" s="1"/>
  <c r="M49" i="3"/>
  <c r="H37" i="2" s="1"/>
  <c r="H38" i="2" s="1"/>
  <c r="D4" i="20"/>
  <c r="D29" i="20" s="1"/>
  <c r="L15" i="48"/>
  <c r="L14" i="48"/>
  <c r="D6" i="48"/>
  <c r="L8" i="48"/>
  <c r="G21" i="59"/>
  <c r="G61" i="59"/>
  <c r="G36" i="59" s="1"/>
  <c r="G100" i="59"/>
  <c r="G110" i="59"/>
  <c r="G113" i="59"/>
  <c r="G116" i="59"/>
  <c r="H68" i="2" l="1"/>
  <c r="D68" i="2"/>
  <c r="E52" i="1"/>
  <c r="G98" i="59"/>
  <c r="D12" i="48"/>
  <c r="G6" i="59"/>
  <c r="G129" i="59" s="1"/>
  <c r="D13" i="48" l="1"/>
  <c r="D18" i="48" l="1"/>
  <c r="C13" i="48" l="1"/>
  <c r="C18" i="48" s="1"/>
  <c r="C12" i="48"/>
  <c r="B42" i="12"/>
  <c r="B60" i="12" s="1"/>
  <c r="B34" i="12"/>
  <c r="N30" i="4"/>
  <c r="N31" i="4"/>
  <c r="M30" i="4"/>
  <c r="M31" i="4"/>
  <c r="E32" i="4"/>
  <c r="D32" i="4"/>
  <c r="E14" i="4"/>
  <c r="L8" i="3"/>
  <c r="L10" i="3"/>
  <c r="L12" i="3"/>
  <c r="L13" i="3"/>
  <c r="L14" i="3"/>
  <c r="L16" i="3"/>
  <c r="L17" i="3"/>
  <c r="L18" i="3"/>
  <c r="L19" i="3"/>
  <c r="L20" i="3"/>
  <c r="L21" i="3"/>
  <c r="L22" i="3"/>
  <c r="D19" i="1" s="1"/>
  <c r="L24" i="3"/>
  <c r="L25" i="3"/>
  <c r="L26" i="3"/>
  <c r="L27" i="3"/>
  <c r="L28" i="3"/>
  <c r="L29" i="3"/>
  <c r="L30" i="3"/>
  <c r="L31" i="3"/>
  <c r="D28" i="1" s="1"/>
  <c r="L33" i="3"/>
  <c r="L34" i="3"/>
  <c r="L36" i="3"/>
  <c r="C29" i="2" s="1"/>
  <c r="L37" i="3"/>
  <c r="L39" i="3"/>
  <c r="L40" i="3"/>
  <c r="L43" i="3"/>
  <c r="L44" i="3"/>
  <c r="C60" i="2" s="1"/>
  <c r="L45" i="3"/>
  <c r="L46" i="3"/>
  <c r="L47" i="3"/>
  <c r="K8" i="3"/>
  <c r="K10" i="3"/>
  <c r="K13" i="3"/>
  <c r="K14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3" i="3"/>
  <c r="K34" i="3"/>
  <c r="K36" i="3"/>
  <c r="K37" i="3"/>
  <c r="K39" i="3"/>
  <c r="K40" i="3"/>
  <c r="K43" i="3"/>
  <c r="K48" i="3" s="1"/>
  <c r="K44" i="3"/>
  <c r="K45" i="3"/>
  <c r="K46" i="3"/>
  <c r="K47" i="3"/>
  <c r="C35" i="3"/>
  <c r="L35" i="3" s="1"/>
  <c r="D32" i="1" s="1"/>
  <c r="C23" i="3"/>
  <c r="C32" i="3"/>
  <c r="L48" i="3" l="1"/>
  <c r="C36" i="2"/>
  <c r="D49" i="1"/>
  <c r="D48" i="1"/>
  <c r="C35" i="2"/>
  <c r="M7" i="45"/>
  <c r="M8" i="45"/>
  <c r="M9" i="45"/>
  <c r="M11" i="45"/>
  <c r="M12" i="45"/>
  <c r="M14" i="45"/>
  <c r="M15" i="45"/>
  <c r="M17" i="45"/>
  <c r="M18" i="45"/>
  <c r="M20" i="45"/>
  <c r="M21" i="45"/>
  <c r="M23" i="45"/>
  <c r="M24" i="45"/>
  <c r="M26" i="45"/>
  <c r="M27" i="45"/>
  <c r="M29" i="45"/>
  <c r="M30" i="45"/>
  <c r="F10" i="45"/>
  <c r="F13" i="45" s="1"/>
  <c r="F16" i="45" s="1"/>
  <c r="G10" i="45"/>
  <c r="G13" i="45" s="1"/>
  <c r="G16" i="45" s="1"/>
  <c r="G19" i="45" s="1"/>
  <c r="D13" i="45"/>
  <c r="D10" i="45"/>
  <c r="M10" i="45" s="1"/>
  <c r="M13" i="45" l="1"/>
  <c r="G22" i="45"/>
  <c r="M19" i="45"/>
  <c r="D16" i="45"/>
  <c r="M16" i="45" s="1"/>
  <c r="G25" i="45" l="1"/>
  <c r="M22" i="45"/>
  <c r="G28" i="45" l="1"/>
  <c r="M28" i="45" s="1"/>
  <c r="M25" i="45"/>
  <c r="C14" i="16" l="1"/>
  <c r="B14" i="16"/>
  <c r="G12" i="16"/>
  <c r="F12" i="16"/>
  <c r="G8" i="16"/>
  <c r="F8" i="16"/>
  <c r="E92" i="12"/>
  <c r="E91" i="12" s="1"/>
  <c r="E90" i="12" s="1"/>
  <c r="D91" i="12"/>
  <c r="D90" i="12" s="1"/>
  <c r="C91" i="12"/>
  <c r="B91" i="12"/>
  <c r="B90" i="12" s="1"/>
  <c r="C90" i="12"/>
  <c r="E88" i="12"/>
  <c r="E87" i="12" s="1"/>
  <c r="E86" i="12" s="1"/>
  <c r="D87" i="12"/>
  <c r="D86" i="12" s="1"/>
  <c r="C87" i="12"/>
  <c r="B87" i="12"/>
  <c r="B86" i="12" s="1"/>
  <c r="C86" i="12"/>
  <c r="E84" i="12"/>
  <c r="E83" i="12" s="1"/>
  <c r="E82" i="12" s="1"/>
  <c r="D83" i="12"/>
  <c r="D82" i="12" s="1"/>
  <c r="C83" i="12"/>
  <c r="C82" i="12" s="1"/>
  <c r="B83" i="12"/>
  <c r="B82" i="12" s="1"/>
  <c r="B94" i="12" s="1"/>
  <c r="E80" i="12"/>
  <c r="E79" i="12" s="1"/>
  <c r="E78" i="12" s="1"/>
  <c r="E96" i="12" s="1"/>
  <c r="D79" i="12"/>
  <c r="D78" i="12" s="1"/>
  <c r="D96" i="12" s="1"/>
  <c r="C79" i="12"/>
  <c r="C78" i="12" s="1"/>
  <c r="C96" i="12" s="1"/>
  <c r="B79" i="12"/>
  <c r="B78" i="12"/>
  <c r="B96" i="12" s="1"/>
  <c r="E68" i="12"/>
  <c r="E67" i="12"/>
  <c r="E66" i="12"/>
  <c r="C65" i="12"/>
  <c r="B65" i="12"/>
  <c r="E63" i="12"/>
  <c r="E62" i="12" s="1"/>
  <c r="D62" i="12"/>
  <c r="C62" i="12"/>
  <c r="C70" i="12" s="1"/>
  <c r="B62" i="12"/>
  <c r="E48" i="12"/>
  <c r="E42" i="12" s="1"/>
  <c r="D42" i="12"/>
  <c r="C42" i="12"/>
  <c r="E37" i="12"/>
  <c r="E36" i="12"/>
  <c r="E35" i="12"/>
  <c r="D34" i="12"/>
  <c r="C34" i="12"/>
  <c r="C40" i="12" s="1"/>
  <c r="E32" i="12"/>
  <c r="E31" i="12" s="1"/>
  <c r="D31" i="12"/>
  <c r="C31" i="12"/>
  <c r="B31" i="12"/>
  <c r="B40" i="12" s="1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D7" i="12"/>
  <c r="D29" i="12" s="1"/>
  <c r="C7" i="12"/>
  <c r="C29" i="12" s="1"/>
  <c r="B7" i="12"/>
  <c r="B29" i="12" s="1"/>
  <c r="E107" i="11"/>
  <c r="D106" i="11"/>
  <c r="D109" i="11" s="1"/>
  <c r="C106" i="11"/>
  <c r="C109" i="11" s="1"/>
  <c r="E95" i="11"/>
  <c r="E94" i="11" s="1"/>
  <c r="D94" i="11"/>
  <c r="C94" i="11"/>
  <c r="E88" i="11"/>
  <c r="E87" i="11"/>
  <c r="E86" i="11"/>
  <c r="E85" i="11"/>
  <c r="E84" i="11"/>
  <c r="E83" i="11"/>
  <c r="D82" i="11"/>
  <c r="D92" i="11" s="1"/>
  <c r="D97" i="11" s="1"/>
  <c r="C82" i="11"/>
  <c r="C92" i="11" s="1"/>
  <c r="C97" i="11" s="1"/>
  <c r="E75" i="11"/>
  <c r="E74" i="11"/>
  <c r="D73" i="11"/>
  <c r="D78" i="11" s="1"/>
  <c r="C73" i="11"/>
  <c r="C78" i="11" s="1"/>
  <c r="E59" i="11"/>
  <c r="E58" i="11"/>
  <c r="E57" i="11"/>
  <c r="D56" i="11"/>
  <c r="E56" i="11" s="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C14" i="11"/>
  <c r="E10" i="11"/>
  <c r="E9" i="11"/>
  <c r="E8" i="11"/>
  <c r="D7" i="11"/>
  <c r="D6" i="11" s="1"/>
  <c r="C6" i="11"/>
  <c r="B70" i="12" l="1"/>
  <c r="D40" i="12"/>
  <c r="D65" i="12"/>
  <c r="E106" i="11"/>
  <c r="E109" i="11" s="1"/>
  <c r="F106" i="11"/>
  <c r="F109" i="11" s="1"/>
  <c r="E94" i="12"/>
  <c r="D94" i="12"/>
  <c r="D98" i="12" s="1"/>
  <c r="C94" i="12"/>
  <c r="C98" i="12" s="1"/>
  <c r="E7" i="12"/>
  <c r="E29" i="12" s="1"/>
  <c r="E34" i="12"/>
  <c r="E40" i="12" s="1"/>
  <c r="D70" i="12"/>
  <c r="D72" i="12" s="1"/>
  <c r="E65" i="12"/>
  <c r="E70" i="12" s="1"/>
  <c r="E7" i="11"/>
  <c r="E6" i="11" s="1"/>
  <c r="C71" i="11"/>
  <c r="D13" i="4" s="1"/>
  <c r="E14" i="11"/>
  <c r="E82" i="11"/>
  <c r="E92" i="11" s="1"/>
  <c r="E97" i="11" s="1"/>
  <c r="F14" i="16"/>
  <c r="G14" i="16"/>
  <c r="C72" i="12"/>
  <c r="E98" i="12"/>
  <c r="B98" i="12"/>
  <c r="E73" i="11"/>
  <c r="E78" i="11" s="1"/>
  <c r="D14" i="11"/>
  <c r="D71" i="11" s="1"/>
  <c r="D80" i="11" s="1"/>
  <c r="D99" i="11" s="1"/>
  <c r="E72" i="12" l="1"/>
  <c r="E71" i="11"/>
  <c r="C80" i="11"/>
  <c r="C99" i="11" s="1"/>
  <c r="E80" i="11"/>
  <c r="E99" i="11" s="1"/>
  <c r="E13" i="4"/>
  <c r="E10" i="4" s="1"/>
  <c r="C19" i="10"/>
  <c r="B19" i="10"/>
  <c r="D18" i="10"/>
  <c r="D17" i="10"/>
  <c r="D16" i="10"/>
  <c r="D15" i="10"/>
  <c r="B13" i="10"/>
  <c r="B21" i="10" s="1"/>
  <c r="D12" i="10"/>
  <c r="D11" i="10"/>
  <c r="D10" i="10"/>
  <c r="D9" i="10"/>
  <c r="D8" i="10"/>
  <c r="C7" i="10"/>
  <c r="D6" i="10"/>
  <c r="D19" i="10" l="1"/>
  <c r="D13" i="10"/>
  <c r="C13" i="10"/>
  <c r="C21" i="10" s="1"/>
  <c r="D21" i="10" l="1"/>
  <c r="H127" i="59" l="1"/>
  <c r="H126" i="59"/>
  <c r="H125" i="59"/>
  <c r="H124" i="59"/>
  <c r="H123" i="59"/>
  <c r="H122" i="59"/>
  <c r="H121" i="59"/>
  <c r="H120" i="59"/>
  <c r="H119" i="59"/>
  <c r="H118" i="59"/>
  <c r="H117" i="59"/>
  <c r="F116" i="59"/>
  <c r="E116" i="59"/>
  <c r="D116" i="59"/>
  <c r="C116" i="59"/>
  <c r="B116" i="59"/>
  <c r="H114" i="59"/>
  <c r="H113" i="59"/>
  <c r="F113" i="59"/>
  <c r="E113" i="59"/>
  <c r="D113" i="59"/>
  <c r="C113" i="59"/>
  <c r="B113" i="59"/>
  <c r="H111" i="59"/>
  <c r="H110" i="59" s="1"/>
  <c r="F110" i="59"/>
  <c r="E110" i="59"/>
  <c r="D110" i="59"/>
  <c r="C110" i="59"/>
  <c r="B110" i="59"/>
  <c r="H108" i="59"/>
  <c r="H107" i="59"/>
  <c r="H106" i="59"/>
  <c r="H105" i="59"/>
  <c r="H104" i="59"/>
  <c r="H103" i="59"/>
  <c r="H102" i="59"/>
  <c r="H101" i="59"/>
  <c r="F100" i="59"/>
  <c r="E100" i="59"/>
  <c r="D100" i="59"/>
  <c r="C100" i="59"/>
  <c r="B100" i="59"/>
  <c r="H80" i="59"/>
  <c r="H79" i="59"/>
  <c r="H78" i="59"/>
  <c r="H77" i="59"/>
  <c r="H76" i="59"/>
  <c r="H75" i="59"/>
  <c r="H74" i="59"/>
  <c r="H73" i="59"/>
  <c r="H72" i="59"/>
  <c r="H71" i="59"/>
  <c r="H70" i="59"/>
  <c r="H69" i="59"/>
  <c r="H68" i="59"/>
  <c r="H67" i="59"/>
  <c r="H66" i="59"/>
  <c r="H65" i="59"/>
  <c r="H64" i="59"/>
  <c r="H63" i="59"/>
  <c r="H62" i="59"/>
  <c r="H60" i="59"/>
  <c r="H59" i="59"/>
  <c r="H58" i="59"/>
  <c r="H57" i="59"/>
  <c r="H56" i="59"/>
  <c r="H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F36" i="59"/>
  <c r="E36" i="59"/>
  <c r="D36" i="59"/>
  <c r="C36" i="59"/>
  <c r="B36" i="59"/>
  <c r="H23" i="59"/>
  <c r="H22" i="59"/>
  <c r="F21" i="59"/>
  <c r="H8" i="59"/>
  <c r="F8" i="59"/>
  <c r="E8" i="59"/>
  <c r="D8" i="59"/>
  <c r="C8" i="59"/>
  <c r="C6" i="59" s="1"/>
  <c r="B8" i="59"/>
  <c r="D6" i="59" l="1"/>
  <c r="D98" i="59"/>
  <c r="B6" i="59"/>
  <c r="E98" i="59"/>
  <c r="F6" i="59"/>
  <c r="B98" i="59"/>
  <c r="F98" i="59"/>
  <c r="E6" i="59"/>
  <c r="E129" i="59" s="1"/>
  <c r="H21" i="59"/>
  <c r="C98" i="59"/>
  <c r="C129" i="59" s="1"/>
  <c r="H100" i="59"/>
  <c r="H98" i="59" s="1"/>
  <c r="H116" i="59"/>
  <c r="H61" i="59"/>
  <c r="H36" i="59" s="1"/>
  <c r="F129" i="59" l="1"/>
  <c r="B129" i="59"/>
  <c r="D129" i="59"/>
  <c r="D18" i="4"/>
  <c r="H6" i="59"/>
  <c r="H129" i="59" s="1"/>
  <c r="C6" i="20" l="1"/>
  <c r="C9" i="20"/>
  <c r="C12" i="20"/>
  <c r="C19" i="20"/>
  <c r="C17" i="20" s="1"/>
  <c r="C22" i="20"/>
  <c r="C40" i="13"/>
  <c r="C8" i="13"/>
  <c r="C13" i="13"/>
  <c r="C28" i="13"/>
  <c r="N18" i="4"/>
  <c r="G47" i="2" s="1"/>
  <c r="N6" i="4"/>
  <c r="I6" i="1" s="1"/>
  <c r="N7" i="4"/>
  <c r="G6" i="2" s="1"/>
  <c r="N8" i="4"/>
  <c r="I13" i="1" s="1"/>
  <c r="N9" i="4"/>
  <c r="I15" i="1" s="1"/>
  <c r="N11" i="4"/>
  <c r="I17" i="1" s="1"/>
  <c r="N12" i="4"/>
  <c r="G12" i="2" s="1"/>
  <c r="N14" i="4"/>
  <c r="I20" i="1" s="1"/>
  <c r="N15" i="4"/>
  <c r="G15" i="2" s="1"/>
  <c r="N16" i="4"/>
  <c r="G16" i="2" s="1"/>
  <c r="N17" i="4"/>
  <c r="G17" i="2" s="1"/>
  <c r="N21" i="4"/>
  <c r="I31" i="1" s="1"/>
  <c r="N22" i="4"/>
  <c r="I32" i="1" s="1"/>
  <c r="N24" i="4"/>
  <c r="I34" i="1" s="1"/>
  <c r="N25" i="4"/>
  <c r="I35" i="1" s="1"/>
  <c r="N27" i="4"/>
  <c r="G58" i="2" s="1"/>
  <c r="G65" i="2" s="1"/>
  <c r="N28" i="4"/>
  <c r="N29" i="4"/>
  <c r="I47" i="1" s="1"/>
  <c r="K32" i="4"/>
  <c r="K23" i="4"/>
  <c r="K20" i="4" s="1"/>
  <c r="K10" i="4"/>
  <c r="H32" i="4"/>
  <c r="H23" i="4"/>
  <c r="H20" i="4" s="1"/>
  <c r="H10" i="4"/>
  <c r="E23" i="4"/>
  <c r="E20" i="4" s="1"/>
  <c r="I38" i="3"/>
  <c r="I32" i="3"/>
  <c r="I23" i="3"/>
  <c r="I11" i="3"/>
  <c r="I9" i="3"/>
  <c r="I7" i="3"/>
  <c r="L6" i="3"/>
  <c r="C5" i="2" s="1"/>
  <c r="D9" i="1"/>
  <c r="C46" i="2"/>
  <c r="C10" i="2"/>
  <c r="D16" i="1"/>
  <c r="D18" i="1"/>
  <c r="C18" i="2"/>
  <c r="C19" i="2"/>
  <c r="D23" i="1"/>
  <c r="D24" i="1"/>
  <c r="C22" i="2"/>
  <c r="C23" i="2"/>
  <c r="D27" i="1"/>
  <c r="C49" i="2"/>
  <c r="C48" i="2"/>
  <c r="C28" i="2"/>
  <c r="C51" i="2"/>
  <c r="C52" i="2"/>
  <c r="C34" i="2"/>
  <c r="C37" i="2" s="1"/>
  <c r="D45" i="1"/>
  <c r="D47" i="1"/>
  <c r="F32" i="3"/>
  <c r="F23" i="3"/>
  <c r="L23" i="3" s="1"/>
  <c r="D20" i="1" s="1"/>
  <c r="F11" i="3"/>
  <c r="F9" i="3"/>
  <c r="F7" i="3"/>
  <c r="C38" i="3"/>
  <c r="L38" i="3" s="1"/>
  <c r="D36" i="1" s="1"/>
  <c r="C9" i="3"/>
  <c r="C7" i="3"/>
  <c r="C62" i="2"/>
  <c r="C53" i="2"/>
  <c r="C58" i="2"/>
  <c r="C26" i="2"/>
  <c r="I21" i="1"/>
  <c r="I42" i="1"/>
  <c r="D6" i="1"/>
  <c r="D25" i="1"/>
  <c r="D30" i="1"/>
  <c r="D33" i="1"/>
  <c r="L32" i="3" l="1"/>
  <c r="C47" i="2"/>
  <c r="D29" i="1"/>
  <c r="L9" i="3"/>
  <c r="L15" i="3"/>
  <c r="C11" i="3"/>
  <c r="L11" i="3" s="1"/>
  <c r="D13" i="1" s="1"/>
  <c r="I41" i="3"/>
  <c r="N10" i="4"/>
  <c r="G56" i="2"/>
  <c r="K26" i="4"/>
  <c r="K33" i="4" s="1"/>
  <c r="H26" i="4"/>
  <c r="H33" i="4" s="1"/>
  <c r="G55" i="2"/>
  <c r="G9" i="2"/>
  <c r="L7" i="3"/>
  <c r="C41" i="3"/>
  <c r="G34" i="2"/>
  <c r="G37" i="2" s="1"/>
  <c r="I50" i="1"/>
  <c r="I18" i="1"/>
  <c r="G11" i="2"/>
  <c r="I41" i="1"/>
  <c r="I9" i="1"/>
  <c r="G52" i="2"/>
  <c r="I22" i="1"/>
  <c r="N20" i="4"/>
  <c r="I30" i="1" s="1"/>
  <c r="N23" i="4"/>
  <c r="G53" i="2"/>
  <c r="G8" i="2"/>
  <c r="G5" i="2"/>
  <c r="F41" i="3"/>
  <c r="F49" i="3" s="1"/>
  <c r="I49" i="3"/>
  <c r="D14" i="1"/>
  <c r="C50" i="2"/>
  <c r="D44" i="1"/>
  <c r="D22" i="1"/>
  <c r="D21" i="1"/>
  <c r="D26" i="1"/>
  <c r="D31" i="1"/>
  <c r="C14" i="2"/>
  <c r="C15" i="2"/>
  <c r="C7" i="2"/>
  <c r="C4" i="20"/>
  <c r="C29" i="20" s="1"/>
  <c r="C14" i="13"/>
  <c r="C20" i="13" s="1"/>
  <c r="C21" i="13" s="1"/>
  <c r="C32" i="13" s="1"/>
  <c r="N13" i="4"/>
  <c r="I19" i="1" s="1"/>
  <c r="N19" i="4"/>
  <c r="I26" i="1"/>
  <c r="I23" i="1"/>
  <c r="C21" i="2"/>
  <c r="D38" i="1"/>
  <c r="D11" i="1"/>
  <c r="C24" i="2"/>
  <c r="C20" i="2"/>
  <c r="D37" i="1"/>
  <c r="C65" i="2"/>
  <c r="C45" i="2" l="1"/>
  <c r="D10" i="1"/>
  <c r="C6" i="2"/>
  <c r="D8" i="1"/>
  <c r="I16" i="1"/>
  <c r="G10" i="2"/>
  <c r="G31" i="2" s="1"/>
  <c r="G38" i="2" s="1"/>
  <c r="L41" i="3"/>
  <c r="D39" i="1" s="1"/>
  <c r="C17" i="2"/>
  <c r="C57" i="2"/>
  <c r="C66" i="2" s="1"/>
  <c r="G54" i="2"/>
  <c r="I33" i="1"/>
  <c r="C49" i="3"/>
  <c r="G13" i="2"/>
  <c r="G49" i="2"/>
  <c r="I28" i="1"/>
  <c r="E26" i="4"/>
  <c r="N26" i="4" s="1"/>
  <c r="I39" i="1" s="1"/>
  <c r="C12" i="2"/>
  <c r="C9" i="2" s="1"/>
  <c r="D15" i="1"/>
  <c r="N33" i="4" l="1"/>
  <c r="I52" i="1" s="1"/>
  <c r="L49" i="3"/>
  <c r="D52" i="1" s="1"/>
  <c r="G57" i="2"/>
  <c r="G66" i="2" s="1"/>
  <c r="G68" i="2" s="1"/>
  <c r="C31" i="2"/>
  <c r="C38" i="2" s="1"/>
  <c r="C68" i="2" s="1"/>
  <c r="E33" i="4"/>
  <c r="B14" i="48" l="1"/>
  <c r="B17" i="48" s="1"/>
  <c r="K6" i="48"/>
  <c r="K12" i="48" s="1"/>
  <c r="J6" i="48"/>
  <c r="J12" i="48" s="1"/>
  <c r="J13" i="48" s="1"/>
  <c r="I6" i="48"/>
  <c r="I12" i="48" s="1"/>
  <c r="I13" i="48" s="1"/>
  <c r="I18" i="48" s="1"/>
  <c r="H6" i="48"/>
  <c r="H12" i="48" s="1"/>
  <c r="H13" i="48" s="1"/>
  <c r="G6" i="48"/>
  <c r="G12" i="48" s="1"/>
  <c r="G13" i="48" s="1"/>
  <c r="F6" i="48"/>
  <c r="F12" i="48" s="1"/>
  <c r="F13" i="48" s="1"/>
  <c r="E6" i="48"/>
  <c r="B6" i="48"/>
  <c r="B12" i="48" s="1"/>
  <c r="B13" i="48" s="1"/>
  <c r="B18" i="48" s="1"/>
  <c r="L6" i="48" l="1"/>
  <c r="H18" i="48"/>
  <c r="E12" i="48"/>
  <c r="L12" i="48" s="1"/>
  <c r="K13" i="48"/>
  <c r="K18" i="48" s="1"/>
  <c r="L17" i="48"/>
  <c r="J18" i="48"/>
  <c r="G18" i="48"/>
  <c r="F18" i="48"/>
  <c r="E13" i="48" l="1"/>
  <c r="L13" i="48" s="1"/>
  <c r="B58" i="2"/>
  <c r="E18" i="48" l="1"/>
  <c r="L18" i="48" s="1"/>
  <c r="D23" i="4"/>
  <c r="D20" i="4" s="1"/>
  <c r="E9" i="3"/>
  <c r="H9" i="3"/>
  <c r="E32" i="3"/>
  <c r="H32" i="3"/>
  <c r="B32" i="3"/>
  <c r="E23" i="3"/>
  <c r="H23" i="3"/>
  <c r="B23" i="3"/>
  <c r="B15" i="3"/>
  <c r="K15" i="3" s="1"/>
  <c r="B7" i="3"/>
  <c r="K23" i="3" l="1"/>
  <c r="K32" i="3"/>
  <c r="C44" i="1"/>
  <c r="B34" i="2"/>
  <c r="B22" i="20" l="1"/>
  <c r="B12" i="20"/>
  <c r="M8" i="4"/>
  <c r="D14" i="4" l="1"/>
  <c r="L30" i="45"/>
  <c r="L29" i="45"/>
  <c r="L27" i="45"/>
  <c r="L26" i="45"/>
  <c r="L24" i="45"/>
  <c r="L23" i="45"/>
  <c r="L21" i="45"/>
  <c r="L20" i="45"/>
  <c r="L18" i="45"/>
  <c r="L17" i="45"/>
  <c r="L15" i="45"/>
  <c r="L14" i="45"/>
  <c r="L12" i="45"/>
  <c r="L11" i="45"/>
  <c r="F19" i="45"/>
  <c r="C10" i="45"/>
  <c r="C13" i="45" s="1"/>
  <c r="L9" i="45"/>
  <c r="L8" i="45"/>
  <c r="L7" i="45"/>
  <c r="M25" i="4"/>
  <c r="H35" i="1" s="1"/>
  <c r="F56" i="2" l="1"/>
  <c r="L10" i="45"/>
  <c r="L19" i="45"/>
  <c r="F22" i="45"/>
  <c r="L13" i="45"/>
  <c r="C16" i="45"/>
  <c r="L16" i="45" s="1"/>
  <c r="B32" i="2"/>
  <c r="K6" i="3"/>
  <c r="C11" i="1"/>
  <c r="C37" i="1"/>
  <c r="B12" i="3"/>
  <c r="B11" i="3" l="1"/>
  <c r="K12" i="3"/>
  <c r="C30" i="1"/>
  <c r="B48" i="2"/>
  <c r="B52" i="2"/>
  <c r="C38" i="1"/>
  <c r="B49" i="2"/>
  <c r="C31" i="1"/>
  <c r="L22" i="45"/>
  <c r="F25" i="45"/>
  <c r="B47" i="2" l="1"/>
  <c r="L25" i="45"/>
  <c r="F28" i="45"/>
  <c r="L28" i="45" s="1"/>
  <c r="B19" i="20" l="1"/>
  <c r="B17" i="20" s="1"/>
  <c r="B9" i="20"/>
  <c r="B6" i="20"/>
  <c r="B4" i="20" l="1"/>
  <c r="B29" i="20" s="1"/>
  <c r="D10" i="4" l="1"/>
  <c r="D26" i="4" s="1"/>
  <c r="C10" i="1"/>
  <c r="C36" i="1"/>
  <c r="C29" i="1"/>
  <c r="M11" i="4"/>
  <c r="F11" i="2" l="1"/>
  <c r="H17" i="1"/>
  <c r="B38" i="3"/>
  <c r="B9" i="3"/>
  <c r="K9" i="3" s="1"/>
  <c r="M28" i="4" l="1"/>
  <c r="B46" i="2"/>
  <c r="B45" i="2"/>
  <c r="H42" i="1" l="1"/>
  <c r="F34" i="2"/>
  <c r="C9" i="1" l="1"/>
  <c r="B37" i="2"/>
  <c r="C27" i="1" l="1"/>
  <c r="B8" i="13"/>
  <c r="B13" i="13"/>
  <c r="B28" i="13"/>
  <c r="B40" i="13"/>
  <c r="B26" i="2"/>
  <c r="B53" i="2"/>
  <c r="B5" i="2"/>
  <c r="E7" i="3"/>
  <c r="H7" i="3"/>
  <c r="B7" i="2"/>
  <c r="E11" i="3"/>
  <c r="H11" i="3"/>
  <c r="B14" i="2"/>
  <c r="C16" i="1"/>
  <c r="C18" i="1"/>
  <c r="C21" i="1"/>
  <c r="C22" i="1"/>
  <c r="C23" i="1"/>
  <c r="B21" i="2"/>
  <c r="B22" i="2"/>
  <c r="C25" i="1"/>
  <c r="B24" i="2"/>
  <c r="B35" i="3"/>
  <c r="K35" i="3" s="1"/>
  <c r="C33" i="1"/>
  <c r="C32" i="1" s="1"/>
  <c r="H38" i="3"/>
  <c r="B51" i="2"/>
  <c r="B62" i="2"/>
  <c r="B65" i="2" s="1"/>
  <c r="C45" i="1"/>
  <c r="C47" i="1"/>
  <c r="M6" i="4"/>
  <c r="F5" i="2" s="1"/>
  <c r="H13" i="1"/>
  <c r="M9" i="4"/>
  <c r="H15" i="1" s="1"/>
  <c r="G10" i="4"/>
  <c r="J10" i="4"/>
  <c r="M12" i="4"/>
  <c r="F12" i="2" s="1"/>
  <c r="M13" i="4"/>
  <c r="F13" i="2" s="1"/>
  <c r="M15" i="4"/>
  <c r="F15" i="2" s="1"/>
  <c r="M16" i="4"/>
  <c r="H22" i="1" s="1"/>
  <c r="M18" i="4"/>
  <c r="H26" i="1" s="1"/>
  <c r="M19" i="4"/>
  <c r="F49" i="2" s="1"/>
  <c r="M21" i="4"/>
  <c r="H31" i="1" s="1"/>
  <c r="M22" i="4"/>
  <c r="H32" i="1" s="1"/>
  <c r="G23" i="4"/>
  <c r="G20" i="4" s="1"/>
  <c r="J23" i="4"/>
  <c r="J20" i="4" s="1"/>
  <c r="M24" i="4"/>
  <c r="H34" i="1" s="1"/>
  <c r="M27" i="4"/>
  <c r="F58" i="2" s="1"/>
  <c r="F65" i="2" s="1"/>
  <c r="M29" i="4"/>
  <c r="F32" i="2" s="1"/>
  <c r="F37" i="2" s="1"/>
  <c r="G32" i="4"/>
  <c r="J32" i="4"/>
  <c r="B19" i="2"/>
  <c r="B29" i="2"/>
  <c r="K7" i="3" l="1"/>
  <c r="K11" i="3"/>
  <c r="K38" i="3"/>
  <c r="B28" i="2"/>
  <c r="B41" i="3"/>
  <c r="M10" i="4"/>
  <c r="H41" i="3"/>
  <c r="H49" i="3" s="1"/>
  <c r="B6" i="2"/>
  <c r="E41" i="3"/>
  <c r="E49" i="3" s="1"/>
  <c r="H47" i="1"/>
  <c r="M32" i="4"/>
  <c r="H50" i="1" s="1"/>
  <c r="B10" i="2"/>
  <c r="M17" i="4"/>
  <c r="H23" i="1" s="1"/>
  <c r="H19" i="1"/>
  <c r="J26" i="4"/>
  <c r="J33" i="4" s="1"/>
  <c r="B12" i="2"/>
  <c r="M23" i="4"/>
  <c r="F54" i="2" s="1"/>
  <c r="F9" i="2"/>
  <c r="H28" i="1"/>
  <c r="F16" i="2"/>
  <c r="F52" i="2"/>
  <c r="H18" i="1"/>
  <c r="F53" i="2"/>
  <c r="F8" i="2"/>
  <c r="B14" i="13"/>
  <c r="B15" i="2"/>
  <c r="F47" i="2"/>
  <c r="G26" i="4"/>
  <c r="G33" i="4" s="1"/>
  <c r="M7" i="4"/>
  <c r="H6" i="1"/>
  <c r="M14" i="4"/>
  <c r="H20" i="1" s="1"/>
  <c r="H41" i="1"/>
  <c r="B23" i="2"/>
  <c r="C26" i="1"/>
  <c r="C24" i="1"/>
  <c r="C8" i="1"/>
  <c r="B18" i="2"/>
  <c r="H21" i="1"/>
  <c r="B20" i="2"/>
  <c r="F55" i="2"/>
  <c r="C6" i="1"/>
  <c r="K41" i="3" l="1"/>
  <c r="B20" i="13"/>
  <c r="B21" i="13" s="1"/>
  <c r="B32" i="13" s="1"/>
  <c r="B9" i="2"/>
  <c r="B17" i="2"/>
  <c r="H16" i="1"/>
  <c r="C14" i="1"/>
  <c r="C20" i="1"/>
  <c r="M20" i="4"/>
  <c r="H30" i="1" s="1"/>
  <c r="F17" i="2"/>
  <c r="F14" i="2" s="1"/>
  <c r="F10" i="2" s="1"/>
  <c r="B50" i="2"/>
  <c r="C15" i="1"/>
  <c r="H33" i="1"/>
  <c r="F51" i="2"/>
  <c r="F57" i="2" s="1"/>
  <c r="F66" i="2" s="1"/>
  <c r="H9" i="1"/>
  <c r="F6" i="2"/>
  <c r="F31" i="2" l="1"/>
  <c r="F38" i="2" s="1"/>
  <c r="F68" i="2" s="1"/>
  <c r="C13" i="1"/>
  <c r="C39" i="1" s="1"/>
  <c r="B49" i="3"/>
  <c r="B57" i="2"/>
  <c r="H39" i="1"/>
  <c r="B31" i="2"/>
  <c r="B38" i="2" s="1"/>
  <c r="K49" i="3" l="1"/>
  <c r="C52" i="1" s="1"/>
  <c r="B66" i="2"/>
  <c r="M26" i="4"/>
  <c r="M33" i="4" s="1"/>
  <c r="H52" i="1" s="1"/>
  <c r="D33" i="4"/>
  <c r="C41" i="1"/>
  <c r="B68" i="2" l="1"/>
  <c r="F40" i="12"/>
</calcChain>
</file>

<file path=xl/sharedStrings.xml><?xml version="1.0" encoding="utf-8"?>
<sst xmlns="http://schemas.openxmlformats.org/spreadsheetml/2006/main" count="1905" uniqueCount="929">
  <si>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</si>
  <si>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</si>
  <si>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</si>
  <si>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</si>
  <si>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</si>
  <si>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</si>
  <si>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</si>
  <si>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</si>
  <si>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</si>
  <si>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</si>
  <si>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</si>
  <si>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</si>
  <si>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</si>
  <si>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</si>
  <si>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</si>
  <si>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</si>
  <si>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</si>
  <si>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</si>
  <si>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</si>
  <si>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</si>
  <si>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</si>
  <si>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</si>
  <si>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</si>
  <si>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</si>
  <si>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</si>
  <si>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</si>
  <si>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</si>
  <si>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</si>
  <si>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</si>
  <si>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</si>
  <si>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</si>
  <si>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</si>
  <si>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</si>
  <si>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</si>
  <si>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</si>
  <si>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</si>
  <si>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</si>
  <si>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</si>
  <si>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</si>
  <si>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</si>
  <si>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</si>
  <si>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</si>
  <si>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</si>
  <si>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</si>
  <si>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</si>
  <si>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</si>
  <si>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</si>
  <si>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</si>
  <si>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</si>
  <si>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</si>
  <si>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</si>
  <si>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</si>
  <si>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</si>
  <si>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</si>
  <si>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</si>
  <si>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</si>
  <si>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</si>
  <si>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</si>
  <si>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</si>
  <si>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</si>
  <si>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</si>
  <si>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</si>
  <si>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</si>
  <si>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</si>
  <si>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</si>
  <si>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Hiány finanszírozása belső forrásból:</t>
  </si>
  <si>
    <t>Hiány finanszírozása külső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</si>
  <si>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</si>
  <si>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</si>
  <si>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</si>
  <si>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</si>
  <si>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</si>
  <si>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</si>
  <si>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</si>
  <si>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</si>
  <si>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</si>
  <si>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</si>
  <si>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</si>
  <si>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</si>
  <si>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</si>
  <si>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</si>
  <si>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</si>
  <si>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</si>
  <si>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</si>
  <si>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</si>
  <si>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</si>
  <si>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</si>
  <si>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</si>
  <si>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</si>
  <si>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</si>
  <si>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</si>
  <si>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</si>
  <si>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</si>
  <si>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</si>
  <si>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</si>
  <si>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</si>
  <si>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</si>
  <si>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Tata</t>
  </si>
  <si>
    <t>011130</t>
  </si>
  <si>
    <t>031030</t>
  </si>
  <si>
    <t>066020</t>
  </si>
  <si>
    <t>Dunaalmási Kirendeltség</t>
  </si>
  <si>
    <t>Dunaszentmiklósi Kirendeltség</t>
  </si>
  <si>
    <t>Kuny Domokos Múzeum</t>
  </si>
  <si>
    <t>Mindösszesen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</si>
  <si>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</si>
  <si>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</si>
  <si>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</si>
  <si>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</si>
  <si>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</si>
  <si>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</si>
  <si>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</si>
  <si>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</si>
  <si>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</si>
  <si>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</si>
  <si>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</si>
  <si>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</si>
  <si>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</si>
  <si>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Bursa Hungarica ösztöndíjakra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</si>
  <si>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</si>
  <si>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</si>
  <si>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</si>
  <si>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</si>
  <si>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</si>
  <si>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</si>
  <si>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</si>
  <si>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Szociális Háló Közalapítvány támogatása</t>
  </si>
  <si>
    <t>Kenderke Alapfokú Művészeti Iskola Fürkész Programjának támogatása</t>
  </si>
  <si>
    <t>Pötörke Néptánc Egyesület támogatása</t>
  </si>
  <si>
    <t>TIT KEM Egyesületének támogatása</t>
  </si>
  <si>
    <t>Concerto Kft.-nek Tatai Barokk Fesztivál támogatása</t>
  </si>
  <si>
    <t>Concerto Kft.-nek Nemzetközi Zenei Mesterkurzus támogatása</t>
  </si>
  <si>
    <t>Tatai Mecénás Közalapítvány támogatása</t>
  </si>
  <si>
    <t>Működési célú visszatérítendő támogatások, kölcsönök nyújtása államháztartáson kívülre</t>
  </si>
  <si>
    <t>Víz-Zene-Virág Fesztivál Egyesületnek rövid távú kölcsön nyújtása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</si>
  <si>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</si>
  <si>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</si>
  <si>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</si>
  <si>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NEP</t>
  </si>
  <si>
    <t>Zöld Beruházási Rendszer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</si>
  <si>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</si>
  <si>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</si>
  <si>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</si>
  <si>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</si>
  <si>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</si>
  <si>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</si>
  <si>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</si>
  <si>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</si>
  <si>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</si>
  <si>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</si>
  <si>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</si>
  <si>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</si>
  <si>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</si>
  <si>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</si>
  <si>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</si>
  <si>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</si>
  <si>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</si>
  <si>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</si>
  <si>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</si>
  <si>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</si>
  <si>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</si>
  <si>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</si>
  <si>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</si>
  <si>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</si>
  <si>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</si>
  <si>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</si>
  <si>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</si>
  <si>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</si>
  <si>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</si>
  <si>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</si>
  <si>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</si>
  <si>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</si>
  <si>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</si>
  <si>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</si>
  <si>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</si>
  <si>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</si>
  <si>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</si>
  <si>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</si>
  <si>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</si>
  <si>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</si>
  <si>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</si>
  <si>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</si>
  <si>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</si>
  <si>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</si>
  <si>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</si>
  <si>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</si>
  <si>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</si>
  <si>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</si>
  <si>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</si>
  <si>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</si>
  <si>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</si>
  <si>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</si>
  <si>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</si>
  <si>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</si>
  <si>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</si>
  <si>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</si>
  <si>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</si>
  <si>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</si>
  <si>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</si>
  <si>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Felhalmozási pénzmaradvány</t>
  </si>
  <si>
    <t>a helyi önkormányzatok feladatainak állami támogatásához</t>
  </si>
  <si>
    <t>Fajlagos összeg Ft/mutató</t>
  </si>
  <si>
    <t>2.mell. I.</t>
  </si>
  <si>
    <t>A HELYI ÖNKORMÁNYZATOK MŰKÖDÉSÉNEK ÁLTALÁNOS TÁMOGATÁSA</t>
  </si>
  <si>
    <t>I.1.a)</t>
  </si>
  <si>
    <t>fő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</si>
  <si>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</si>
  <si>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</si>
  <si>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</si>
  <si>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</si>
  <si>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</si>
  <si>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</si>
  <si>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</si>
  <si>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</si>
  <si>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</si>
  <si>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</si>
  <si>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</si>
  <si>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104 Ft/m2</t>
  </si>
  <si>
    <t>I.1.bd)</t>
  </si>
  <si>
    <t>Közutak fenntartásának támogatása</t>
  </si>
  <si>
    <t>295 000 Ft/km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</si>
  <si>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</si>
  <si>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</si>
  <si>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</si>
  <si>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</si>
  <si>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2 550 Ft/ külter.lakos</t>
  </si>
  <si>
    <t>I.1.e)</t>
  </si>
  <si>
    <t>Üdülőhelyi feladatok támogatása</t>
  </si>
  <si>
    <t>Ft</t>
  </si>
  <si>
    <t>I.1.</t>
  </si>
  <si>
    <t>A települési önkormányzatok működésének támogatása</t>
  </si>
  <si>
    <t>I.2.</t>
  </si>
  <si>
    <t>Nem közművel összegyűjtött háztartási szennyvíz ártalmatlanítása</t>
  </si>
  <si>
    <t>m3</t>
  </si>
  <si>
    <t>100 Ft/m3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</si>
  <si>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</si>
  <si>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</si>
  <si>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</si>
  <si>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</si>
  <si>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</si>
  <si>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bértámogatása pótlólagos összege 3 hónapra 2016/2017-re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</si>
  <si>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</si>
  <si>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</si>
  <si>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</si>
  <si>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</si>
  <si>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</si>
  <si>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</si>
  <si>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nem éri el</t>
  </si>
  <si>
    <t>Óvodaműk. támogatás 8 hónapra: gyermekek nevelése a napi 8 órát eléri</t>
  </si>
  <si>
    <t>Óvodaműk. támogatás 4 hónapra: gyermekek nevelése a napi 8 órát nem éri el</t>
  </si>
  <si>
    <t>Óvodaműk. támogatás 4 hónapra: gyermekek nevelése a napi 8 órát eléri</t>
  </si>
  <si>
    <t>II.2.b)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</si>
  <si>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</si>
  <si>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</si>
  <si>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</si>
  <si>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</si>
  <si>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2.mell. II.</t>
  </si>
  <si>
    <t>A települési önkormányzatok egyes köznevelési feladatainak támogatása</t>
  </si>
  <si>
    <t>III.3.</t>
  </si>
  <si>
    <t>Egyes szociális és gyermekjóléti feladatok támogatása</t>
  </si>
  <si>
    <t>III.3.a)</t>
  </si>
  <si>
    <t>Ft/szám.létsz./év</t>
  </si>
  <si>
    <t>III.3.b)</t>
  </si>
  <si>
    <t>III.3.c)</t>
  </si>
  <si>
    <t>Szociális étkeztetés - társulási kiegészítéssel (55 360 Ft fajlagos összeg 110 %-a)</t>
  </si>
  <si>
    <t>III.3.d)</t>
  </si>
  <si>
    <t>III.3.f)</t>
  </si>
  <si>
    <t>III.3.g)</t>
  </si>
  <si>
    <t>Fogyatékosok személyek nappali intézményi ellátása - társult formában, ezért a fajlagos összeg 110 %-a a támogatás</t>
  </si>
  <si>
    <t>III.3.i)</t>
  </si>
  <si>
    <t>Hajléktalanok nappali intézményi ellátása - társult formában, ezért a fajlagos összeg 120 %-a a támogatás</t>
  </si>
  <si>
    <t>III.3.j)</t>
  </si>
  <si>
    <t>Gyermekek napközbeni ellátása</t>
  </si>
  <si>
    <t>III.3.ja)</t>
  </si>
  <si>
    <t xml:space="preserve">Bölcsődei ellátás - nem fogyatékos, nem hátrányos helyzetű gyermek </t>
  </si>
  <si>
    <t>Bölcsődei ellátás - nem fogyatékos, hátrányos helyzetű gyermek (fajlagos összeg 105 %-a)</t>
  </si>
  <si>
    <t>Bölcsődei ellátás - nem fogyatékos, halmozottan hátrányos helyzetű gyermek (fajlagos összeg 110 %-a)</t>
  </si>
  <si>
    <t>Bölcsődei ellátás - fogyatékos gyermek (fajlagos összeg 150 %-a)</t>
  </si>
  <si>
    <t>Bölcsődei ellátás összesen:</t>
  </si>
  <si>
    <t>III.3.k)</t>
  </si>
  <si>
    <t>fhely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</si>
  <si>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</si>
  <si>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</si>
  <si>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</si>
  <si>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</si>
  <si>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</si>
  <si>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</si>
  <si>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</si>
  <si>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</si>
  <si>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</si>
  <si>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fő/év</t>
  </si>
  <si>
    <t>III.5.b)</t>
  </si>
  <si>
    <t>Gyermekétkeztetés támogatása összesen</t>
  </si>
  <si>
    <t>III.6.</t>
  </si>
  <si>
    <t>III.7.</t>
  </si>
  <si>
    <t>Kiegészítő támogatás a bölcsődében foglalkoztatott, felsőfokú végzettségű kisgyermeknevelők béréhez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</si>
  <si>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</si>
  <si>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</si>
  <si>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</si>
  <si>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</si>
  <si>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</si>
  <si>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IV.1.d)</t>
  </si>
  <si>
    <t>Települési önk.nyilvános könyvtári és közműv. feladatainak támogatása</t>
  </si>
  <si>
    <t>IV.1.i)</t>
  </si>
  <si>
    <t>2.mell. IV.</t>
  </si>
  <si>
    <t>A települési önkormányzatok kulturális feladatainak támogatása</t>
  </si>
  <si>
    <t>V.</t>
  </si>
  <si>
    <t>BESZÁMÍTÁS</t>
  </si>
  <si>
    <t>0,55 %</t>
  </si>
  <si>
    <t>10 % csökk.</t>
  </si>
  <si>
    <t>2.mell. V.</t>
  </si>
  <si>
    <t>Ft/év/szolgálat</t>
  </si>
  <si>
    <t>MŰKÖDÉSI TARTALÉK</t>
  </si>
  <si>
    <t>Általános tartalék</t>
  </si>
  <si>
    <t>Működési tartalék</t>
  </si>
  <si>
    <t>Működési céltartalék</t>
  </si>
  <si>
    <t>Tatai Városkapu Közhasznú Zrt. vezérigazgatójának prémiumfeladatára</t>
  </si>
  <si>
    <t>FELHALMOZÁSI TARTALÉK</t>
  </si>
  <si>
    <t>Felhalmozási tartalék</t>
  </si>
  <si>
    <t>Felhalmozási céltartalék</t>
  </si>
  <si>
    <t>MINDÖSSZESEN:</t>
  </si>
  <si>
    <t>Bevételek</t>
  </si>
  <si>
    <t xml:space="preserve">Kiegészítő támogatás az óvodaműködtetési feladatokhoz </t>
  </si>
  <si>
    <t>Finanszírozás szempontjából elismert dolgozók bértámogatása</t>
  </si>
  <si>
    <t xml:space="preserve">Gyermekétkeztetés üzemeltetési támogatása </t>
  </si>
  <si>
    <t>Felhalmozási célú támogatások államháztartáson belülről</t>
  </si>
  <si>
    <t>Állami támogatás megelőlegezési hitel törlesztés</t>
  </si>
  <si>
    <t>Felhalmozási célú támogatások (államháztartáson belülről)</t>
  </si>
  <si>
    <t>Rendkívüli települési támogatás (természetbeni)</t>
  </si>
  <si>
    <t>Egyéb tárgyi eszköz értékesítés</t>
  </si>
  <si>
    <t>Elvonások és befizetések</t>
  </si>
  <si>
    <t>Oktatási és Kulturális Alap</t>
  </si>
  <si>
    <t>Egészségvédelmi, Szociális és Sportalap</t>
  </si>
  <si>
    <t>Dunaalmás Önkormányzatától</t>
  </si>
  <si>
    <t>Törvény- javaslat hivatk.sz.</t>
  </si>
  <si>
    <t>Jogcímek megnevezése</t>
  </si>
  <si>
    <t xml:space="preserve">Irányító szerv javára teljesített befizetés </t>
  </si>
  <si>
    <t xml:space="preserve">Vissza nem térítendő támogatások </t>
  </si>
  <si>
    <t>Vissza nem térítendő támogatás</t>
  </si>
  <si>
    <t xml:space="preserve"> Tata Város Önkormányzatának 2017. évi közgazdasági mérlege (E Ft-ban)</t>
  </si>
  <si>
    <t>2017. évi működési célú bevételek és kiadások mérlege (E Ft-ban)</t>
  </si>
  <si>
    <t>2017. évi felhalmozási célú bevételek és kiadások mérlege (E Ft-ban)</t>
  </si>
  <si>
    <t xml:space="preserve">Tata Város Önkormányzata és az általa irányított költségvetési szervek 2017. évi kiadásai </t>
  </si>
  <si>
    <t>Tata Város Önkormányzata 2017. évi költségvetéséhez</t>
  </si>
  <si>
    <t>Bevétel 2017. év</t>
  </si>
  <si>
    <t>Tata Város Önkormányzatának 2017. évi tartalékai (E Ft-ban)</t>
  </si>
  <si>
    <t xml:space="preserve"> - Működési tartalék</t>
  </si>
  <si>
    <t>Egyéb 2017. évi igények</t>
  </si>
  <si>
    <t>- Fogorvosi rendelő kialakítása</t>
  </si>
  <si>
    <t>- Kölyök Kft-től konyhai eszközök</t>
  </si>
  <si>
    <t>- Térfigyelő kamerarendszer bővítése</t>
  </si>
  <si>
    <t>- A Tatai Kőfaragó-ház kézműves és aktív ökoturisztikai látogatóközpontként való rehabilitációja és a Kálvária-domb egységes turisztikai termékcsomagként való bemutatása TOP-1.2.1.-15-KO1-2016-00005 (szobor rekonstrukció)</t>
  </si>
  <si>
    <t xml:space="preserve">- Csillagsziget Bölcsőde felújítása Tatán TOP-1.4.1-15-KO1-2016-00020 </t>
  </si>
  <si>
    <t xml:space="preserve">- A helyi gazdaság erőforrásaira épülő piac- és agrárlogisztikai fejlesztés Tatán TOP-1.1.3-15-KO1-2016-00003 </t>
  </si>
  <si>
    <t>- Kossuth téren további fejlesztések (világítás kiegészítés, szegély lesüllyesztése)</t>
  </si>
  <si>
    <t>- Elektromos töltő kiépítése 2 db</t>
  </si>
  <si>
    <t>- Május 1 úti jelzőlámpák összehangolása, tervezés, kivitelezés (Május 1 úti körforgalom és Komáromi út közötti szakaszon 2 db gyalogos átkelőhely és 1 közúti csomópont jelzőlámpásítása)</t>
  </si>
  <si>
    <t>--Bartók Béla utca (óvodához vezető szakasz átépítése II. ütem - becsült összeg)</t>
  </si>
  <si>
    <t>--Piac téri kiszolgáló út II. ütem</t>
  </si>
  <si>
    <t>--Dadi utca járda kiépítés I. ütem</t>
  </si>
  <si>
    <t>- Malom-patak meder rekonstrukció (tervezés és kivitelezés)</t>
  </si>
  <si>
    <t xml:space="preserve">- Kismosó-patak kotrása, Jávorka mögött terület közműépítés </t>
  </si>
  <si>
    <t>- Építők parkja csapadék csatorna összekötés az 1-es főút melletti zárt csatornával</t>
  </si>
  <si>
    <t>- Közvilágítás korszerűsítés III/A ütem (KEOP-ból kimaradt főutak)</t>
  </si>
  <si>
    <t>- Csapadékvíz elvezetés és kerítésépítés a Jávorka Sándor Mezőgazdasági Szakközépiskola területén</t>
  </si>
  <si>
    <t>- Dobroszláv utcában parkolóház létesítésére tanulmány készítése 305/2014. (IX.1.) Tata Kt. határozata</t>
  </si>
  <si>
    <t>- Jávorka mögötti területen közmű út kiépítés</t>
  </si>
  <si>
    <t xml:space="preserve">- Építők parkjában zöld infrastruktúra fejlesztés TOP 2.1.2-15-K01-2016-00002 </t>
  </si>
  <si>
    <t xml:space="preserve">- Tatai malmokat bemutató interaktív park kialakítása TOP-1.2.1 </t>
  </si>
  <si>
    <t>- Tata- Agostyán kerékpárút területszerzés (vételár)</t>
  </si>
  <si>
    <t>Tárgyi eszköz beszerzés (bútor, szék, szőnyeg, textília, egyéb – gondnoksági feladatokhoz)</t>
  </si>
  <si>
    <t>Egyenruha beszerzés, kisértékű tárgyi eszköz beszerzés - közterület-felügyeletnek</t>
  </si>
  <si>
    <t>Tatai Fürdő utcai Óvoda - mosogatógép, íróasztal, salgópolc</t>
  </si>
  <si>
    <t>Tatai Kincseskert Óvoda - közösen a Csillagsziget Bölcsődének is udvari tároló építése</t>
  </si>
  <si>
    <t>Tatai Bartók Béla Óvoda - udvari játékok, számítógép</t>
  </si>
  <si>
    <t>Kuny Domokos Múzeum - Műtárgy vásárlás, informatikai és egyéb berendezések-, felszerelések-, eszközök, épületriasztó</t>
  </si>
  <si>
    <t>--Tópart utca rendezése (Bőrgyár előtti terület tó felőli oldala)</t>
  </si>
  <si>
    <t>Tata Város Önkormányzata által folyósított 2017. évi ellátottak pénzbeli és természetbeni juttatásának részletezése (E Ft-ban)</t>
  </si>
  <si>
    <t>Tatai fiatalok életkezdési támogatása</t>
  </si>
  <si>
    <t>Rendkívüli települési támogatás (pénzbeli)</t>
  </si>
  <si>
    <t>Arany János Tehetséggondozó Programhoz kapcsolódó szociális támogatás</t>
  </si>
  <si>
    <t>18. életévét betöltött tartósan beteg hozzátartozójának ápolását, gondozását végző személy részére (korábbi méltányossági, ápolási díj)</t>
  </si>
  <si>
    <t>Gyógyszer kiadások viseléséhez (korábbi méltányossági közgyógyellátás)</t>
  </si>
  <si>
    <t>Lakhatáshoz kapcsolódó rendszeres kiadások viseléséhez (korábbi lakásfenntartási támogatás)</t>
  </si>
  <si>
    <t>HPV védőoltás</t>
  </si>
  <si>
    <t>Tata Város Önkormányzata és a Tatai Közös Önkormányzati Hivatal által adott visszatérítendő és vissza nem térítendő támogatások 2017. évi alakulása (E Ft-ban)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</si>
  <si>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</si>
  <si>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</si>
  <si>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</si>
  <si>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Városkapu Zrt. Központ támogatása</t>
  </si>
  <si>
    <t>Tatai Városkapu Zrt. Magyary Zoltán Művelődési Központ támogatása</t>
  </si>
  <si>
    <t>Tatai Városkapu Zrt. egyéb létesítmény támogatása</t>
  </si>
  <si>
    <t>Tatai Városkapu Zrt. Új Kajakház Ökoturisztikai Központ működési támogatása</t>
  </si>
  <si>
    <t>Tatai Városkapu Zrt. Tatai Angolkert működési támogatása</t>
  </si>
  <si>
    <t>Tatai Televízió Közalapítvány támogatása</t>
  </si>
  <si>
    <t>Környezetvédelmi Alap</t>
  </si>
  <si>
    <t>Egészségügyi alapellátás támogatása 275 E Ft/praxis 5 fogászati körzetre</t>
  </si>
  <si>
    <t>OEP finanszírozás 5. sz. fogászati körzetre 1-8. hóig</t>
  </si>
  <si>
    <t>Magyar Máltai Szeretetszolgálat tatai csoportjának támogatása</t>
  </si>
  <si>
    <t>Magyar Máltai Szeretetszolgálat tatai csoportjának máltai játszókert működtetésére</t>
  </si>
  <si>
    <t>Magyar Vöröskereszt tatai szervezetének egészségvédelmi és szociális feladatainak támogatása</t>
  </si>
  <si>
    <t>Kenderke Néptánc Egyesület támogatása közművelődési megállapodás alapján Tatai Sokadalom megrendezéséhez</t>
  </si>
  <si>
    <t>Polgárőrség támogatása</t>
  </si>
  <si>
    <t>Cirmos Cica Alapítvány támogatása</t>
  </si>
  <si>
    <t>Közösségi közlekedés szolgáltatója részére működési költségtérítés</t>
  </si>
  <si>
    <t>Középnyugat-magyarországi Közlekedési Központ Zrt. részére veszteségtérítési igény</t>
  </si>
  <si>
    <t>Hódy Sport Egyesület támogatása</t>
  </si>
  <si>
    <t>OMS Tata Vívó Sport Egyesület támogatása</t>
  </si>
  <si>
    <t>Tatai Sportegyesület támogatása</t>
  </si>
  <si>
    <t>Tata és Környéke Turisztikai Egyesület (Turisztikai Desztináció Menedzsment) támogatása</t>
  </si>
  <si>
    <t>Városi Nyugdíjas Klub támogatása</t>
  </si>
  <si>
    <t>Hajnalcsillag Óvodának jubileumi jutalmak kifizetésére (közoktatási megállapodás alapján)</t>
  </si>
  <si>
    <t>Mozgáskorlátozottak KEM-i Egyesületének támogatása</t>
  </si>
  <si>
    <t>Medicopter Alapítvány támogatása</t>
  </si>
  <si>
    <t>Peter Cerny Alapítvány támogatása</t>
  </si>
  <si>
    <t>Kiváló tanulmányi és művészeti munkáért díjak</t>
  </si>
  <si>
    <t>Menner és Vincze versenyek jubileumi 30. évfordulójára</t>
  </si>
  <si>
    <t>Működési célú támogatások államháztartáson belülre és kívülre (vissza nem térítendő) összesen:</t>
  </si>
  <si>
    <t>Tatai Öreg-tó Kft. részére tagi kölcsön nyújtása</t>
  </si>
  <si>
    <t>KEM Mentőalapítvány (Tatai mentőállomás) támogatása</t>
  </si>
  <si>
    <t>Pötörke Ház felújításának támogatása</t>
  </si>
  <si>
    <t>Felhalmozási célú támogatások államháztartási belülre és kívülre (vissza nem térítendő) összesen:</t>
  </si>
  <si>
    <t>2017. évi kapott visszatérítendő és vissza nem térítendő támogatások és pénzeszközátvételek alakulása Tata Város Önkormányzatánál és a Tatai Közös Önkormányzati Hivatalnál (E Ft-ban)</t>
  </si>
  <si>
    <t>Tatai Kistérségi Többcélú Társulástól (belső ellenőrzéshez, infrastrukturális háttér biztosításához)</t>
  </si>
  <si>
    <t>Építők Parkjában zöld infrastruktúra fejlesztés TOP 2.1.2.-15-K01-2016-00002</t>
  </si>
  <si>
    <t>Csillagsziget Bölcsőde felújítása Tatán TOP-1.4.1.-15-K01-2016-00020</t>
  </si>
  <si>
    <t>Helyi alapanyagokra épülő minőségi közétkeztetésért – iskolai konyhák hálózatos fejlesztés Tatán TOP-1.1.3.-15-K01-2016-00002</t>
  </si>
  <si>
    <t>Tatai malmokat bemutató interaktív park kialakítása TOP-1.2.1.</t>
  </si>
  <si>
    <t>Kulturális közösségi terek infrastrukturális fejlesztése TOP-7.1.1.-16-CLLD</t>
  </si>
  <si>
    <t>Tata-Agostyán településrészt összekötő kerékpárút TOP-3.1.1.</t>
  </si>
  <si>
    <t>Kerékpárút tervezése, kivitelezése HUSK pályázat</t>
  </si>
  <si>
    <t>Kerékpárkölcsönző rendszer és parkoló kiépítése HUSK pályázat</t>
  </si>
  <si>
    <t>Játékterek HUSK pályázat</t>
  </si>
  <si>
    <t>Működési célú támogatások államháztartáson belülről (vissza nem térítendő, és visszatérítendő) összesen:</t>
  </si>
  <si>
    <t>Tata és Környéke Turisztikai Egyesület „Végvárak védelmében” című HUSK/1101/1.7.1/0143</t>
  </si>
  <si>
    <t>Működési célú átvett pénzeszköz államháztartáson kívülről (vissza nem térítendő, és visszatérítendő) összesen:</t>
  </si>
  <si>
    <t>Ipari Park 20 kW-os energiaellátás – pályázat</t>
  </si>
  <si>
    <t>Felhalmozási célú támogatások államháztartáson belülről (vissza nem térítendő és visszatérítendő) összesen:</t>
  </si>
  <si>
    <t>Vállalkozástól Ipari Park 20 kW-os energiaellátásához pénzeszközátvétel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</si>
  <si>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</si>
  <si>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</si>
  <si>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</si>
  <si>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2017 – 2024-ig a hosszú lejáratú felhalmozási hitel visszafizetéseket figyelembe véve (E Ft-ban)</t>
  </si>
  <si>
    <t>Tartozás 2017.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</si>
  <si>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</si>
  <si>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</si>
  <si>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</si>
  <si>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</si>
  <si>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</si>
  <si>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</si>
  <si>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</si>
  <si>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</si>
  <si>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</si>
  <si>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Közösségi Felsőoktatási Képzési Központ létrehozása</t>
  </si>
  <si>
    <t>Önkormányzati főzőkonyha kialakítása a Kőkúti Általános Iskolában</t>
  </si>
  <si>
    <t>Ételszállító gépjármű beszerzés</t>
  </si>
  <si>
    <t>Tatai bölcsődei konyha és két gondozási egység teljes körű belső felújítása, udvar részleges felújítása, a megszűnő főzőkonyhák tálaló konyhává alakítása</t>
  </si>
  <si>
    <t>Móricz Zsigmond Városi Könyvtár elhelyezése a Helyőrségi Klubban</t>
  </si>
  <si>
    <t xml:space="preserve">- Helyi alapanyagokra épülő közétkeztetésért- iskolai konyhák hálózatos fejlesztése Tatán TOP-1.1.3-15-KO1-2016-00002 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</si>
  <si>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</si>
  <si>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</si>
  <si>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</si>
  <si>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Fegyverszekrény, motorkerékpárok, fegyverek, egyenruha beszerzése mezőőrök részére</t>
  </si>
  <si>
    <t>Tatai Egészségügyi Alapellátó Intézmény - kis értékű tárgyi eszköz beszerzés, csecsemőmérleg (5 db)-, mobiltelefon (5 db), laptop (3 db)</t>
  </si>
  <si>
    <t>Intézmények Gazdasági Hivatala - számítógép (2 db), klímaberendezés</t>
  </si>
  <si>
    <t>- Játékterek - HUSK pályázat</t>
  </si>
  <si>
    <t>- Kerékpárút - HUSK pályázati önrész</t>
  </si>
  <si>
    <t>- Kerékpárkölcsönző rendszer és parkoló építése HUSK pályázat</t>
  </si>
  <si>
    <t>Tárgyi eszköz beszerzés hivatali üdülőkben: Fényes-fürdő (konyhai felszerelések, szék, asztal)</t>
  </si>
  <si>
    <t>Értékvédelmi feladatok támogatása</t>
  </si>
  <si>
    <t>Városkapu Közhasznú Zrt. (Tatai Fényes Fürdő Kft.-nek nyújtott kölcsön visszafizetése)</t>
  </si>
  <si>
    <t>Ingatlanértékesítés</t>
  </si>
  <si>
    <t xml:space="preserve"> - Felhalmozási céltartalék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</si>
  <si>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</si>
  <si>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</si>
  <si>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</si>
  <si>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</si>
  <si>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Vis maior támogatás</t>
  </si>
  <si>
    <t xml:space="preserve">- Tata- Agostyán településrészt összekötő kerékpárút </t>
  </si>
  <si>
    <t>Móricz Zsigmond Városi Könyvtár - könyvek állomány gyarapítása</t>
  </si>
  <si>
    <t xml:space="preserve">- Kulturális közösségi terek infrastrukturális fejlesztése - TOP-7.1.1-16-CLLD </t>
  </si>
  <si>
    <t>- Kosárlabda-csarnok és műfüves focipálya megközelítését szolgáló út kivitelezése és parkoló építés - csökkentett műszaki tartalommal (út, járda, parkoló, közvilágítás, víz, szennyvíz)</t>
  </si>
  <si>
    <t>- Elkezdett beruházások folytatása az alábbi helyeken:</t>
  </si>
  <si>
    <t>Csillagsziget Bölcsőde - szőnyegek, berendezési-. felszerelési eszközök, mozgásfejlesztő eszközök, projektor+ vászon, irodai berendezése és konyhai felszerelések-, eszközök</t>
  </si>
  <si>
    <t>Tatai Kertvárosi Óvoda - digitális fényképezőgép-, öltözőszekrény dolgozók részére, csoportszobai bútorok,- felszerelések,- fejlesztő kellékek-, udvari játékok-, kellékek-, kültéri ivókút, párakapu, homokozó kialakítása</t>
  </si>
  <si>
    <t>- 9 személyes kisbusz beszerzése (személyszállításra - üzembentartó: Városgazda Kft.)</t>
  </si>
  <si>
    <t>Magyary Zoltán Népfőiskolai Társaság támogatása közművelődési megállapodás alapján</t>
  </si>
  <si>
    <t>ÚSZT pályázat fűtéskorszerűsítés /2012, TEF/ 2013, egyéb energiahatékonyságot javító pályázatok</t>
  </si>
  <si>
    <t>A Tatai Kőfaragó-ház kézműves és ökoturisztikai központként való rehabilitációja és a Kálvária domb egységes turisztikai termékcsomagként való bemutatása TOP-1.2.1.-15-K01-2016-00005</t>
  </si>
  <si>
    <t>A helyi gazdaság erőforrására épülő piac- és agrárlogisztikai fejlesztés Tatán TOP-1.1.3.-15-K01-2016-00003</t>
  </si>
  <si>
    <t>Tata Város Önkormányzata és az általa irányított költségvetési szervek 2017. évi bevételei forrásonként (E Ft-ban)</t>
  </si>
  <si>
    <t>(kiemelt előirányzatok szerinti részletezésben ) E Ft-ban</t>
  </si>
  <si>
    <t>Fekete- Arany J. utca csapadékvíz elvezetés</t>
  </si>
  <si>
    <t>I. verzió</t>
  </si>
  <si>
    <t>II. verzió</t>
  </si>
  <si>
    <t>III. verzió</t>
  </si>
  <si>
    <t>Mindennapos iskolai testnevelés támogatására</t>
  </si>
  <si>
    <t>TATA VÁROS ÖNKORMÁNYZATA</t>
  </si>
  <si>
    <t xml:space="preserve"> - Agostyán posta melletti út kiépítése</t>
  </si>
  <si>
    <t>Duna projekt visszatérő forrásokkal kapcsolatos bevétel</t>
  </si>
  <si>
    <t>IV. verzió</t>
  </si>
  <si>
    <t>Számítástechnikai eszközbeszerzések</t>
  </si>
  <si>
    <t>Állami támogatás megelőlegezési hitelfelvétel</t>
  </si>
  <si>
    <t>Iparűzési adóból</t>
  </si>
  <si>
    <t>Közhatalmi bevételekből átcsoportosított</t>
  </si>
  <si>
    <t>Előző évi költségvetés maradványának igénybevétele</t>
  </si>
  <si>
    <t>Előző év költségvetési maradványának igénybevétele</t>
  </si>
  <si>
    <t>Piarista rendház felújítása</t>
  </si>
  <si>
    <t>Hajdú utca felújítása</t>
  </si>
  <si>
    <t>Rákóczi - Bercsényi - Hajdú utca csapadékcsatorna felújítása, nyomvonal kiváltás</t>
  </si>
  <si>
    <t>Dobroszláv úti fűtőműből kazán áttelepítés</t>
  </si>
  <si>
    <t>Tata Város Önkormányzatának pénzmaradvány igénybevétele felhalmozási cél szerinti tagolásban (E Ft-ban)</t>
  </si>
  <si>
    <t>2017.</t>
  </si>
  <si>
    <t>2018.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</si>
  <si>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</si>
  <si>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</si>
  <si>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</si>
  <si>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</si>
  <si>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</si>
  <si>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</si>
  <si>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</si>
  <si>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</si>
  <si>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</si>
  <si>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</si>
  <si>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</si>
  <si>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</si>
  <si>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</si>
  <si>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</si>
  <si>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</si>
  <si>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</si>
  <si>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</si>
  <si>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</si>
  <si>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</si>
  <si>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</si>
  <si>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</si>
  <si>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1,0 Ft/ idegenfor.adóft</t>
  </si>
  <si>
    <t>I.5.</t>
  </si>
  <si>
    <t xml:space="preserve">A 2016. évről áthúzódó bérkompenzáció támogatása </t>
  </si>
  <si>
    <t>- Teljes összeg, akik 2015. dec. 31-ig megszerezték. Alapfokú, Ped. II. kategóriába s.</t>
  </si>
  <si>
    <t>- 11 havi időarányos, akik 2016. évben szerezték meg. Alapfokú, Ped.II. kateg. sorol.</t>
  </si>
  <si>
    <t>III.1.</t>
  </si>
  <si>
    <t>Család- és gyermekjóléti szolgálat (2015.01.01. lakosságszám alapján jár!!)</t>
  </si>
  <si>
    <t>Család- és gyermekjóléti központ (2015.01.01. lakosságszám alapján jár!!)</t>
  </si>
  <si>
    <t>III.3.da)</t>
  </si>
  <si>
    <t>Ft/fő</t>
  </si>
  <si>
    <t>III.3.db)</t>
  </si>
  <si>
    <t>Házi segítségnyújtás - 2017. évben két külön jogcímen igényelhető támogatás:</t>
  </si>
  <si>
    <t>Időskorúak nappali intézményi ellátása -társult formában, ezért a fajlagos összeg 150 %-a a támogatás (csökkentés 10 fővel, mert Kocsi u. megszűnik, szállítják az igénylőket a Deák F. u.-ba)</t>
  </si>
  <si>
    <t xml:space="preserve">Hajléktalanok átmeneti intézményei </t>
  </si>
  <si>
    <t>III.3.l)</t>
  </si>
  <si>
    <t>Támogató szolgáltatás - alaptámogatás</t>
  </si>
  <si>
    <t>Támogató szolgáltatás - teljesítménytámogatás - személyi segítés</t>
  </si>
  <si>
    <t>Ft/feladategység</t>
  </si>
  <si>
    <t>Támogató szolgáltatás - teljesítménytámogatás - szállításhoz személyi segítés max.50%</t>
  </si>
  <si>
    <t>III.3.m)</t>
  </si>
  <si>
    <t>Közösségi alapellátások - alaptámogatás</t>
  </si>
  <si>
    <t>Közösségi alapellátások - teljesítménytámogatás</t>
  </si>
  <si>
    <t xml:space="preserve">A rászoruló gyermekek intézményen kívüli szünidei étkeztetésének támogatása </t>
  </si>
  <si>
    <t>Megyei hatókörű városi múzeumok feladatainak támogatása (2017. évben nem ismert)</t>
  </si>
  <si>
    <t>97200 E Ft volt</t>
  </si>
  <si>
    <t>Települési önkormányzatok könyvtári célú érdekeltségnövelő támogatása</t>
  </si>
  <si>
    <t>95 %</t>
  </si>
  <si>
    <t>2. melléklet jogcímeihez: ÁLLAMI TÁMOGATÁS BESZÁMÍTÁSSAL CSÖKKENTETT ÖSSZEGE</t>
  </si>
  <si>
    <t>2. melléklet V. Beszámításhoz új szabály további 45 % elvonás szolidaritási hozzájárulás címén</t>
  </si>
  <si>
    <t>Az Önkormányzat adósságot keletkeztető ügyleteinek és azok fedezetére felhasználható saját bevételeink alakulása (E Ft-ban)</t>
  </si>
  <si>
    <t>Módosított átlag létszám</t>
  </si>
  <si>
    <t>Mód.(IV.26)</t>
  </si>
  <si>
    <t>Mód.(IV.26.)</t>
  </si>
  <si>
    <t>2017. áprilisi módosított előirányzat                        E Ft-ban</t>
  </si>
  <si>
    <t>Módosított mutató</t>
  </si>
  <si>
    <t xml:space="preserve">Szociális ágazati összevont pótlék </t>
  </si>
  <si>
    <t>432/2016. (XII.15.) Korm. rendelet 7. §: Bérkompenzáció</t>
  </si>
  <si>
    <t>8/2017. (I.23.) Korm. rendelet 1. §: Kulturális illetmény pótlék</t>
  </si>
  <si>
    <t>462/2016. (XII.23.) Korm. rendelet: Bölcsődei pótlék</t>
  </si>
  <si>
    <t>Módosítás</t>
  </si>
  <si>
    <t xml:space="preserve">Tatai Építők parkjában városi zöld infrastruktúra fejlesztés önereje 6/2017. (I.25.) és 104/2017.(III.30.) Tata Kt. határozat </t>
  </si>
  <si>
    <t>Tata - Agostyán közötti kerékpárút engedélyezi-kivitelezési terve</t>
  </si>
  <si>
    <t>Kossuth tér 1. Polgármesteri hivatal kapu kialakítása, feltáró közlekedő úttal a Bláthy utca felé</t>
  </si>
  <si>
    <t>Parkoló építés (megváltásból  származó bevételből)</t>
  </si>
  <si>
    <t>Önkormányzati külterületi utak járhatóságának biztosítása</t>
  </si>
  <si>
    <t>Visszatérő forrásokkal kapcsolatos feladatok</t>
  </si>
  <si>
    <t>Szelektív hulladéktároló szigetek edényeinek cseréje</t>
  </si>
  <si>
    <t>Építők-parkja villamos vezeték kiváltás és erőátvitel</t>
  </si>
  <si>
    <t xml:space="preserve">Térfigyelő kamerarendszer Kossuth téren </t>
  </si>
  <si>
    <t>Digitális alaptérkép</t>
  </si>
  <si>
    <t>Tárgyi eszköz beszerzése</t>
  </si>
  <si>
    <t>Fényes-fürdő területén fejlesztések végrehajtása</t>
  </si>
  <si>
    <t>Ingatlanvásárlás: Tata, Újhegy 15325/1 hrsz.</t>
  </si>
  <si>
    <t xml:space="preserve">Újhegy kisajátítás </t>
  </si>
  <si>
    <t>Agostyán, Kert utca kisajátítás</t>
  </si>
  <si>
    <t xml:space="preserve">Ipari park - 20 kW-os energiaellátása </t>
  </si>
  <si>
    <t xml:space="preserve">Építésügyi hatósági hatáskör ellátásához előírt tárgyi eszközök (lézeres távolságmérő, szintező műszer) </t>
  </si>
  <si>
    <t>Városi sportcsarnokhoz kapcsolódó parkolók kialakításához a tatai 61/1 és 61/2 hrsz.-ú ingatlanok 2017. évi vételárrészlete 60/2017. (II.23.) Tata Kt. Határozat</t>
  </si>
  <si>
    <t>Városi Piac tervezési és közbeszerzési kiadásaira</t>
  </si>
  <si>
    <t>Jávorka Sándor Mezőgazdasági és Élelmiszeripari Szakképző Iskola és Kollégium mögötti terület fejlesztéséhez kapcsolódó tervezési és engedélyezési díjak</t>
  </si>
  <si>
    <t>Szilágyi Erzsébet utca LED-es közvilágítás sűrítése</t>
  </si>
  <si>
    <t>Deák Ferenc utca Öveges utca sarkán 1 db LED lámpatest felszerelése</t>
  </si>
  <si>
    <t>Vaszary János élete és kora című produkció - általános tartalékból</t>
  </si>
  <si>
    <t>Tatai Geszti Óvoda - kis értékű tárgyi eszköz beszerzés</t>
  </si>
  <si>
    <t>Tatai Geszti Óvoda Agostyáni Tagintézménye - kis értékű tárgyi eszköz beszerzés</t>
  </si>
  <si>
    <t>Klebelsberg Intézményfenntartó Központ Tatabányai Tankerületi Központjának a Vaszary János Általános Iskola tornatermi ablakai és az alagsori öltözőablakok motoros működtetésére</t>
  </si>
  <si>
    <t>Kőkúti Sasok DSE támogatása</t>
  </si>
  <si>
    <t>Komárom-Esztergom Megyei Sportszövetségek Szövetségének</t>
  </si>
  <si>
    <t>Felhalmozási célú támogatások államháztartáson kívülre (visszatérítendő)</t>
  </si>
  <si>
    <t>Vis major támogatás (kölcsön) nyújtása</t>
  </si>
  <si>
    <t>Közép- és Kelet-európai Történelem és Társadalom Kutatásáért Közalapítványtól az „Itt élned, halnod kell" Források a tatai 1956-os forradalomhoz Helytörténeti könyv megjelentetése” megnevezésű KKETTKK-56P-01-0269 azonosítószámú pályázatra</t>
  </si>
  <si>
    <t>Vis major támogatás (kölcsön) visszafizetése</t>
  </si>
  <si>
    <t>Mód. (IV.26.)</t>
  </si>
  <si>
    <t>2017.
Mód.(IV.26.)</t>
  </si>
  <si>
    <t>Egyéb közhatalmi bevétel</t>
  </si>
  <si>
    <t>Egyéb működési bevétel</t>
  </si>
  <si>
    <t>Likvid hitel felvétel</t>
  </si>
  <si>
    <t>Értékpapír vásárlás</t>
  </si>
  <si>
    <t>Értékpapír eladás</t>
  </si>
  <si>
    <t>Adóbírság és közigazgatási bírság</t>
  </si>
  <si>
    <t>Likvid hitel törlesztés</t>
  </si>
  <si>
    <t>Értékpapír értékesítés</t>
  </si>
  <si>
    <t>Livkidhitel felvétel</t>
  </si>
  <si>
    <t>Vaszary villában gépészeti munkálatok és szennyvízelvezetés</t>
  </si>
  <si>
    <t>Mód.(IX.27.)</t>
  </si>
  <si>
    <t>Mód.(IX.27)</t>
  </si>
  <si>
    <t>Mód. (IX.27)</t>
  </si>
  <si>
    <t>Mód. (IX.27.)</t>
  </si>
  <si>
    <t>2017. Mód.(IX.27.)</t>
  </si>
  <si>
    <t>2017. szeptemberi módosított előirányzat                        E Ft-ban</t>
  </si>
  <si>
    <t>2017. évi beruházási kiadások feladatonként (ÁFA-val) E Ft-ban</t>
  </si>
  <si>
    <t>(E Ft-ban)</t>
  </si>
  <si>
    <t>Költségvetési alcím megnevezése</t>
  </si>
  <si>
    <t>Feladat jellege</t>
  </si>
  <si>
    <t>Áru és készletértékesítés</t>
  </si>
  <si>
    <t>Szolgáltatás</t>
  </si>
  <si>
    <t>Közvetített szolgáltatás</t>
  </si>
  <si>
    <t>ÁFA</t>
  </si>
  <si>
    <t>Kamat</t>
  </si>
  <si>
    <t>Kártérítés</t>
  </si>
  <si>
    <t>Átvett pénzeszközök</t>
  </si>
  <si>
    <t>Támogatásértékű bevétel</t>
  </si>
  <si>
    <t>Pénzmaradvány</t>
  </si>
  <si>
    <t>Bevételek összesen</t>
  </si>
  <si>
    <t>működési célra</t>
  </si>
  <si>
    <t>felhalmozási célra</t>
  </si>
  <si>
    <t>pénzforalom nélküli</t>
  </si>
  <si>
    <t>előző évi átvétele</t>
  </si>
  <si>
    <t>Finanszírozás</t>
  </si>
  <si>
    <t>Saját bevételek</t>
  </si>
  <si>
    <t>Fürdő utcai Óvoda</t>
  </si>
  <si>
    <t>Kötelező</t>
  </si>
  <si>
    <t>Szivárvány Óvoda</t>
  </si>
  <si>
    <t>Geszti Óvoda</t>
  </si>
  <si>
    <t>Bartók B. utcai Óvoda</t>
  </si>
  <si>
    <t>Kertvárosi Óvoda</t>
  </si>
  <si>
    <t>Kincseskert Óvoda</t>
  </si>
  <si>
    <t>Bergengócia Óvoda</t>
  </si>
  <si>
    <t>Bölcsőde</t>
  </si>
  <si>
    <t>Vaszary J. Általános Iskola</t>
  </si>
  <si>
    <t>Vaszary - Logopédiai Intézet</t>
  </si>
  <si>
    <t>Vaszary-Jázmin Tagint.</t>
  </si>
  <si>
    <t>Vaszary összesen</t>
  </si>
  <si>
    <t>Kőkúti Általános Iskola</t>
  </si>
  <si>
    <t>Kőkúti Általános Iskola - Fazekas U. Tagintézmény</t>
  </si>
  <si>
    <t>Kőkúti összesen</t>
  </si>
  <si>
    <t>Zeneiskola</t>
  </si>
  <si>
    <t>Diákotthon</t>
  </si>
  <si>
    <t>Bláthy</t>
  </si>
  <si>
    <t>Intézmények Gazdasági Hivatala</t>
  </si>
  <si>
    <t>Önként vállalt feladat</t>
  </si>
  <si>
    <t>Iskolák és IGH összesen</t>
  </si>
  <si>
    <t>Könyvtár</t>
  </si>
  <si>
    <t>Egészségügyi Alapellátó Intézmény</t>
  </si>
  <si>
    <t>Kvi. alcímek és szakf. Összesen:</t>
  </si>
  <si>
    <t>mindösszesen</t>
  </si>
  <si>
    <t>IGH feladatkörébe tartozó kötelező feladatok</t>
  </si>
  <si>
    <t>Kötelező összesen</t>
  </si>
  <si>
    <t>IGH feladatkörébe tartozó önként vállalt  feladatok</t>
  </si>
  <si>
    <t>Intézmények Gazdasági Hivatalához tartozó  önállóan működő intézmények 2017. évi költségvetése</t>
  </si>
  <si>
    <t>Működési kiadások</t>
  </si>
  <si>
    <t>Felhalmozási kiadások</t>
  </si>
  <si>
    <t>Kiadások összesen</t>
  </si>
  <si>
    <t>Személyi juttatás</t>
  </si>
  <si>
    <t>M.adókat terhelő jár.</t>
  </si>
  <si>
    <t>Dologi</t>
  </si>
  <si>
    <t>Bölcsöde</t>
  </si>
  <si>
    <t xml:space="preserve">Intézmények Gazdasági Hivatalához tartozó önállóan működő intézmények 2017. évi költségvetése </t>
  </si>
  <si>
    <t>Önkormányzati étkeztetési fejlesztések támogatása - pályázati önrész</t>
  </si>
  <si>
    <t>Csillagsziget Bölcsőde felújítása Tatán TOP-1.4.1-15-KO1-2016-00020</t>
  </si>
  <si>
    <t xml:space="preserve">Tata- Agostyán településrészt összekötő kerékpárút                                                                          </t>
  </si>
  <si>
    <t>Építők parkjában zöld infrastruktúra fejlesztés TOP 2.1.2-15-K01-2016-00002</t>
  </si>
  <si>
    <t>A helyi gazdaság erőforrásaira épülő piac- és agrárlogisztikai fejlesztés Tatán TOP-1.1.3-15-KO1-2016-00003 projekt</t>
  </si>
  <si>
    <t>Tata, Kosssuth téren üveg-buszváró létesítéséről 213/2017.(V.31.) Tata Kt. határozat</t>
  </si>
  <si>
    <t>Közösségi Felsőoktatási Képzési Központ - kisértékű tárgyi eszközök beszerzése  258/2017. (VI.28.) Tata Kt. határozat</t>
  </si>
  <si>
    <t>Építők parkjában strandröplabda pálya kiépítése 258/2017.(VI.28.) Tata Kt. határozat</t>
  </si>
  <si>
    <t xml:space="preserve">Ford Transit gépkocsi vásárlás  a 189/2017. (V.31.) Tata Kt. határozat </t>
  </si>
  <si>
    <t xml:space="preserve">Kossuth tér 1.  dísztermi padlófütés kialakítása és a fűtéskorszerűsítés kőműves munkái                               </t>
  </si>
  <si>
    <r>
      <t xml:space="preserve">Hivatal III. emeletén szerverszoba kialakítása </t>
    </r>
    <r>
      <rPr>
        <sz val="11"/>
        <color rgb="FFFF0000"/>
        <rFont val="Times New Roman"/>
        <family val="1"/>
        <charset val="238"/>
      </rPr>
      <t xml:space="preserve">                                                                                  </t>
    </r>
  </si>
  <si>
    <t xml:space="preserve">Öregvár területén várforrás elvezetés                                                                                                       </t>
  </si>
  <si>
    <t xml:space="preserve">Tata, Baji út vízvezeték kiváltás kiviteli terve                                                                                                                                                      </t>
  </si>
  <si>
    <r>
      <t xml:space="preserve">Tata, üvegbuszmegálló tervdok. III. részlet    </t>
    </r>
    <r>
      <rPr>
        <sz val="11"/>
        <color rgb="FFFF0000"/>
        <rFont val="Times New Roman"/>
        <family val="1"/>
        <charset val="238"/>
      </rPr>
      <t xml:space="preserve">                                                                                             </t>
    </r>
  </si>
  <si>
    <t xml:space="preserve">tatai, 15235/5 hrsz. ingatlan vételára                                                                                          </t>
  </si>
  <si>
    <t xml:space="preserve">tatai, 15307/9 hrsz. és 115307/11 hrsz. ingatlanok vételára                                                                       </t>
  </si>
  <si>
    <t xml:space="preserve">tatai, 15413/4 hrsz.  ingatlan vételára                                                                                           </t>
  </si>
  <si>
    <r>
      <t xml:space="preserve">tatai, 15251/19 hrsz. ingatlan vételára                                                                                            </t>
    </r>
    <r>
      <rPr>
        <sz val="11"/>
        <color rgb="FFFF0000"/>
        <rFont val="Times New Roman"/>
        <family val="1"/>
        <charset val="238"/>
      </rPr>
      <t xml:space="preserve">     </t>
    </r>
  </si>
  <si>
    <t xml:space="preserve">tatai, 15250/7, és 15250/9 hrsz.ingatlanok vételára                                                                                        </t>
  </si>
  <si>
    <t xml:space="preserve">Öregtavi zsilipek előtti halrácsok beépítése                                                                                                       </t>
  </si>
  <si>
    <t xml:space="preserve">Kőzmű vételára (2 X 6.350.-Ft)   </t>
  </si>
  <si>
    <r>
      <t xml:space="preserve">Lelátószékek beszerzése </t>
    </r>
    <r>
      <rPr>
        <sz val="11"/>
        <color rgb="FF00B050"/>
        <rFont val="Times New Roman"/>
        <family val="1"/>
        <charset val="238"/>
      </rPr>
      <t xml:space="preserve"> </t>
    </r>
  </si>
  <si>
    <t>Tata, Wass Albert és Deák F. utcák közötti út és parkolóépítés</t>
  </si>
  <si>
    <t>Fogászati röntgen készülék és digitalizáló beszerzése 259/2017.(VI.28.) Tata Kt. Határozat</t>
  </si>
  <si>
    <r>
      <t>A Tatai Kőfaragó-ház kézműves és aktív ökoturisztikai látogatóközpontként való rehabilitációja és a Kálvária-domb egységes turisztikai termékcsomagként való bemutatása TOP-1.2.1.-15-KO1-2016-00005 (szobor rekonstrukció)</t>
    </r>
    <r>
      <rPr>
        <sz val="11"/>
        <color rgb="FF92D05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önerővel   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</t>
    </r>
  </si>
  <si>
    <t>Működési célú  támogatások államháztartáson kívülről (vissza nem térítendő)</t>
  </si>
  <si>
    <t>Pon Danubii részére visszatérítendő támogatás</t>
  </si>
  <si>
    <t>Agostyáni Tűzoltó Egyesület támogatása</t>
  </si>
  <si>
    <t>Színes Iskola Alapítvány részére autista gyermek ellátásához támogatás</t>
  </si>
  <si>
    <t>Általános tartalékból</t>
  </si>
  <si>
    <t xml:space="preserve"> - Honvéd Bajtársi Klub 2017. évi rendezvények támogatása</t>
  </si>
  <si>
    <t xml:space="preserve"> - Humanitás SE részére támogatás (Para Képzőművészeti kiállítás Szabó Szonja emlékére)</t>
  </si>
  <si>
    <t xml:space="preserve"> - Jázmin Alapítvány támogatása </t>
  </si>
  <si>
    <t xml:space="preserve"> - Agostyáni Önkéntes Tűzoltó Egyesület támogatása</t>
  </si>
  <si>
    <t>Jávorka Sándor Mezőgazdasági és Élelmiszeripari Szakképző Iskola és Kollégium részére működési támogatás</t>
  </si>
  <si>
    <t>Hungaricum Szövetség támogatása</t>
  </si>
  <si>
    <t>Angolkert 286/2017. (VIII.11.) Tata Kt. Határozat</t>
  </si>
  <si>
    <t>Országos Mentőszolgálat Alapítvány támogatása</t>
  </si>
  <si>
    <t>Munkaügyi Központtól közfoglalkoztatás, téli közfoglalkoztatás, egyéb támogatásra</t>
  </si>
  <si>
    <t>Tata Építők Parkjában városi zöld infrastruktúra fejlesztés TOP-2.1.2-15-KO1-2016-00002 projekt</t>
  </si>
  <si>
    <t>Tatai Kőfaragó-ház kézműves és aktív ökoturisztikai látogatóközpontként való rehabilitációja és a Kálváira-domb egységes turisztikai termékcsomagként való bemutatása TOP-1.2.1-15-KO1-2016-00005 projekt</t>
  </si>
  <si>
    <t>MVH-tól földalapú támogatás</t>
  </si>
  <si>
    <t>Pons Danubii működési támogatás visszatérülés</t>
  </si>
  <si>
    <t>Hosszú lejáratú hitelfelvétel</t>
  </si>
  <si>
    <t>Hosszúlejáratú hitelfelvétel</t>
  </si>
  <si>
    <t>Tatai Közös Önkormányzati Hivatal 2017. évi költségvetési terve (kormányzati funkciók és kiemelt előirányzatok szerinti bontásban) 
( E Ft-ban)</t>
  </si>
  <si>
    <t>Kiadás</t>
  </si>
  <si>
    <t>M.adókat terh. jár. és szochó</t>
  </si>
  <si>
    <t>Ellátottak pénzbeli juttatása</t>
  </si>
  <si>
    <t>Hitel- és kölcsön törlesztés</t>
  </si>
  <si>
    <t>Költségvetési szerveknek folyósított támogatás</t>
  </si>
  <si>
    <t>Államigazgatás</t>
  </si>
  <si>
    <t>Önkormányzatok és önkormányzati hivatalok jogalkotás és általános igazgatási tevékenysége</t>
  </si>
  <si>
    <t>011220</t>
  </si>
  <si>
    <t>Adó-, vám és jövedéki igazgatás</t>
  </si>
  <si>
    <t>016030</t>
  </si>
  <si>
    <t>Állampolgársági ügyek - Anyakönyv</t>
  </si>
  <si>
    <t>018030</t>
  </si>
  <si>
    <t>Támogatási célú finanszírozási műveletek</t>
  </si>
  <si>
    <t>Nem kötelező</t>
  </si>
  <si>
    <t>Közterület rendjének fenntartása (közterület fenntartás)</t>
  </si>
  <si>
    <t>044310</t>
  </si>
  <si>
    <t>Építés hatósági ügyek</t>
  </si>
  <si>
    <t>061030</t>
  </si>
  <si>
    <t>Lakáshoz jutást segítő támogatások</t>
  </si>
  <si>
    <t>Város- községgazdálkodási szolgáltatások</t>
  </si>
  <si>
    <t>109010</t>
  </si>
  <si>
    <t>Szociális Igazgatás</t>
  </si>
  <si>
    <t>Tata összesen</t>
  </si>
  <si>
    <t>Neszmélyi Kirendeltség</t>
  </si>
  <si>
    <t>Neszmélyi Kirendeltség összesen:</t>
  </si>
  <si>
    <t>Dunaalmási Kirendeltség összesen:</t>
  </si>
  <si>
    <t>Dunaszentmiklósi Kirendeltség összesen:</t>
  </si>
  <si>
    <t>Községek összesen:</t>
  </si>
  <si>
    <t>Eredeti összesen:</t>
  </si>
  <si>
    <t>Kötelező összesen:</t>
  </si>
  <si>
    <t>Nem kötelező összesen:</t>
  </si>
  <si>
    <t xml:space="preserve">Államigazgatás összesen: </t>
  </si>
  <si>
    <t>Hosszúlejáratú hitelfelvétel:</t>
  </si>
  <si>
    <t>Tata Város Önkormányzat 2017. évi költségvetési terve 
(kormányzati funkciók és kiemelt előirányzatok szerinti bontásban) 
( E Ft-ban)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</si>
  <si>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</si>
  <si>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</si>
  <si>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</si>
  <si>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</si>
  <si>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</si>
  <si>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</si>
  <si>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</si>
  <si>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</si>
  <si>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</si>
  <si>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</si>
  <si>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</si>
  <si>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</si>
  <si>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</si>
  <si>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</si>
  <si>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</si>
  <si>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</si>
  <si>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</si>
  <si>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</si>
  <si>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</si>
  <si>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</si>
  <si>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</si>
  <si>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</si>
  <si>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</si>
  <si>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</si>
  <si>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</si>
  <si>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</si>
  <si>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</si>
  <si>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</si>
  <si>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</si>
  <si>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</si>
  <si>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</si>
  <si>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</si>
  <si>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</si>
  <si>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</si>
  <si>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</si>
  <si>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</si>
  <si>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</si>
  <si>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</si>
  <si>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</si>
  <si>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</si>
  <si>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</si>
  <si>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</si>
  <si>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</si>
  <si>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</si>
  <si>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</si>
  <si>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</si>
  <si>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</si>
  <si>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</si>
  <si>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</si>
  <si>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</si>
  <si>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</si>
  <si>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</si>
  <si>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</si>
  <si>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</si>
  <si>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</si>
  <si>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</si>
  <si>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</si>
  <si>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</si>
  <si>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</si>
  <si>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</si>
  <si>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</si>
  <si>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083 020</t>
  </si>
  <si>
    <t>Könyvkiadás</t>
  </si>
  <si>
    <t>083 030</t>
  </si>
  <si>
    <t>Egyéb kiadói tevékenység</t>
  </si>
  <si>
    <t>084 032</t>
  </si>
  <si>
    <t>Civil szervezetek programtámogatása</t>
  </si>
  <si>
    <t>084 070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</si>
  <si>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</si>
  <si>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</si>
  <si>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</si>
  <si>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</si>
  <si>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</si>
  <si>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</si>
  <si>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</si>
  <si>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</si>
  <si>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</si>
  <si>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</si>
  <si>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</si>
  <si>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</si>
  <si>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</si>
  <si>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</si>
  <si>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</si>
  <si>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</si>
  <si>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900 020</t>
  </si>
  <si>
    <t>Önkormányzatok funkcióra nem tervezhető bevételei /helyi adók/</t>
  </si>
  <si>
    <t>Államigazgatás összesen:</t>
  </si>
  <si>
    <t>1312/2017. (VI.8.) Korm. határozat 4. pont: minimálbér és garantált bérminimum emeléséhez, vm. a szoc. hozzájárulási adó csökkentés hatásának kompenzációjához támogatás</t>
  </si>
  <si>
    <t>Pénzügyi teljesítés I. félév</t>
  </si>
  <si>
    <t>572.581 E Ft</t>
  </si>
  <si>
    <t>2017. évi felújítási kiadások célonként (ÁFA-val)</t>
  </si>
  <si>
    <t>Markó Gyula emléktábla</t>
  </si>
  <si>
    <t xml:space="preserve"> -Pötörke Népművészeti Egyesület támogatása</t>
  </si>
  <si>
    <t xml:space="preserve"> - Concerto Nonprofit Kft.- Tatai Barokk Fesztivál támogatása</t>
  </si>
  <si>
    <t>Kuny Domokos Múzeum - Vár, törökkori börtön felújítása</t>
  </si>
  <si>
    <t xml:space="preserve">Kuny Domokos Múzeum - NNM raktárfelújítás befejezése </t>
  </si>
  <si>
    <t>Kuny Domokos Múzeum - Szennyvízhálózat felújítása</t>
  </si>
  <si>
    <t>Kuny Domokos Múzeum - Villamoshálózat felülvizsgálata</t>
  </si>
  <si>
    <t>Kertvárosi Óvoda - Radiátorok cseréje</t>
  </si>
  <si>
    <t>Tatai Bartók Béla Óvoda - Szennyvízátemelő cseréje</t>
  </si>
  <si>
    <t>Tatai Kincseskert Óvoda Szivárvány Tagintézménye - Csoportszobába padló bontása, új laminált parketta fektetése</t>
  </si>
  <si>
    <t>Tatai Kincseskert Óvoda - Közlekedő folyosó felújítása/lefolyó csővezeték cseréje, burkolása</t>
  </si>
  <si>
    <t>Tatai Geszti Óvoda - Kettő csoportszoba laminált parketta fektetése és szegélyezése</t>
  </si>
  <si>
    <t>Csillagsziget Bölcsöde felújítása Tatán</t>
  </si>
  <si>
    <t>Váralja u. 6. (volt rendelőintézet) felújítási munkái</t>
  </si>
  <si>
    <t xml:space="preserve">Tóparti kopjafa villamos mérőhely kialakitása                                                                                           </t>
  </si>
  <si>
    <t>tatai Grófi-tó felújítási és mederkotrási munkái- fűvsítés és egyéb hiánypótolt munkák</t>
  </si>
  <si>
    <t xml:space="preserve">Kismosó patak mederrendezése                                                                                                            </t>
  </si>
  <si>
    <t xml:space="preserve">Bercsényi utca 1. épület akadálymentesítéséhez, pénzügyi teljesítése a beruh.  táblán                                                                                        </t>
  </si>
  <si>
    <t>Bacsó B. u. 66. földkábel</t>
  </si>
  <si>
    <t>Fényes-fürdőn lévő hivatali üdülő terasz burkolása és egyéb felújítási munkák</t>
  </si>
  <si>
    <t>Hivatal épületében klímaberendezések pótlása, cseréje</t>
  </si>
  <si>
    <t>- Balatonvilágosi üdülőben stég felújítása, udvar parkrendezése, udvarra asztal, padok, székek beszerzése, terasz bővítése, napellenző felszerelése</t>
  </si>
  <si>
    <t>Játszóterek felújítása (Dadi utcai játszótér kialakítása, eszközök elhelyezése, Lovardai játszótér fejlesztése, kerítések, Bacsó B. út 66., Levendula úti játszótéren ivóvízkút elhelyezése, Május 1 út 35-nél térvilágítás)</t>
  </si>
  <si>
    <t>- Ady Endre út- Május 1 út körforgalomban szökőkút felújítása (vízgépészet és építészet)</t>
  </si>
  <si>
    <t xml:space="preserve">ÉDV Zrt. által üzemeltetett viziközművek felújítása műszaki tartalommal                                                  </t>
  </si>
  <si>
    <t>- Vasút utca útfelújítása</t>
  </si>
  <si>
    <t>- Bacsó B. parkoló felújítása</t>
  </si>
  <si>
    <t>- Mikovényi úti körforgalom felújítása</t>
  </si>
  <si>
    <t>- Bláthy Ottó utca hátsó parkoló felújítása</t>
  </si>
  <si>
    <t>- Vágó utca, Újvilág utca útfelújítása</t>
  </si>
  <si>
    <t>- Kazincbarcikai utca, Hamari D. u. parkoló felújítása</t>
  </si>
  <si>
    <t>- József Attila út útfelújítása</t>
  </si>
  <si>
    <t xml:space="preserve">- Dadi utca és Remeteség útfelújítása </t>
  </si>
  <si>
    <t xml:space="preserve">Útfelújítások tervezése </t>
  </si>
  <si>
    <t>Járdafelújítások (tartalmazza a 2016. évről áthuzodó számlák is)</t>
  </si>
  <si>
    <t>Akadálymentesítés, közlekedésbiztonság növelése (járdák, gyalogátkelőhelyek)</t>
  </si>
  <si>
    <t>- Naplókert u. burkolat szélesítése garázssor előtt</t>
  </si>
  <si>
    <t>- Hídfelújítások, állapot felülvizsgálat (Berta-malmi híd)</t>
  </si>
  <si>
    <t>Utak karbantartása</t>
  </si>
  <si>
    <t>Tulipán út hiányzó szakasz pormentesítése mart aszfalttal</t>
  </si>
  <si>
    <t>- Aszfalt felületű utak útfelújítása marással, újraaszfaltozással (Vértesszőlősi úttal párhuzamos szervizút 1 szakasza, Fényes-fürdő belső út)</t>
  </si>
  <si>
    <t>- Fűzfa út és hátsó összekötő út pormentesítése mart aszfalttal</t>
  </si>
  <si>
    <t>- Mennich-köz felújítása</t>
  </si>
  <si>
    <t>- Mező Imre utca felújítása</t>
  </si>
  <si>
    <t>- Boglárka utca felújítása</t>
  </si>
  <si>
    <t>- Klapka út burkolat felújítása</t>
  </si>
  <si>
    <t>- Táncsics M. - Nagykert u. burkolat felújítás I. ütem</t>
  </si>
  <si>
    <t>- Rákóczi u. 9. homlokzat felújítása</t>
  </si>
  <si>
    <t>Vaszary Villa állagmegóvó munkálataira</t>
  </si>
  <si>
    <t xml:space="preserve">- Fürdő u. 2. ingatlanon halaszthatatlan felújítási munkálatok elvégzése </t>
  </si>
  <si>
    <t>Önkormányzati nem lakás célú helyiségek felújítása</t>
  </si>
  <si>
    <t>Önkormányzati bérlakások felújítása (2016. évi)</t>
  </si>
  <si>
    <t>Kossuth tér 1. udvarfelújítás folytatása (gázcső, omlásveszélyes fal, térvilágítás)</t>
  </si>
  <si>
    <t>"Csillagsziget Bölcsöde felújítása Tatán" 199/2017.(V.31.) Tata Kt. határozata - pályázati önrész</t>
  </si>
  <si>
    <t>Önkormányzati feladatellátást szolgáló fejlesztések 135/2017.(IV.27.) Tata Kt. határozat- pályázati önrész</t>
  </si>
  <si>
    <t>Határozatokkal elfogadott feladatok</t>
  </si>
  <si>
    <t>átcsop.</t>
  </si>
  <si>
    <t>Tata Város Önkormányzat ASP központhoz való csatlakozása KÖFOP-1.2.1-VEKOP-16-2017-01302 projektre</t>
  </si>
  <si>
    <t>Tatai Öreg-tó Kft. Tagi kölcsön visszatérülés</t>
  </si>
  <si>
    <t xml:space="preserve"> - Felhalmozási tartalék (a 30.000 E Ft felhasználása a bevétel beérkezéséhez kötött )</t>
  </si>
  <si>
    <t>Felhalmozási tartalék (a 30.000 E Ft felhasználása a bevétel beérkezéséhez kötött )</t>
  </si>
  <si>
    <t>A fiatalok társadalmi integrációját segítő struktúra, szakmai szolgáltatások fejlesztése, működtetése</t>
  </si>
  <si>
    <t>ÁLLAMI TÁMOGATÁS MINDÖSSZESEN</t>
  </si>
  <si>
    <t>3. melléklet V. Vis maior támogatás</t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</si>
  <si>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</si>
  <si>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r>
      <t xml:space="preserve">Differenciálás: </t>
    </r>
    <r>
      <rPr>
        <b/>
        <sz val="10"/>
        <rFont val="Times New Roman CE"/>
        <charset val="238"/>
      </rPr>
      <t>Támogatás csökkentés 105 % lenne</t>
    </r>
    <r>
      <rPr>
        <sz val="10"/>
        <rFont val="Times New Roman CE"/>
        <charset val="238"/>
      </rPr>
      <t xml:space="preserve"> az adóerő-képesség miatt, de közös hivatal székhelye miatt 10 %-kal csökkenthető, ezért 95 % a támogatás csökkentés.</t>
    </r>
  </si>
  <si>
    <r>
      <t xml:space="preserve">Önkormányzat elvárt bevétele: </t>
    </r>
    <r>
      <rPr>
        <b/>
        <sz val="12"/>
        <rFont val="Times New Roman CE"/>
        <charset val="238"/>
      </rPr>
      <t xml:space="preserve">2015.évi </t>
    </r>
    <r>
      <rPr>
        <sz val="12"/>
        <rFont val="Times New Roman CE"/>
        <charset val="238"/>
      </rPr>
      <t>iparűzési adóalap 0,55 %-a</t>
    </r>
  </si>
  <si>
    <r>
      <t xml:space="preserve">Házi segítségnyújtáshoz </t>
    </r>
    <r>
      <rPr>
        <b/>
        <i/>
        <sz val="12"/>
        <rFont val="Times New Roman CE"/>
        <charset val="238"/>
      </rPr>
      <t>Személyi gondozás</t>
    </r>
    <r>
      <rPr>
        <sz val="12"/>
        <rFont val="Times New Roman CE"/>
        <charset val="238"/>
      </rPr>
      <t xml:space="preserve"> -  társult formában, ezért a fajlagos összeg 130 %-a a támogatás</t>
    </r>
  </si>
  <si>
    <r>
      <t xml:space="preserve">Házi segítségnyújtáshoz </t>
    </r>
    <r>
      <rPr>
        <b/>
        <i/>
        <sz val="12"/>
        <rFont val="Times New Roman CE"/>
        <charset val="238"/>
      </rPr>
      <t>Szociális segítés</t>
    </r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</si>
  <si>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</si>
  <si>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</si>
  <si>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</si>
  <si>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r>
      <t>Egyéb önkormányzati feladat támogatása (</t>
    </r>
    <r>
      <rPr>
        <b/>
        <i/>
        <sz val="12"/>
        <color indexed="12"/>
        <rFont val="Times New Roman CE"/>
        <charset val="238"/>
      </rPr>
      <t>adóerőképesség 1 lakosra 42.827 Ft</t>
    </r>
    <r>
      <rPr>
        <b/>
        <i/>
        <sz val="12"/>
        <rFont val="Times New Roman CE"/>
        <charset val="238"/>
      </rPr>
      <t>)</t>
    </r>
  </si>
  <si>
    <r>
      <t>Önkormányzati Hivatal működésének támogatása (</t>
    </r>
    <r>
      <rPr>
        <b/>
        <i/>
        <sz val="12"/>
        <color indexed="12"/>
        <rFont val="Times New Roman CE"/>
        <charset val="238"/>
      </rPr>
      <t>Közös Hiv. 26.798 fő lakos</t>
    </r>
    <r>
      <rPr>
        <b/>
        <i/>
        <sz val="12"/>
        <rFont val="Times New Roman CE"/>
        <charset val="238"/>
      </rPr>
      <t>)</t>
    </r>
  </si>
  <si>
    <r>
      <t xml:space="preserve">2017. Eredeti előirányzat                        </t>
    </r>
    <r>
      <rPr>
        <b/>
        <sz val="12"/>
        <rFont val="Times New Roman CE"/>
        <charset val="238"/>
      </rPr>
      <t>E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</si>
</sst>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;\-#,##0"/>
    <numFmt numFmtId="165" formatCode="0.0"/>
    <numFmt numFmtId="166" formatCode="#,##0.0"/>
    <numFmt numFmtId="167" formatCode="[$-40E]General"/>
    <numFmt numFmtId="168" formatCode="_-* #,##0.00\ _F_t_-;\-* #,##0.00\ _F_t_-;_-* \-??\ _F_t_-;_-@_-"/>
    <numFmt numFmtId="169" formatCode="#,##0_ ;\-#,##0\ "/>
  </numFmts>
  <fonts count="123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1"/>
    </font>
    <font>
      <b/>
      <sz val="12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 CE"/>
      <charset val="238"/>
    </font>
    <font>
      <b/>
      <i/>
      <sz val="12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name val="Times New Roman CE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 CE"/>
      <family val="2"/>
      <charset val="238"/>
    </font>
    <font>
      <sz val="11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8"/>
      <name val="Arial CE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color indexed="12"/>
      <name val="Times New Roman CE"/>
      <charset val="238"/>
    </font>
    <font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4"/>
      <name val="Times New Roman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57" fillId="0" borderId="0"/>
    <xf numFmtId="0" fontId="57" fillId="23" borderId="7" applyNumberFormat="0" applyAlignment="0" applyProtection="0"/>
    <xf numFmtId="0" fontId="23" fillId="20" borderId="8" applyNumberFormat="0" applyAlignment="0" applyProtection="0"/>
    <xf numFmtId="0" fontId="57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61" fillId="0" borderId="0"/>
    <xf numFmtId="0" fontId="62" fillId="0" borderId="0"/>
    <xf numFmtId="0" fontId="57" fillId="0" borderId="0"/>
    <xf numFmtId="0" fontId="65" fillId="0" borderId="0"/>
    <xf numFmtId="0" fontId="66" fillId="0" borderId="0"/>
    <xf numFmtId="167" fontId="67" fillId="0" borderId="0"/>
    <xf numFmtId="0" fontId="62" fillId="0" borderId="0"/>
    <xf numFmtId="0" fontId="68" fillId="0" borderId="0"/>
    <xf numFmtId="0" fontId="21" fillId="0" borderId="0"/>
    <xf numFmtId="0" fontId="70" fillId="0" borderId="0" applyNumberFormat="0" applyFill="0" applyBorder="0" applyAlignment="0" applyProtection="0"/>
    <xf numFmtId="168" fontId="57" fillId="0" borderId="0" applyFill="0" applyBorder="0" applyAlignment="0" applyProtection="0"/>
    <xf numFmtId="0" fontId="7" fillId="0" borderId="0"/>
    <xf numFmtId="43" fontId="5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3" fillId="0" borderId="0"/>
    <xf numFmtId="0" fontId="8" fillId="0" borderId="0" applyBorder="0" applyProtection="0"/>
    <xf numFmtId="43" fontId="57" fillId="0" borderId="0" applyFont="0" applyFill="0" applyBorder="0" applyAlignment="0" applyProtection="0"/>
  </cellStyleXfs>
  <cellXfs count="1501">
    <xf numFmtId="0" fontId="0" fillId="0" borderId="0" xfId="0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34" fillId="0" borderId="0" xfId="45" applyFont="1" applyAlignment="1">
      <alignment wrapText="1"/>
    </xf>
    <xf numFmtId="0" fontId="34" fillId="0" borderId="0" xfId="45" applyFont="1"/>
    <xf numFmtId="0" fontId="27" fillId="0" borderId="0" xfId="45" applyFont="1"/>
    <xf numFmtId="0" fontId="28" fillId="0" borderId="0" xfId="45" applyFont="1"/>
    <xf numFmtId="0" fontId="27" fillId="0" borderId="0" xfId="45" applyFont="1" applyBorder="1"/>
    <xf numFmtId="0" fontId="34" fillId="0" borderId="0" xfId="48" applyFont="1" applyAlignment="1">
      <alignment wrapText="1"/>
    </xf>
    <xf numFmtId="0" fontId="34" fillId="0" borderId="0" xfId="48" applyFont="1"/>
    <xf numFmtId="0" fontId="34" fillId="0" borderId="0" xfId="45" applyFont="1" applyBorder="1"/>
    <xf numFmtId="0" fontId="32" fillId="0" borderId="0" xfId="45" applyFont="1" applyAlignment="1">
      <alignment horizontal="center" wrapText="1"/>
    </xf>
    <xf numFmtId="0" fontId="32" fillId="0" borderId="11" xfId="45" applyFont="1" applyBorder="1" applyAlignment="1">
      <alignment horizontal="center" wrapText="1"/>
    </xf>
    <xf numFmtId="49" fontId="34" fillId="0" borderId="12" xfId="45" applyNumberFormat="1" applyFont="1" applyBorder="1" applyAlignment="1">
      <alignment wrapText="1"/>
    </xf>
    <xf numFmtId="0" fontId="32" fillId="0" borderId="0" xfId="45" applyFont="1" applyBorder="1" applyAlignment="1">
      <alignment wrapText="1"/>
    </xf>
    <xf numFmtId="0" fontId="32" fillId="0" borderId="11" xfId="45" applyFont="1" applyBorder="1" applyAlignment="1">
      <alignment wrapText="1"/>
    </xf>
    <xf numFmtId="3" fontId="32" fillId="0" borderId="0" xfId="45" applyNumberFormat="1" applyFont="1" applyBorder="1"/>
    <xf numFmtId="0" fontId="39" fillId="0" borderId="0" xfId="45" applyFont="1" applyAlignment="1">
      <alignment wrapText="1"/>
    </xf>
    <xf numFmtId="3" fontId="39" fillId="0" borderId="0" xfId="45" applyNumberFormat="1" applyFont="1" applyAlignment="1"/>
    <xf numFmtId="3" fontId="39" fillId="0" borderId="0" xfId="45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1" fillId="0" borderId="0" xfId="0" applyFont="1"/>
    <xf numFmtId="0" fontId="31" fillId="0" borderId="0" xfId="0" applyFont="1" applyBorder="1"/>
    <xf numFmtId="0" fontId="33" fillId="0" borderId="0" xfId="0" applyFont="1" applyAlignment="1">
      <alignment horizontal="center"/>
    </xf>
    <xf numFmtId="0" fontId="31" fillId="0" borderId="13" xfId="0" applyFont="1" applyBorder="1"/>
    <xf numFmtId="0" fontId="31" fillId="0" borderId="10" xfId="0" applyFont="1" applyBorder="1"/>
    <xf numFmtId="0" fontId="31" fillId="0" borderId="14" xfId="0" applyFont="1" applyBorder="1"/>
    <xf numFmtId="0" fontId="33" fillId="0" borderId="13" xfId="0" applyFont="1" applyBorder="1"/>
    <xf numFmtId="0" fontId="33" fillId="0" borderId="0" xfId="0" applyFont="1" applyBorder="1"/>
    <xf numFmtId="0" fontId="33" fillId="0" borderId="0" xfId="0" applyFont="1"/>
    <xf numFmtId="3" fontId="21" fillId="0" borderId="0" xfId="43" applyNumberFormat="1" applyFill="1"/>
    <xf numFmtId="0" fontId="21" fillId="0" borderId="0" xfId="43" applyFill="1"/>
    <xf numFmtId="0" fontId="47" fillId="0" borderId="0" xfId="43" applyFont="1" applyFill="1"/>
    <xf numFmtId="0" fontId="52" fillId="0" borderId="0" xfId="0" applyFont="1"/>
    <xf numFmtId="49" fontId="21" fillId="0" borderId="0" xfId="43" applyNumberFormat="1"/>
    <xf numFmtId="0" fontId="21" fillId="0" borderId="0" xfId="43" applyAlignment="1">
      <alignment wrapText="1"/>
    </xf>
    <xf numFmtId="0" fontId="21" fillId="0" borderId="0" xfId="43"/>
    <xf numFmtId="49" fontId="21" fillId="0" borderId="0" xfId="43" applyNumberFormat="1" applyFont="1"/>
    <xf numFmtId="49" fontId="47" fillId="0" borderId="0" xfId="43" applyNumberFormat="1" applyFont="1"/>
    <xf numFmtId="0" fontId="47" fillId="0" borderId="0" xfId="43" applyFont="1"/>
    <xf numFmtId="0" fontId="21" fillId="0" borderId="0" xfId="43" applyFont="1"/>
    <xf numFmtId="49" fontId="21" fillId="24" borderId="0" xfId="43" applyNumberFormat="1" applyFont="1" applyFill="1"/>
    <xf numFmtId="0" fontId="21" fillId="24" borderId="0" xfId="43" applyFill="1"/>
    <xf numFmtId="0" fontId="21" fillId="25" borderId="0" xfId="43" applyFill="1"/>
    <xf numFmtId="49" fontId="49" fillId="0" borderId="0" xfId="43" applyNumberFormat="1" applyFont="1"/>
    <xf numFmtId="0" fontId="49" fillId="0" borderId="0" xfId="43" applyFont="1"/>
    <xf numFmtId="49" fontId="51" fillId="0" borderId="0" xfId="43" applyNumberFormat="1" applyFont="1"/>
    <xf numFmtId="0" fontId="51" fillId="0" borderId="0" xfId="43" applyFont="1"/>
    <xf numFmtId="49" fontId="51" fillId="0" borderId="0" xfId="43" applyNumberFormat="1" applyFont="1" applyBorder="1"/>
    <xf numFmtId="0" fontId="51" fillId="0" borderId="0" xfId="43" applyFont="1" applyBorder="1"/>
    <xf numFmtId="3" fontId="21" fillId="0" borderId="0" xfId="43" applyNumberFormat="1"/>
    <xf numFmtId="0" fontId="45" fillId="0" borderId="0" xfId="0" applyFont="1"/>
    <xf numFmtId="0" fontId="37" fillId="0" borderId="0" xfId="0" applyFont="1"/>
    <xf numFmtId="0" fontId="38" fillId="0" borderId="0" xfId="0" applyFont="1"/>
    <xf numFmtId="0" fontId="30" fillId="0" borderId="0" xfId="0" applyFont="1"/>
    <xf numFmtId="0" fontId="46" fillId="0" borderId="0" xfId="0" applyFont="1"/>
    <xf numFmtId="0" fontId="41" fillId="0" borderId="0" xfId="0" applyFont="1" applyAlignment="1">
      <alignment horizontal="justify"/>
    </xf>
    <xf numFmtId="165" fontId="45" fillId="0" borderId="0" xfId="0" applyNumberFormat="1" applyFont="1"/>
    <xf numFmtId="0" fontId="53" fillId="0" borderId="0" xfId="0" applyFont="1" applyAlignment="1">
      <alignment horizontal="justify"/>
    </xf>
    <xf numFmtId="0" fontId="54" fillId="0" borderId="0" xfId="44" applyFont="1"/>
    <xf numFmtId="0" fontId="53" fillId="0" borderId="0" xfId="44" applyFont="1"/>
    <xf numFmtId="0" fontId="55" fillId="0" borderId="0" xfId="44" applyFont="1"/>
    <xf numFmtId="3" fontId="38" fillId="0" borderId="0" xfId="47" applyNumberFormat="1" applyFont="1" applyAlignment="1">
      <alignment wrapText="1"/>
    </xf>
    <xf numFmtId="3" fontId="38" fillId="0" borderId="0" xfId="47" applyNumberFormat="1" applyFont="1"/>
    <xf numFmtId="0" fontId="38" fillId="0" borderId="0" xfId="47" applyFont="1"/>
    <xf numFmtId="0" fontId="56" fillId="0" borderId="0" xfId="47" applyFont="1"/>
    <xf numFmtId="0" fontId="37" fillId="0" borderId="0" xfId="47" applyFont="1"/>
    <xf numFmtId="3" fontId="32" fillId="0" borderId="11" xfId="45" applyNumberFormat="1" applyFont="1" applyBorder="1"/>
    <xf numFmtId="0" fontId="63" fillId="0" borderId="13" xfId="45" applyFont="1" applyBorder="1" applyAlignment="1">
      <alignment horizontal="left" wrapText="1"/>
    </xf>
    <xf numFmtId="49" fontId="32" fillId="0" borderId="18" xfId="45" applyNumberFormat="1" applyFont="1" applyBorder="1" applyAlignment="1">
      <alignment wrapText="1"/>
    </xf>
    <xf numFmtId="49" fontId="34" fillId="0" borderId="18" xfId="45" applyNumberFormat="1" applyFont="1" applyBorder="1" applyAlignment="1">
      <alignment wrapText="1"/>
    </xf>
    <xf numFmtId="0" fontId="32" fillId="0" borderId="18" xfId="45" applyFont="1" applyBorder="1" applyAlignment="1">
      <alignment wrapText="1"/>
    </xf>
    <xf numFmtId="0" fontId="34" fillId="0" borderId="18" xfId="45" applyFont="1" applyBorder="1" applyAlignment="1">
      <alignment wrapText="1"/>
    </xf>
    <xf numFmtId="0" fontId="34" fillId="0" borderId="18" xfId="48" applyFont="1" applyBorder="1" applyAlignment="1">
      <alignment wrapText="1"/>
    </xf>
    <xf numFmtId="0" fontId="35" fillId="0" borderId="18" xfId="46" applyFont="1" applyBorder="1" applyAlignment="1">
      <alignment wrapText="1"/>
    </xf>
    <xf numFmtId="49" fontId="34" fillId="0" borderId="21" xfId="45" applyNumberFormat="1" applyFont="1" applyBorder="1" applyAlignment="1">
      <alignment wrapText="1"/>
    </xf>
    <xf numFmtId="0" fontId="63" fillId="0" borderId="21" xfId="45" applyFont="1" applyBorder="1" applyAlignment="1">
      <alignment wrapText="1"/>
    </xf>
    <xf numFmtId="0" fontId="39" fillId="0" borderId="0" xfId="45" applyFont="1" applyBorder="1" applyAlignment="1">
      <alignment wrapText="1"/>
    </xf>
    <xf numFmtId="0" fontId="64" fillId="0" borderId="0" xfId="48" applyFont="1" applyAlignment="1">
      <alignment wrapText="1"/>
    </xf>
    <xf numFmtId="3" fontId="64" fillId="0" borderId="0" xfId="48" applyNumberFormat="1" applyFont="1"/>
    <xf numFmtId="0" fontId="64" fillId="0" borderId="0" xfId="45" applyFont="1" applyAlignment="1">
      <alignment wrapText="1"/>
    </xf>
    <xf numFmtId="0" fontId="64" fillId="0" borderId="0" xfId="45" applyFont="1"/>
    <xf numFmtId="0" fontId="58" fillId="0" borderId="0" xfId="45" applyFont="1"/>
    <xf numFmtId="3" fontId="64" fillId="0" borderId="0" xfId="45" applyNumberFormat="1" applyFont="1"/>
    <xf numFmtId="0" fontId="58" fillId="0" borderId="0" xfId="0" applyFont="1"/>
    <xf numFmtId="3" fontId="58" fillId="0" borderId="0" xfId="0" applyNumberFormat="1" applyFont="1"/>
    <xf numFmtId="3" fontId="45" fillId="0" borderId="0" xfId="43" applyNumberFormat="1" applyFont="1" applyFill="1" applyAlignment="1">
      <alignment horizontal="left" wrapText="1"/>
    </xf>
    <xf numFmtId="3" fontId="45" fillId="0" borderId="0" xfId="43" applyNumberFormat="1" applyFont="1" applyFill="1"/>
    <xf numFmtId="0" fontId="45" fillId="0" borderId="0" xfId="43" applyFont="1" applyFill="1" applyAlignment="1">
      <alignment wrapText="1"/>
    </xf>
    <xf numFmtId="169" fontId="45" fillId="0" borderId="0" xfId="65" applyNumberFormat="1" applyFont="1" applyFill="1" applyBorder="1" applyAlignment="1" applyProtection="1">
      <alignment horizontal="left" wrapText="1"/>
    </xf>
    <xf numFmtId="169" fontId="46" fillId="0" borderId="0" xfId="43" applyNumberFormat="1" applyFont="1" applyFill="1" applyAlignment="1">
      <alignment horizontal="left" wrapText="1"/>
    </xf>
    <xf numFmtId="3" fontId="46" fillId="0" borderId="0" xfId="43" applyNumberFormat="1" applyFont="1" applyFill="1" applyAlignment="1">
      <alignment horizontal="left" wrapText="1"/>
    </xf>
    <xf numFmtId="0" fontId="44" fillId="0" borderId="0" xfId="0" applyFont="1" applyBorder="1" applyAlignment="1">
      <alignment vertical="top" wrapText="1"/>
    </xf>
    <xf numFmtId="3" fontId="44" fillId="0" borderId="0" xfId="0" applyNumberFormat="1" applyFont="1" applyBorder="1" applyAlignment="1">
      <alignment horizontal="right"/>
    </xf>
    <xf numFmtId="0" fontId="53" fillId="0" borderId="23" xfId="0" applyFont="1" applyBorder="1" applyAlignment="1">
      <alignment vertical="top" wrapText="1"/>
    </xf>
    <xf numFmtId="3" fontId="53" fillId="0" borderId="23" xfId="0" applyNumberFormat="1" applyFont="1" applyBorder="1" applyAlignment="1">
      <alignment horizontal="right"/>
    </xf>
    <xf numFmtId="0" fontId="83" fillId="0" borderId="0" xfId="64" applyFont="1" applyBorder="1" applyAlignment="1">
      <alignment wrapText="1"/>
    </xf>
    <xf numFmtId="3" fontId="80" fillId="0" borderId="0" xfId="64" applyNumberFormat="1" applyFont="1" applyBorder="1"/>
    <xf numFmtId="3" fontId="80" fillId="0" borderId="0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51" fillId="0" borderId="0" xfId="0" applyNumberFormat="1" applyFont="1" applyBorder="1" applyAlignment="1">
      <alignment vertical="center"/>
    </xf>
    <xf numFmtId="49" fontId="32" fillId="0" borderId="19" xfId="45" applyNumberFormat="1" applyFont="1" applyBorder="1" applyAlignment="1">
      <alignment wrapText="1"/>
    </xf>
    <xf numFmtId="0" fontId="32" fillId="0" borderId="19" xfId="45" applyFont="1" applyBorder="1" applyAlignment="1">
      <alignment horizontal="left" wrapText="1"/>
    </xf>
    <xf numFmtId="0" fontId="32" fillId="0" borderId="25" xfId="45" applyFont="1" applyBorder="1" applyAlignment="1">
      <alignment wrapText="1"/>
    </xf>
    <xf numFmtId="3" fontId="33" fillId="0" borderId="19" xfId="0" applyNumberFormat="1" applyFont="1" applyBorder="1"/>
    <xf numFmtId="3" fontId="33" fillId="0" borderId="25" xfId="0" applyNumberFormat="1" applyFont="1" applyBorder="1" applyAlignment="1">
      <alignment horizontal="center" wrapText="1"/>
    </xf>
    <xf numFmtId="0" fontId="32" fillId="0" borderId="25" xfId="45" applyFont="1" applyBorder="1" applyAlignment="1">
      <alignment horizontal="center" wrapText="1"/>
    </xf>
    <xf numFmtId="0" fontId="28" fillId="0" borderId="28" xfId="0" applyFont="1" applyBorder="1" applyAlignment="1"/>
    <xf numFmtId="3" fontId="34" fillId="0" borderId="30" xfId="45" applyNumberFormat="1" applyFont="1" applyBorder="1"/>
    <xf numFmtId="3" fontId="38" fillId="0" borderId="27" xfId="0" applyNumberFormat="1" applyFont="1" applyBorder="1" applyAlignment="1">
      <alignment wrapText="1"/>
    </xf>
    <xf numFmtId="0" fontId="28" fillId="0" borderId="32" xfId="0" applyFont="1" applyBorder="1"/>
    <xf numFmtId="3" fontId="37" fillId="0" borderId="33" xfId="47" applyNumberFormat="1" applyFont="1" applyBorder="1" applyAlignment="1">
      <alignment wrapText="1"/>
    </xf>
    <xf numFmtId="3" fontId="37" fillId="0" borderId="33" xfId="47" applyNumberFormat="1" applyFont="1" applyBorder="1"/>
    <xf numFmtId="0" fontId="32" fillId="0" borderId="34" xfId="45" applyFont="1" applyBorder="1" applyAlignment="1">
      <alignment horizontal="center"/>
    </xf>
    <xf numFmtId="0" fontId="64" fillId="0" borderId="36" xfId="45" applyFont="1" applyBorder="1" applyAlignment="1">
      <alignment horizontal="left" wrapText="1"/>
    </xf>
    <xf numFmtId="49" fontId="32" fillId="0" borderId="30" xfId="45" applyNumberFormat="1" applyFont="1" applyBorder="1" applyAlignment="1">
      <alignment wrapText="1"/>
    </xf>
    <xf numFmtId="49" fontId="34" fillId="0" borderId="30" xfId="45" applyNumberFormat="1" applyFont="1" applyBorder="1" applyAlignment="1">
      <alignment wrapText="1"/>
    </xf>
    <xf numFmtId="49" fontId="32" fillId="0" borderId="34" xfId="45" applyNumberFormat="1" applyFont="1" applyBorder="1" applyAlignment="1">
      <alignment wrapText="1"/>
    </xf>
    <xf numFmtId="3" fontId="32" fillId="0" borderId="34" xfId="45" applyNumberFormat="1" applyFont="1" applyBorder="1"/>
    <xf numFmtId="49" fontId="32" fillId="0" borderId="36" xfId="45" applyNumberFormat="1" applyFont="1" applyBorder="1" applyAlignment="1">
      <alignment wrapText="1"/>
    </xf>
    <xf numFmtId="3" fontId="32" fillId="0" borderId="36" xfId="45" applyNumberFormat="1" applyFont="1" applyBorder="1"/>
    <xf numFmtId="3" fontId="32" fillId="0" borderId="30" xfId="45" applyNumberFormat="1" applyFont="1" applyBorder="1"/>
    <xf numFmtId="0" fontId="32" fillId="0" borderId="34" xfId="45" applyFont="1" applyBorder="1" applyAlignment="1">
      <alignment wrapText="1"/>
    </xf>
    <xf numFmtId="3" fontId="33" fillId="0" borderId="27" xfId="0" applyNumberFormat="1" applyFont="1" applyBorder="1"/>
    <xf numFmtId="0" fontId="53" fillId="26" borderId="0" xfId="44" applyFont="1" applyFill="1"/>
    <xf numFmtId="0" fontId="86" fillId="0" borderId="0" xfId="0" applyFont="1"/>
    <xf numFmtId="0" fontId="32" fillId="0" borderId="34" xfId="45" applyFont="1" applyBorder="1" applyAlignment="1">
      <alignment horizontal="center"/>
    </xf>
    <xf numFmtId="3" fontId="32" fillId="0" borderId="12" xfId="45" applyNumberFormat="1" applyFont="1" applyBorder="1"/>
    <xf numFmtId="3" fontId="32" fillId="0" borderId="34" xfId="48" applyNumberFormat="1" applyFont="1" applyBorder="1"/>
    <xf numFmtId="3" fontId="63" fillId="0" borderId="30" xfId="45" applyNumberFormat="1" applyFont="1" applyBorder="1"/>
    <xf numFmtId="0" fontId="32" fillId="0" borderId="40" xfId="45" applyFont="1" applyBorder="1" applyAlignment="1">
      <alignment horizontal="center" wrapText="1"/>
    </xf>
    <xf numFmtId="0" fontId="32" fillId="0" borderId="42" xfId="45" applyFont="1" applyBorder="1" applyAlignment="1">
      <alignment horizontal="center" wrapText="1"/>
    </xf>
    <xf numFmtId="0" fontId="32" fillId="0" borderId="31" xfId="45" applyFont="1" applyBorder="1" applyAlignment="1">
      <alignment horizontal="center" wrapText="1"/>
    </xf>
    <xf numFmtId="0" fontId="32" fillId="0" borderId="31" xfId="45" applyFont="1" applyBorder="1" applyAlignment="1">
      <alignment wrapText="1"/>
    </xf>
    <xf numFmtId="0" fontId="32" fillId="0" borderId="31" xfId="45" applyFont="1" applyBorder="1" applyAlignment="1">
      <alignment horizontal="left" wrapText="1"/>
    </xf>
    <xf numFmtId="0" fontId="34" fillId="0" borderId="31" xfId="45" applyFont="1" applyBorder="1" applyAlignment="1">
      <alignment wrapText="1"/>
    </xf>
    <xf numFmtId="0" fontId="32" fillId="0" borderId="35" xfId="45" applyFont="1" applyBorder="1" applyAlignment="1">
      <alignment wrapText="1"/>
    </xf>
    <xf numFmtId="10" fontId="63" fillId="0" borderId="41" xfId="45" applyNumberFormat="1" applyFont="1" applyBorder="1" applyAlignment="1">
      <alignment wrapText="1"/>
    </xf>
    <xf numFmtId="10" fontId="63" fillId="0" borderId="31" xfId="45" applyNumberFormat="1" applyFont="1" applyBorder="1" applyAlignment="1">
      <alignment wrapText="1"/>
    </xf>
    <xf numFmtId="10" fontId="32" fillId="0" borderId="31" xfId="45" applyNumberFormat="1" applyFont="1" applyBorder="1" applyAlignment="1">
      <alignment wrapText="1"/>
    </xf>
    <xf numFmtId="10" fontId="31" fillId="0" borderId="43" xfId="0" applyNumberFormat="1" applyFont="1" applyBorder="1"/>
    <xf numFmtId="0" fontId="32" fillId="0" borderId="40" xfId="45" applyFont="1" applyBorder="1" applyAlignment="1">
      <alignment wrapText="1"/>
    </xf>
    <xf numFmtId="0" fontId="32" fillId="0" borderId="11" xfId="45" applyFont="1" applyBorder="1" applyAlignment="1">
      <alignment horizontal="center"/>
    </xf>
    <xf numFmtId="0" fontId="32" fillId="0" borderId="36" xfId="45" applyFont="1" applyBorder="1" applyAlignment="1">
      <alignment horizontal="center"/>
    </xf>
    <xf numFmtId="0" fontId="32" fillId="0" borderId="30" xfId="45" applyFont="1" applyBorder="1" applyAlignment="1">
      <alignment horizontal="center"/>
    </xf>
    <xf numFmtId="3" fontId="32" fillId="0" borderId="13" xfId="45" applyNumberFormat="1" applyFont="1" applyBorder="1"/>
    <xf numFmtId="3" fontId="41" fillId="0" borderId="29" xfId="0" applyNumberFormat="1" applyFont="1" applyBorder="1" applyAlignment="1">
      <alignment horizontal="right" vertical="center" wrapText="1"/>
    </xf>
    <xf numFmtId="0" fontId="41" fillId="0" borderId="12" xfId="0" applyFont="1" applyBorder="1" applyAlignment="1">
      <alignment horizontal="left" vertical="center"/>
    </xf>
    <xf numFmtId="0" fontId="41" fillId="0" borderId="30" xfId="0" applyFont="1" applyBorder="1" applyAlignment="1">
      <alignment wrapText="1"/>
    </xf>
    <xf numFmtId="0" fontId="40" fillId="0" borderId="30" xfId="0" applyFont="1" applyBorder="1" applyAlignment="1"/>
    <xf numFmtId="0" fontId="41" fillId="0" borderId="30" xfId="0" applyFont="1" applyBorder="1" applyAlignment="1"/>
    <xf numFmtId="0" fontId="40" fillId="0" borderId="30" xfId="0" applyFont="1" applyBorder="1" applyAlignment="1">
      <alignment wrapText="1"/>
    </xf>
    <xf numFmtId="0" fontId="40" fillId="0" borderId="30" xfId="0" applyFont="1" applyBorder="1" applyAlignment="1">
      <alignment shrinkToFit="1"/>
    </xf>
    <xf numFmtId="3" fontId="41" fillId="0" borderId="30" xfId="0" applyNumberFormat="1" applyFont="1" applyBorder="1" applyAlignment="1">
      <alignment shrinkToFit="1"/>
    </xf>
    <xf numFmtId="3" fontId="40" fillId="0" borderId="30" xfId="0" applyNumberFormat="1" applyFont="1" applyBorder="1" applyAlignment="1">
      <alignment shrinkToFit="1"/>
    </xf>
    <xf numFmtId="0" fontId="41" fillId="0" borderId="40" xfId="0" applyFont="1" applyBorder="1" applyAlignment="1">
      <alignment horizontal="center" vertical="center" wrapText="1"/>
    </xf>
    <xf numFmtId="3" fontId="41" fillId="0" borderId="12" xfId="0" applyNumberFormat="1" applyFont="1" applyBorder="1" applyAlignment="1">
      <alignment horizontal="right" vertical="center" wrapText="1"/>
    </xf>
    <xf numFmtId="3" fontId="33" fillId="0" borderId="37" xfId="0" applyNumberFormat="1" applyFont="1" applyBorder="1" applyAlignment="1">
      <alignment wrapText="1"/>
    </xf>
    <xf numFmtId="3" fontId="33" fillId="0" borderId="38" xfId="0" applyNumberFormat="1" applyFont="1" applyBorder="1" applyAlignment="1">
      <alignment wrapText="1"/>
    </xf>
    <xf numFmtId="164" fontId="33" fillId="0" borderId="38" xfId="0" applyNumberFormat="1" applyFont="1" applyBorder="1" applyAlignment="1">
      <alignment wrapText="1"/>
    </xf>
    <xf numFmtId="3" fontId="31" fillId="0" borderId="38" xfId="0" applyNumberFormat="1" applyFont="1" applyBorder="1" applyAlignment="1">
      <alignment wrapText="1"/>
    </xf>
    <xf numFmtId="0" fontId="31" fillId="0" borderId="38" xfId="0" applyFont="1" applyBorder="1"/>
    <xf numFmtId="3" fontId="33" fillId="0" borderId="34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wrapText="1"/>
    </xf>
    <xf numFmtId="164" fontId="33" fillId="0" borderId="24" xfId="0" applyNumberFormat="1" applyFont="1" applyBorder="1" applyAlignment="1">
      <alignment wrapText="1"/>
    </xf>
    <xf numFmtId="3" fontId="33" fillId="0" borderId="40" xfId="0" applyNumberFormat="1" applyFont="1" applyBorder="1" applyAlignment="1">
      <alignment horizont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17" xfId="0" applyFont="1" applyBorder="1"/>
    <xf numFmtId="0" fontId="44" fillId="0" borderId="39" xfId="0" applyFont="1" applyBorder="1" applyAlignment="1">
      <alignment horizontal="center" vertical="center" wrapText="1"/>
    </xf>
    <xf numFmtId="3" fontId="88" fillId="0" borderId="47" xfId="64" applyNumberFormat="1" applyFont="1" applyBorder="1" applyAlignment="1">
      <alignment horizontal="center" vertical="center"/>
    </xf>
    <xf numFmtId="0" fontId="45" fillId="0" borderId="49" xfId="0" applyFont="1" applyBorder="1" applyAlignment="1">
      <alignment horizontal="justify" vertical="top" wrapText="1"/>
    </xf>
    <xf numFmtId="0" fontId="45" fillId="0" borderId="50" xfId="0" applyFont="1" applyBorder="1" applyAlignment="1">
      <alignment horizontal="justify" vertical="top" wrapText="1"/>
    </xf>
    <xf numFmtId="0" fontId="30" fillId="0" borderId="50" xfId="0" applyFont="1" applyBorder="1" applyAlignment="1">
      <alignment horizontal="justify" vertical="top" wrapText="1"/>
    </xf>
    <xf numFmtId="0" fontId="45" fillId="0" borderId="50" xfId="0" applyFont="1" applyBorder="1" applyAlignment="1">
      <alignment horizontal="left" vertical="center" wrapText="1"/>
    </xf>
    <xf numFmtId="0" fontId="48" fillId="0" borderId="50" xfId="0" applyFont="1" applyBorder="1" applyAlignment="1">
      <alignment horizontal="justify" vertical="top" wrapText="1"/>
    </xf>
    <xf numFmtId="0" fontId="46" fillId="0" borderId="50" xfId="0" applyFont="1" applyBorder="1" applyAlignment="1">
      <alignment horizontal="justify" vertical="top" wrapText="1"/>
    </xf>
    <xf numFmtId="49" fontId="45" fillId="0" borderId="50" xfId="0" applyNumberFormat="1" applyFont="1" applyBorder="1" applyAlignment="1">
      <alignment horizontal="justify" vertical="top" wrapText="1"/>
    </xf>
    <xf numFmtId="0" fontId="45" fillId="0" borderId="52" xfId="0" applyFont="1" applyBorder="1"/>
    <xf numFmtId="0" fontId="46" fillId="0" borderId="53" xfId="0" applyFont="1" applyBorder="1" applyAlignment="1">
      <alignment horizontal="center" vertical="center"/>
    </xf>
    <xf numFmtId="3" fontId="88" fillId="0" borderId="54" xfId="64" applyNumberFormat="1" applyFont="1" applyBorder="1" applyAlignment="1">
      <alignment horizontal="center" vertical="center"/>
    </xf>
    <xf numFmtId="2" fontId="46" fillId="0" borderId="55" xfId="0" applyNumberFormat="1" applyFont="1" applyBorder="1" applyAlignment="1">
      <alignment horizontal="center"/>
    </xf>
    <xf numFmtId="0" fontId="80" fillId="0" borderId="22" xfId="64" applyFont="1" applyBorder="1" applyAlignment="1">
      <alignment horizontal="center"/>
    </xf>
    <xf numFmtId="0" fontId="80" fillId="0" borderId="0" xfId="0" applyFont="1" applyBorder="1" applyAlignment="1">
      <alignment horizontal="center" vertical="center" wrapText="1"/>
    </xf>
    <xf numFmtId="0" fontId="78" fillId="0" borderId="0" xfId="0" applyFont="1" applyBorder="1"/>
    <xf numFmtId="0" fontId="80" fillId="0" borderId="0" xfId="64" applyFont="1" applyBorder="1" applyAlignment="1">
      <alignment horizontal="center"/>
    </xf>
    <xf numFmtId="3" fontId="78" fillId="0" borderId="0" xfId="0" applyNumberFormat="1" applyFont="1" applyBorder="1" applyAlignment="1">
      <alignment wrapText="1"/>
    </xf>
    <xf numFmtId="3" fontId="78" fillId="0" borderId="0" xfId="0" applyNumberFormat="1" applyFont="1" applyBorder="1"/>
    <xf numFmtId="3" fontId="77" fillId="0" borderId="48" xfId="0" applyNumberFormat="1" applyFont="1" applyBorder="1"/>
    <xf numFmtId="3" fontId="84" fillId="0" borderId="48" xfId="0" applyNumberFormat="1" applyFont="1" applyBorder="1"/>
    <xf numFmtId="3" fontId="78" fillId="0" borderId="48" xfId="0" applyNumberFormat="1" applyFont="1" applyBorder="1"/>
    <xf numFmtId="3" fontId="78" fillId="31" borderId="48" xfId="0" applyNumberFormat="1" applyFont="1" applyFill="1" applyBorder="1"/>
    <xf numFmtId="3" fontId="78" fillId="26" borderId="48" xfId="0" applyNumberFormat="1" applyFont="1" applyFill="1" applyBorder="1"/>
    <xf numFmtId="3" fontId="78" fillId="30" borderId="48" xfId="0" applyNumberFormat="1" applyFont="1" applyFill="1" applyBorder="1"/>
    <xf numFmtId="0" fontId="40" fillId="0" borderId="56" xfId="0" applyFont="1" applyBorder="1" applyAlignment="1">
      <alignment wrapText="1"/>
    </xf>
    <xf numFmtId="3" fontId="40" fillId="0" borderId="58" xfId="0" applyNumberFormat="1" applyFont="1" applyBorder="1"/>
    <xf numFmtId="3" fontId="41" fillId="0" borderId="58" xfId="0" applyNumberFormat="1" applyFont="1" applyBorder="1"/>
    <xf numFmtId="3" fontId="41" fillId="0" borderId="58" xfId="0" applyNumberFormat="1" applyFont="1" applyBorder="1" applyAlignment="1">
      <alignment horizontal="right" vertical="center" wrapText="1"/>
    </xf>
    <xf numFmtId="0" fontId="40" fillId="0" borderId="56" xfId="0" applyFont="1" applyBorder="1" applyAlignment="1"/>
    <xf numFmtId="3" fontId="41" fillId="0" borderId="56" xfId="0" applyNumberFormat="1" applyFont="1" applyBorder="1" applyAlignment="1">
      <alignment shrinkToFit="1"/>
    </xf>
    <xf numFmtId="0" fontId="31" fillId="0" borderId="59" xfId="0" applyFont="1" applyBorder="1"/>
    <xf numFmtId="49" fontId="34" fillId="0" borderId="60" xfId="45" applyNumberFormat="1" applyFont="1" applyBorder="1" applyAlignment="1">
      <alignment wrapText="1"/>
    </xf>
    <xf numFmtId="3" fontId="34" fillId="0" borderId="56" xfId="45" applyNumberFormat="1" applyFont="1" applyBorder="1"/>
    <xf numFmtId="0" fontId="35" fillId="0" borderId="60" xfId="46" applyFont="1" applyBorder="1" applyAlignment="1">
      <alignment wrapText="1"/>
    </xf>
    <xf numFmtId="3" fontId="34" fillId="0" borderId="26" xfId="45" applyNumberFormat="1" applyFont="1" applyBorder="1"/>
    <xf numFmtId="3" fontId="34" fillId="0" borderId="63" xfId="45" applyNumberFormat="1" applyFont="1" applyBorder="1"/>
    <xf numFmtId="0" fontId="34" fillId="0" borderId="60" xfId="45" applyFont="1" applyBorder="1" applyAlignment="1">
      <alignment wrapText="1"/>
    </xf>
    <xf numFmtId="0" fontId="27" fillId="0" borderId="37" xfId="45" applyFont="1" applyBorder="1"/>
    <xf numFmtId="49" fontId="34" fillId="0" borderId="64" xfId="45" applyNumberFormat="1" applyFont="1" applyBorder="1" applyAlignment="1">
      <alignment wrapText="1"/>
    </xf>
    <xf numFmtId="3" fontId="34" fillId="0" borderId="65" xfId="45" applyNumberFormat="1" applyFont="1" applyBorder="1"/>
    <xf numFmtId="0" fontId="34" fillId="0" borderId="64" xfId="45" applyFont="1" applyBorder="1" applyAlignment="1">
      <alignment wrapText="1"/>
    </xf>
    <xf numFmtId="0" fontId="27" fillId="0" borderId="66" xfId="45" applyFont="1" applyBorder="1"/>
    <xf numFmtId="3" fontId="38" fillId="0" borderId="12" xfId="0" applyNumberFormat="1" applyFont="1" applyBorder="1" applyAlignment="1">
      <alignment wrapText="1"/>
    </xf>
    <xf numFmtId="49" fontId="34" fillId="0" borderId="56" xfId="45" applyNumberFormat="1" applyFont="1" applyBorder="1" applyAlignment="1">
      <alignment wrapText="1"/>
    </xf>
    <xf numFmtId="3" fontId="38" fillId="0" borderId="56" xfId="0" applyNumberFormat="1" applyFont="1" applyBorder="1" applyAlignment="1">
      <alignment wrapText="1"/>
    </xf>
    <xf numFmtId="3" fontId="38" fillId="0" borderId="68" xfId="0" applyNumberFormat="1" applyFont="1" applyBorder="1" applyAlignment="1">
      <alignment wrapText="1"/>
    </xf>
    <xf numFmtId="0" fontId="32" fillId="0" borderId="34" xfId="48" applyFont="1" applyBorder="1" applyAlignment="1">
      <alignment wrapText="1"/>
    </xf>
    <xf numFmtId="0" fontId="32" fillId="0" borderId="35" xfId="48" applyFont="1" applyBorder="1" applyAlignment="1">
      <alignment wrapText="1"/>
    </xf>
    <xf numFmtId="3" fontId="32" fillId="0" borderId="25" xfId="45" applyNumberFormat="1" applyFont="1" applyBorder="1"/>
    <xf numFmtId="3" fontId="32" fillId="0" borderId="25" xfId="48" applyNumberFormat="1" applyFont="1" applyBorder="1"/>
    <xf numFmtId="3" fontId="34" fillId="0" borderId="60" xfId="45" applyNumberFormat="1" applyFont="1" applyBorder="1"/>
    <xf numFmtId="3" fontId="40" fillId="0" borderId="69" xfId="0" applyNumberFormat="1" applyFont="1" applyBorder="1"/>
    <xf numFmtId="3" fontId="31" fillId="0" borderId="69" xfId="0" applyNumberFormat="1" applyFont="1" applyBorder="1" applyAlignment="1">
      <alignment wrapText="1"/>
    </xf>
    <xf numFmtId="3" fontId="32" fillId="0" borderId="56" xfId="45" applyNumberFormat="1" applyFont="1" applyBorder="1"/>
    <xf numFmtId="3" fontId="35" fillId="0" borderId="56" xfId="46" applyNumberFormat="1" applyFont="1" applyBorder="1"/>
    <xf numFmtId="3" fontId="36" fillId="0" borderId="56" xfId="45" applyNumberFormat="1" applyFont="1" applyBorder="1"/>
    <xf numFmtId="3" fontId="32" fillId="0" borderId="25" xfId="0" applyNumberFormat="1" applyFont="1" applyBorder="1" applyAlignment="1">
      <alignment horizontal="center" vertical="center" wrapText="1"/>
    </xf>
    <xf numFmtId="3" fontId="32" fillId="0" borderId="19" xfId="45" applyNumberFormat="1" applyFont="1" applyBorder="1"/>
    <xf numFmtId="3" fontId="32" fillId="0" borderId="60" xfId="45" applyNumberFormat="1" applyFont="1" applyBorder="1"/>
    <xf numFmtId="3" fontId="35" fillId="0" borderId="60" xfId="46" applyNumberFormat="1" applyFont="1" applyBorder="1"/>
    <xf numFmtId="3" fontId="36" fillId="0" borderId="60" xfId="45" applyNumberFormat="1" applyFont="1" applyBorder="1"/>
    <xf numFmtId="3" fontId="34" fillId="0" borderId="64" xfId="45" applyNumberFormat="1" applyFont="1" applyBorder="1"/>
    <xf numFmtId="3" fontId="63" fillId="0" borderId="19" xfId="45" applyNumberFormat="1" applyFont="1" applyBorder="1"/>
    <xf numFmtId="3" fontId="63" fillId="0" borderId="60" xfId="45" applyNumberFormat="1" applyFont="1" applyBorder="1"/>
    <xf numFmtId="3" fontId="63" fillId="0" borderId="63" xfId="45" applyNumberFormat="1" applyFont="1" applyBorder="1"/>
    <xf numFmtId="3" fontId="34" fillId="0" borderId="36" xfId="45" applyNumberFormat="1" applyFont="1" applyBorder="1"/>
    <xf numFmtId="0" fontId="34" fillId="0" borderId="56" xfId="45" applyFont="1" applyBorder="1"/>
    <xf numFmtId="3" fontId="34" fillId="0" borderId="68" xfId="45" applyNumberFormat="1" applyFont="1" applyBorder="1"/>
    <xf numFmtId="0" fontId="32" fillId="0" borderId="25" xfId="45" applyFont="1" applyBorder="1" applyAlignment="1">
      <alignment horizontal="center"/>
    </xf>
    <xf numFmtId="0" fontId="32" fillId="0" borderId="26" xfId="45" applyFont="1" applyBorder="1" applyAlignment="1">
      <alignment horizontal="center"/>
    </xf>
    <xf numFmtId="0" fontId="32" fillId="0" borderId="60" xfId="45" applyFont="1" applyBorder="1" applyAlignment="1">
      <alignment horizontal="center"/>
    </xf>
    <xf numFmtId="3" fontId="32" fillId="0" borderId="26" xfId="45" applyNumberFormat="1" applyFont="1" applyBorder="1"/>
    <xf numFmtId="3" fontId="32" fillId="0" borderId="61" xfId="45" applyNumberFormat="1" applyFont="1" applyBorder="1"/>
    <xf numFmtId="3" fontId="32" fillId="0" borderId="62" xfId="45" applyNumberFormat="1" applyFont="1" applyBorder="1"/>
    <xf numFmtId="0" fontId="63" fillId="0" borderId="37" xfId="45" applyFont="1" applyBorder="1" applyAlignment="1">
      <alignment wrapText="1"/>
    </xf>
    <xf numFmtId="0" fontId="63" fillId="0" borderId="59" xfId="45" applyFont="1" applyBorder="1" applyAlignment="1">
      <alignment wrapText="1"/>
    </xf>
    <xf numFmtId="0" fontId="63" fillId="0" borderId="72" xfId="45" applyFont="1" applyBorder="1" applyAlignment="1">
      <alignment wrapText="1"/>
    </xf>
    <xf numFmtId="3" fontId="63" fillId="0" borderId="26" xfId="45" applyNumberFormat="1" applyFont="1" applyBorder="1"/>
    <xf numFmtId="3" fontId="60" fillId="0" borderId="24" xfId="0" applyNumberFormat="1" applyFont="1" applyBorder="1" applyAlignment="1">
      <alignment wrapText="1"/>
    </xf>
    <xf numFmtId="0" fontId="32" fillId="0" borderId="40" xfId="45" applyFont="1" applyBorder="1" applyAlignment="1">
      <alignment horizontal="center"/>
    </xf>
    <xf numFmtId="0" fontId="44" fillId="0" borderId="35" xfId="0" applyFont="1" applyBorder="1" applyAlignment="1">
      <alignment horizontal="center" vertical="center" wrapText="1"/>
    </xf>
    <xf numFmtId="0" fontId="46" fillId="0" borderId="0" xfId="57" applyFont="1" applyBorder="1" applyAlignment="1">
      <alignment horizontal="center" vertical="center"/>
    </xf>
    <xf numFmtId="3" fontId="28" fillId="0" borderId="35" xfId="0" applyNumberFormat="1" applyFont="1" applyBorder="1" applyAlignment="1">
      <alignment horizontal="center" vertical="center" wrapText="1"/>
    </xf>
    <xf numFmtId="0" fontId="28" fillId="0" borderId="67" xfId="0" applyFont="1" applyBorder="1"/>
    <xf numFmtId="0" fontId="27" fillId="0" borderId="67" xfId="0" applyFont="1" applyBorder="1"/>
    <xf numFmtId="0" fontId="27" fillId="0" borderId="67" xfId="0" applyFont="1" applyBorder="1" applyAlignment="1">
      <alignment horizontal="left" wrapText="1"/>
    </xf>
    <xf numFmtId="0" fontId="33" fillId="0" borderId="67" xfId="0" applyFont="1" applyBorder="1"/>
    <xf numFmtId="3" fontId="34" fillId="0" borderId="74" xfId="45" applyNumberFormat="1" applyFont="1" applyBorder="1"/>
    <xf numFmtId="3" fontId="34" fillId="0" borderId="69" xfId="45" applyNumberFormat="1" applyFont="1" applyBorder="1"/>
    <xf numFmtId="3" fontId="34" fillId="0" borderId="75" xfId="45" applyNumberFormat="1" applyFont="1" applyBorder="1"/>
    <xf numFmtId="0" fontId="41" fillId="0" borderId="25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 wrapText="1"/>
    </xf>
    <xf numFmtId="3" fontId="33" fillId="0" borderId="26" xfId="0" applyNumberFormat="1" applyFont="1" applyBorder="1" applyAlignment="1">
      <alignment wrapText="1"/>
    </xf>
    <xf numFmtId="3" fontId="33" fillId="0" borderId="74" xfId="0" applyNumberFormat="1" applyFont="1" applyBorder="1" applyAlignment="1">
      <alignment wrapText="1"/>
    </xf>
    <xf numFmtId="164" fontId="33" fillId="0" borderId="74" xfId="0" applyNumberFormat="1" applyFont="1" applyBorder="1" applyAlignment="1">
      <alignment wrapText="1"/>
    </xf>
    <xf numFmtId="164" fontId="60" fillId="0" borderId="74" xfId="0" applyNumberFormat="1" applyFont="1" applyBorder="1" applyAlignment="1">
      <alignment wrapText="1"/>
    </xf>
    <xf numFmtId="3" fontId="31" fillId="0" borderId="74" xfId="0" applyNumberFormat="1" applyFont="1" applyBorder="1" applyAlignment="1">
      <alignment wrapText="1"/>
    </xf>
    <xf numFmtId="3" fontId="60" fillId="0" borderId="74" xfId="0" applyNumberFormat="1" applyFont="1" applyBorder="1" applyAlignment="1">
      <alignment wrapText="1"/>
    </xf>
    <xf numFmtId="3" fontId="59" fillId="0" borderId="74" xfId="0" applyNumberFormat="1" applyFont="1" applyBorder="1"/>
    <xf numFmtId="3" fontId="33" fillId="0" borderId="19" xfId="0" applyNumberFormat="1" applyFont="1" applyBorder="1" applyAlignment="1">
      <alignment wrapText="1"/>
    </xf>
    <xf numFmtId="0" fontId="31" fillId="0" borderId="74" xfId="0" applyFont="1" applyBorder="1"/>
    <xf numFmtId="3" fontId="33" fillId="0" borderId="41" xfId="0" applyNumberFormat="1" applyFont="1" applyBorder="1" applyAlignment="1">
      <alignment wrapText="1"/>
    </xf>
    <xf numFmtId="3" fontId="33" fillId="0" borderId="69" xfId="0" applyNumberFormat="1" applyFont="1" applyBorder="1" applyAlignment="1">
      <alignment wrapText="1"/>
    </xf>
    <xf numFmtId="164" fontId="33" fillId="0" borderId="69" xfId="0" applyNumberFormat="1" applyFont="1" applyBorder="1" applyAlignment="1">
      <alignment wrapText="1"/>
    </xf>
    <xf numFmtId="0" fontId="31" fillId="0" borderId="69" xfId="0" applyFont="1" applyBorder="1"/>
    <xf numFmtId="0" fontId="34" fillId="0" borderId="74" xfId="45" applyFont="1" applyBorder="1"/>
    <xf numFmtId="0" fontId="41" fillId="0" borderId="3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86" fillId="0" borderId="0" xfId="0" applyFont="1" applyAlignment="1">
      <alignment vertical="center"/>
    </xf>
    <xf numFmtId="0" fontId="59" fillId="0" borderId="13" xfId="0" applyFont="1" applyBorder="1"/>
    <xf numFmtId="0" fontId="59" fillId="0" borderId="0" xfId="0" applyFont="1" applyBorder="1"/>
    <xf numFmtId="3" fontId="60" fillId="0" borderId="38" xfId="0" applyNumberFormat="1" applyFont="1" applyBorder="1" applyAlignment="1">
      <alignment wrapText="1"/>
    </xf>
    <xf numFmtId="3" fontId="60" fillId="0" borderId="69" xfId="0" applyNumberFormat="1" applyFont="1" applyBorder="1" applyAlignment="1">
      <alignment wrapText="1"/>
    </xf>
    <xf numFmtId="3" fontId="59" fillId="0" borderId="27" xfId="0" applyNumberFormat="1" applyFont="1" applyBorder="1"/>
    <xf numFmtId="0" fontId="59" fillId="0" borderId="0" xfId="0" applyFont="1"/>
    <xf numFmtId="0" fontId="60" fillId="0" borderId="0" xfId="0" applyFont="1" applyBorder="1"/>
    <xf numFmtId="0" fontId="60" fillId="0" borderId="0" xfId="0" applyFont="1"/>
    <xf numFmtId="3" fontId="59" fillId="0" borderId="38" xfId="0" applyNumberFormat="1" applyFont="1" applyBorder="1" applyAlignment="1">
      <alignment wrapText="1"/>
    </xf>
    <xf numFmtId="3" fontId="59" fillId="0" borderId="69" xfId="0" applyNumberFormat="1" applyFont="1" applyBorder="1" applyAlignment="1">
      <alignment wrapText="1"/>
    </xf>
    <xf numFmtId="0" fontId="40" fillId="0" borderId="30" xfId="0" applyFont="1" applyBorder="1" applyAlignment="1">
      <alignment horizontal="left" vertical="center" wrapText="1"/>
    </xf>
    <xf numFmtId="0" fontId="38" fillId="0" borderId="18" xfId="46" applyFont="1" applyBorder="1" applyAlignment="1">
      <alignment wrapText="1"/>
    </xf>
    <xf numFmtId="0" fontId="63" fillId="0" borderId="31" xfId="0" applyFont="1" applyBorder="1" applyAlignment="1">
      <alignment wrapText="1"/>
    </xf>
    <xf numFmtId="3" fontId="64" fillId="0" borderId="60" xfId="45" applyNumberFormat="1" applyFont="1" applyBorder="1"/>
    <xf numFmtId="0" fontId="28" fillId="0" borderId="57" xfId="0" applyFont="1" applyBorder="1" applyAlignment="1"/>
    <xf numFmtId="0" fontId="28" fillId="0" borderId="57" xfId="0" applyFont="1" applyBorder="1" applyAlignment="1">
      <alignment horizontal="left"/>
    </xf>
    <xf numFmtId="0" fontId="27" fillId="0" borderId="57" xfId="0" applyFont="1" applyBorder="1"/>
    <xf numFmtId="0" fontId="27" fillId="0" borderId="57" xfId="0" applyFont="1" applyBorder="1" applyAlignment="1"/>
    <xf numFmtId="0" fontId="28" fillId="0" borderId="57" xfId="0" applyFont="1" applyBorder="1"/>
    <xf numFmtId="0" fontId="32" fillId="0" borderId="57" xfId="0" applyFont="1" applyBorder="1" applyAlignment="1">
      <alignment horizontal="left"/>
    </xf>
    <xf numFmtId="0" fontId="27" fillId="0" borderId="73" xfId="0" applyFont="1" applyBorder="1"/>
    <xf numFmtId="0" fontId="45" fillId="0" borderId="73" xfId="0" applyFont="1" applyBorder="1" applyAlignment="1">
      <alignment horizontal="left" wrapText="1"/>
    </xf>
    <xf numFmtId="0" fontId="29" fillId="0" borderId="73" xfId="0" applyFont="1" applyBorder="1"/>
    <xf numFmtId="0" fontId="27" fillId="0" borderId="73" xfId="0" applyFont="1" applyBorder="1" applyAlignment="1"/>
    <xf numFmtId="0" fontId="94" fillId="0" borderId="73" xfId="0" applyFont="1" applyBorder="1" applyAlignment="1">
      <alignment wrapText="1"/>
    </xf>
    <xf numFmtId="0" fontId="28" fillId="0" borderId="73" xfId="0" applyFont="1" applyBorder="1"/>
    <xf numFmtId="0" fontId="29" fillId="0" borderId="73" xfId="0" applyFont="1" applyBorder="1" applyAlignment="1">
      <alignment wrapText="1"/>
    </xf>
    <xf numFmtId="3" fontId="28" fillId="0" borderId="73" xfId="0" applyNumberFormat="1" applyFont="1" applyBorder="1" applyAlignment="1"/>
    <xf numFmtId="0" fontId="28" fillId="0" borderId="73" xfId="0" applyFont="1" applyBorder="1" applyAlignment="1">
      <alignment horizontal="left"/>
    </xf>
    <xf numFmtId="3" fontId="28" fillId="0" borderId="25" xfId="0" applyNumberFormat="1" applyFont="1" applyBorder="1" applyAlignment="1">
      <alignment horizontal="center" vertical="center" wrapText="1"/>
    </xf>
    <xf numFmtId="3" fontId="28" fillId="0" borderId="25" xfId="0" applyNumberFormat="1" applyFont="1" applyBorder="1" applyAlignment="1"/>
    <xf numFmtId="3" fontId="28" fillId="0" borderId="25" xfId="0" applyNumberFormat="1" applyFont="1" applyBorder="1"/>
    <xf numFmtId="3" fontId="28" fillId="0" borderId="74" xfId="0" applyNumberFormat="1" applyFont="1" applyBorder="1" applyAlignment="1"/>
    <xf numFmtId="3" fontId="28" fillId="0" borderId="74" xfId="0" applyNumberFormat="1" applyFont="1" applyBorder="1"/>
    <xf numFmtId="0" fontId="27" fillId="0" borderId="74" xfId="0" applyFont="1" applyBorder="1"/>
    <xf numFmtId="3" fontId="27" fillId="0" borderId="74" xfId="0" applyNumberFormat="1" applyFont="1" applyBorder="1" applyAlignment="1"/>
    <xf numFmtId="3" fontId="29" fillId="0" borderId="74" xfId="0" applyNumberFormat="1" applyFont="1" applyBorder="1"/>
    <xf numFmtId="3" fontId="27" fillId="0" borderId="74" xfId="0" applyNumberFormat="1" applyFont="1" applyBorder="1"/>
    <xf numFmtId="3" fontId="28" fillId="0" borderId="56" xfId="0" applyNumberFormat="1" applyFont="1" applyBorder="1" applyAlignment="1"/>
    <xf numFmtId="3" fontId="28" fillId="0" borderId="56" xfId="0" applyNumberFormat="1" applyFont="1" applyBorder="1"/>
    <xf numFmtId="0" fontId="27" fillId="0" borderId="56" xfId="0" applyFont="1" applyBorder="1"/>
    <xf numFmtId="3" fontId="27" fillId="0" borderId="56" xfId="0" applyNumberFormat="1" applyFont="1" applyBorder="1" applyAlignment="1"/>
    <xf numFmtId="3" fontId="29" fillId="0" borderId="56" xfId="0" applyNumberFormat="1" applyFont="1" applyBorder="1"/>
    <xf numFmtId="3" fontId="27" fillId="0" borderId="56" xfId="0" applyNumberFormat="1" applyFont="1" applyBorder="1"/>
    <xf numFmtId="0" fontId="28" fillId="0" borderId="73" xfId="0" applyFont="1" applyBorder="1" applyAlignment="1"/>
    <xf numFmtId="0" fontId="27" fillId="0" borderId="73" xfId="0" applyFont="1" applyBorder="1" applyAlignment="1">
      <alignment horizontal="left"/>
    </xf>
    <xf numFmtId="49" fontId="27" fillId="0" borderId="73" xfId="0" applyNumberFormat="1" applyFont="1" applyBorder="1"/>
    <xf numFmtId="49" fontId="27" fillId="0" borderId="73" xfId="45" applyNumberFormat="1" applyFont="1" applyBorder="1" applyAlignment="1">
      <alignment wrapText="1"/>
    </xf>
    <xf numFmtId="3" fontId="58" fillId="0" borderId="56" xfId="0" applyNumberFormat="1" applyFont="1" applyBorder="1"/>
    <xf numFmtId="3" fontId="28" fillId="0" borderId="69" xfId="0" applyNumberFormat="1" applyFont="1" applyBorder="1"/>
    <xf numFmtId="3" fontId="27" fillId="0" borderId="69" xfId="0" applyNumberFormat="1" applyFont="1" applyBorder="1"/>
    <xf numFmtId="3" fontId="58" fillId="0" borderId="69" xfId="0" applyNumberFormat="1" applyFont="1" applyBorder="1"/>
    <xf numFmtId="3" fontId="58" fillId="0" borderId="74" xfId="0" applyNumberFormat="1" applyFont="1" applyBorder="1"/>
    <xf numFmtId="3" fontId="27" fillId="0" borderId="65" xfId="0" applyNumberFormat="1" applyFont="1" applyBorder="1"/>
    <xf numFmtId="3" fontId="27" fillId="0" borderId="64" xfId="0" applyNumberFormat="1" applyFont="1" applyBorder="1"/>
    <xf numFmtId="3" fontId="28" fillId="0" borderId="75" xfId="0" applyNumberFormat="1" applyFont="1" applyBorder="1"/>
    <xf numFmtId="0" fontId="27" fillId="0" borderId="81" xfId="0" applyFont="1" applyBorder="1"/>
    <xf numFmtId="3" fontId="28" fillId="0" borderId="34" xfId="0" applyNumberFormat="1" applyFont="1" applyBorder="1" applyAlignment="1"/>
    <xf numFmtId="3" fontId="28" fillId="0" borderId="34" xfId="0" applyNumberFormat="1" applyFont="1" applyBorder="1"/>
    <xf numFmtId="3" fontId="28" fillId="0" borderId="35" xfId="0" applyNumberFormat="1" applyFont="1" applyBorder="1"/>
    <xf numFmtId="3" fontId="28" fillId="0" borderId="83" xfId="0" applyNumberFormat="1" applyFont="1" applyBorder="1" applyAlignment="1"/>
    <xf numFmtId="0" fontId="27" fillId="0" borderId="84" xfId="0" applyFont="1" applyBorder="1"/>
    <xf numFmtId="0" fontId="28" fillId="0" borderId="85" xfId="0" applyFont="1" applyBorder="1"/>
    <xf numFmtId="3" fontId="27" fillId="0" borderId="75" xfId="0" applyNumberFormat="1" applyFont="1" applyBorder="1"/>
    <xf numFmtId="0" fontId="28" fillId="0" borderId="82" xfId="0" applyFont="1" applyBorder="1"/>
    <xf numFmtId="3" fontId="28" fillId="0" borderId="64" xfId="0" applyNumberFormat="1" applyFont="1" applyBorder="1"/>
    <xf numFmtId="3" fontId="28" fillId="0" borderId="65" xfId="0" applyNumberFormat="1" applyFont="1" applyBorder="1"/>
    <xf numFmtId="0" fontId="28" fillId="0" borderId="28" xfId="0" applyFont="1" applyBorder="1"/>
    <xf numFmtId="0" fontId="27" fillId="0" borderId="14" xfId="0" applyFont="1" applyBorder="1"/>
    <xf numFmtId="3" fontId="27" fillId="0" borderId="12" xfId="0" applyNumberFormat="1" applyFont="1" applyBorder="1"/>
    <xf numFmtId="3" fontId="27" fillId="0" borderId="19" xfId="0" applyNumberFormat="1" applyFont="1" applyBorder="1"/>
    <xf numFmtId="3" fontId="28" fillId="0" borderId="41" xfId="0" applyNumberFormat="1" applyFont="1" applyBorder="1"/>
    <xf numFmtId="0" fontId="28" fillId="0" borderId="14" xfId="0" applyFont="1" applyBorder="1"/>
    <xf numFmtId="3" fontId="28" fillId="0" borderId="19" xfId="0" applyNumberFormat="1" applyFont="1" applyBorder="1" applyAlignment="1"/>
    <xf numFmtId="3" fontId="28" fillId="0" borderId="12" xfId="0" applyNumberFormat="1" applyFont="1" applyBorder="1" applyAlignment="1"/>
    <xf numFmtId="49" fontId="28" fillId="0" borderId="44" xfId="0" applyNumberFormat="1" applyFont="1" applyBorder="1" applyAlignment="1"/>
    <xf numFmtId="0" fontId="31" fillId="0" borderId="84" xfId="0" applyFont="1" applyBorder="1" applyAlignment="1"/>
    <xf numFmtId="0" fontId="28" fillId="0" borderId="83" xfId="0" applyFont="1" applyBorder="1"/>
    <xf numFmtId="0" fontId="28" fillId="0" borderId="84" xfId="0" applyFont="1" applyBorder="1"/>
    <xf numFmtId="0" fontId="28" fillId="0" borderId="82" xfId="0" applyFont="1" applyBorder="1" applyAlignment="1">
      <alignment horizontal="left"/>
    </xf>
    <xf numFmtId="0" fontId="28" fillId="0" borderId="81" xfId="0" applyFont="1" applyBorder="1" applyAlignment="1">
      <alignment horizontal="left"/>
    </xf>
    <xf numFmtId="3" fontId="28" fillId="0" borderId="64" xfId="0" applyNumberFormat="1" applyFont="1" applyBorder="1" applyAlignment="1"/>
    <xf numFmtId="3" fontId="28" fillId="0" borderId="65" xfId="0" applyNumberFormat="1" applyFont="1" applyBorder="1" applyAlignment="1"/>
    <xf numFmtId="3" fontId="27" fillId="0" borderId="13" xfId="0" applyNumberFormat="1" applyFont="1" applyBorder="1"/>
    <xf numFmtId="3" fontId="27" fillId="0" borderId="61" xfId="0" applyNumberFormat="1" applyFont="1" applyBorder="1"/>
    <xf numFmtId="3" fontId="28" fillId="0" borderId="87" xfId="0" applyNumberFormat="1" applyFont="1" applyBorder="1"/>
    <xf numFmtId="0" fontId="27" fillId="0" borderId="88" xfId="0" applyFont="1" applyBorder="1"/>
    <xf numFmtId="0" fontId="27" fillId="0" borderId="86" xfId="0" applyFont="1" applyBorder="1"/>
    <xf numFmtId="3" fontId="27" fillId="0" borderId="61" xfId="0" applyNumberFormat="1" applyFont="1" applyBorder="1" applyAlignment="1"/>
    <xf numFmtId="3" fontId="27" fillId="0" borderId="13" xfId="0" applyNumberFormat="1" applyFont="1" applyBorder="1" applyAlignment="1"/>
    <xf numFmtId="3" fontId="28" fillId="0" borderId="84" xfId="0" applyNumberFormat="1" applyFont="1" applyBorder="1" applyAlignment="1"/>
    <xf numFmtId="0" fontId="28" fillId="0" borderId="14" xfId="0" applyFont="1" applyBorder="1" applyAlignment="1"/>
    <xf numFmtId="3" fontId="28" fillId="0" borderId="12" xfId="0" applyNumberFormat="1" applyFont="1" applyBorder="1"/>
    <xf numFmtId="3" fontId="28" fillId="0" borderId="19" xfId="0" applyNumberFormat="1" applyFont="1" applyBorder="1"/>
    <xf numFmtId="3" fontId="28" fillId="0" borderId="3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0" fillId="0" borderId="74" xfId="0" applyNumberFormat="1" applyFont="1" applyBorder="1" applyAlignment="1">
      <alignment horizontal="right" vertical="center" wrapText="1"/>
    </xf>
    <xf numFmtId="3" fontId="40" fillId="0" borderId="74" xfId="0" applyNumberFormat="1" applyFont="1" applyBorder="1"/>
    <xf numFmtId="3" fontId="41" fillId="0" borderId="74" xfId="0" applyNumberFormat="1" applyFont="1" applyBorder="1"/>
    <xf numFmtId="3" fontId="41" fillId="0" borderId="56" xfId="0" applyNumberFormat="1" applyFont="1" applyBorder="1" applyAlignment="1">
      <alignment horizontal="right" vertical="center" wrapText="1"/>
    </xf>
    <xf numFmtId="3" fontId="40" fillId="0" borderId="56" xfId="0" applyNumberFormat="1" applyFont="1" applyBorder="1" applyAlignment="1">
      <alignment horizontal="right" vertical="center" wrapText="1"/>
    </xf>
    <xf numFmtId="3" fontId="40" fillId="0" borderId="56" xfId="0" applyNumberFormat="1" applyFont="1" applyBorder="1"/>
    <xf numFmtId="3" fontId="41" fillId="0" borderId="56" xfId="0" applyNumberFormat="1" applyFont="1" applyBorder="1"/>
    <xf numFmtId="3" fontId="41" fillId="0" borderId="74" xfId="0" applyNumberFormat="1" applyFont="1" applyBorder="1" applyAlignment="1">
      <alignment horizontal="right" vertical="center" wrapText="1"/>
    </xf>
    <xf numFmtId="3" fontId="40" fillId="0" borderId="65" xfId="0" applyNumberFormat="1" applyFont="1" applyBorder="1" applyAlignment="1">
      <alignment shrinkToFit="1"/>
    </xf>
    <xf numFmtId="3" fontId="40" fillId="0" borderId="65" xfId="0" applyNumberFormat="1" applyFont="1" applyBorder="1"/>
    <xf numFmtId="3" fontId="40" fillId="0" borderId="64" xfId="0" applyNumberFormat="1" applyFont="1" applyBorder="1"/>
    <xf numFmtId="3" fontId="41" fillId="0" borderId="13" xfId="0" applyNumberFormat="1" applyFont="1" applyBorder="1" applyAlignment="1">
      <alignment horizontal="right" vertical="center" wrapText="1"/>
    </xf>
    <xf numFmtId="3" fontId="41" fillId="0" borderId="91" xfId="0" applyNumberFormat="1" applyFont="1" applyBorder="1" applyAlignment="1">
      <alignment horizontal="right" vertical="center" wrapText="1"/>
    </xf>
    <xf numFmtId="3" fontId="41" fillId="0" borderId="12" xfId="0" applyNumberFormat="1" applyFont="1" applyBorder="1" applyAlignment="1">
      <alignment wrapText="1"/>
    </xf>
    <xf numFmtId="3" fontId="40" fillId="0" borderId="12" xfId="0" applyNumberFormat="1" applyFont="1" applyBorder="1"/>
    <xf numFmtId="3" fontId="40" fillId="0" borderId="19" xfId="0" applyNumberFormat="1" applyFont="1" applyBorder="1"/>
    <xf numFmtId="3" fontId="41" fillId="0" borderId="34" xfId="0" applyNumberFormat="1" applyFont="1" applyBorder="1" applyAlignment="1">
      <alignment shrinkToFit="1"/>
    </xf>
    <xf numFmtId="3" fontId="41" fillId="0" borderId="34" xfId="0" applyNumberFormat="1" applyFont="1" applyBorder="1"/>
    <xf numFmtId="3" fontId="41" fillId="0" borderId="25" xfId="0" applyNumberFormat="1" applyFont="1" applyBorder="1"/>
    <xf numFmtId="3" fontId="41" fillId="0" borderId="53" xfId="0" applyNumberFormat="1" applyFont="1" applyBorder="1"/>
    <xf numFmtId="3" fontId="41" fillId="0" borderId="34" xfId="0" applyNumberFormat="1" applyFont="1" applyBorder="1" applyAlignment="1">
      <alignment horizontal="right" vertical="center" wrapText="1"/>
    </xf>
    <xf numFmtId="3" fontId="41" fillId="0" borderId="53" xfId="0" applyNumberFormat="1" applyFont="1" applyBorder="1" applyAlignment="1">
      <alignment horizontal="right" vertical="center" wrapText="1"/>
    </xf>
    <xf numFmtId="3" fontId="41" fillId="0" borderId="65" xfId="0" applyNumberFormat="1" applyFont="1" applyBorder="1" applyAlignment="1">
      <alignment shrinkToFit="1"/>
    </xf>
    <xf numFmtId="3" fontId="41" fillId="0" borderId="11" xfId="0" applyNumberFormat="1" applyFont="1" applyBorder="1" applyAlignment="1">
      <alignment shrinkToFit="1"/>
    </xf>
    <xf numFmtId="3" fontId="41" fillId="0" borderId="11" xfId="0" applyNumberFormat="1" applyFont="1" applyBorder="1"/>
    <xf numFmtId="3" fontId="41" fillId="0" borderId="62" xfId="0" applyNumberFormat="1" applyFont="1" applyBorder="1"/>
    <xf numFmtId="3" fontId="41" fillId="0" borderId="92" xfId="0" applyNumberFormat="1" applyFont="1" applyBorder="1"/>
    <xf numFmtId="3" fontId="41" fillId="0" borderId="34" xfId="0" applyNumberFormat="1" applyFont="1" applyBorder="1" applyAlignment="1">
      <alignment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3" fontId="41" fillId="0" borderId="69" xfId="0" applyNumberFormat="1" applyFont="1" applyBorder="1"/>
    <xf numFmtId="3" fontId="42" fillId="0" borderId="56" xfId="0" applyNumberFormat="1" applyFont="1" applyBorder="1"/>
    <xf numFmtId="3" fontId="42" fillId="0" borderId="74" xfId="0" applyNumberFormat="1" applyFont="1" applyBorder="1"/>
    <xf numFmtId="3" fontId="42" fillId="0" borderId="65" xfId="0" applyNumberFormat="1" applyFont="1" applyBorder="1"/>
    <xf numFmtId="3" fontId="42" fillId="0" borderId="64" xfId="0" applyNumberFormat="1" applyFont="1" applyBorder="1"/>
    <xf numFmtId="3" fontId="41" fillId="0" borderId="12" xfId="0" applyNumberFormat="1" applyFont="1" applyBorder="1"/>
    <xf numFmtId="3" fontId="41" fillId="0" borderId="19" xfId="0" applyNumberFormat="1" applyFont="1" applyBorder="1"/>
    <xf numFmtId="3" fontId="41" fillId="0" borderId="41" xfId="0" applyNumberFormat="1" applyFont="1" applyBorder="1" applyAlignment="1">
      <alignment horizontal="right" vertical="center" wrapText="1"/>
    </xf>
    <xf numFmtId="3" fontId="41" fillId="0" borderId="69" xfId="0" applyNumberFormat="1" applyFont="1" applyBorder="1" applyAlignment="1">
      <alignment horizontal="right" vertical="center" wrapText="1"/>
    </xf>
    <xf numFmtId="3" fontId="40" fillId="0" borderId="69" xfId="0" applyNumberFormat="1" applyFont="1" applyBorder="1" applyAlignment="1">
      <alignment horizontal="right" vertical="center" wrapText="1"/>
    </xf>
    <xf numFmtId="3" fontId="42" fillId="0" borderId="69" xfId="0" applyNumberFormat="1" applyFont="1" applyBorder="1"/>
    <xf numFmtId="3" fontId="42" fillId="0" borderId="75" xfId="0" applyNumberFormat="1" applyFont="1" applyBorder="1"/>
    <xf numFmtId="3" fontId="41" fillId="0" borderId="35" xfId="0" applyNumberFormat="1" applyFont="1" applyBorder="1"/>
    <xf numFmtId="3" fontId="41" fillId="0" borderId="41" xfId="0" applyNumberFormat="1" applyFont="1" applyBorder="1"/>
    <xf numFmtId="3" fontId="40" fillId="0" borderId="75" xfId="0" applyNumberFormat="1" applyFont="1" applyBorder="1"/>
    <xf numFmtId="3" fontId="41" fillId="0" borderId="76" xfId="0" applyNumberFormat="1" applyFont="1" applyBorder="1"/>
    <xf numFmtId="3" fontId="41" fillId="0" borderId="36" xfId="0" applyNumberFormat="1" applyFont="1" applyBorder="1" applyAlignment="1">
      <alignment horizontal="right" vertical="center" wrapText="1"/>
    </xf>
    <xf numFmtId="3" fontId="41" fillId="0" borderId="42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/>
    <xf numFmtId="3" fontId="42" fillId="0" borderId="41" xfId="0" applyNumberFormat="1" applyFont="1" applyBorder="1"/>
    <xf numFmtId="3" fontId="40" fillId="0" borderId="87" xfId="0" applyNumberFormat="1" applyFont="1" applyBorder="1"/>
    <xf numFmtId="3" fontId="41" fillId="0" borderId="11" xfId="0" applyNumberFormat="1" applyFont="1" applyBorder="1" applyAlignment="1">
      <alignment horizontal="right" vertical="center" wrapText="1"/>
    </xf>
    <xf numFmtId="3" fontId="41" fillId="0" borderId="61" xfId="0" applyNumberFormat="1" applyFont="1" applyBorder="1" applyAlignment="1">
      <alignment horizontal="right" vertical="center" wrapText="1"/>
    </xf>
    <xf numFmtId="3" fontId="41" fillId="0" borderId="25" xfId="0" applyNumberFormat="1" applyFont="1" applyBorder="1" applyAlignment="1">
      <alignment horizontal="right" vertical="center" wrapText="1"/>
    </xf>
    <xf numFmtId="3" fontId="41" fillId="0" borderId="62" xfId="0" applyNumberFormat="1" applyFont="1" applyBorder="1" applyAlignment="1">
      <alignment horizontal="right" vertical="center" wrapText="1"/>
    </xf>
    <xf numFmtId="0" fontId="33" fillId="0" borderId="12" xfId="0" applyFont="1" applyBorder="1"/>
    <xf numFmtId="0" fontId="33" fillId="0" borderId="56" xfId="0" applyFont="1" applyBorder="1"/>
    <xf numFmtId="0" fontId="33" fillId="0" borderId="56" xfId="0" applyFont="1" applyBorder="1" applyAlignment="1">
      <alignment wrapText="1"/>
    </xf>
    <xf numFmtId="0" fontId="60" fillId="0" borderId="56" xfId="0" applyFont="1" applyBorder="1"/>
    <xf numFmtId="0" fontId="31" fillId="0" borderId="56" xfId="0" applyFont="1" applyBorder="1" applyAlignment="1">
      <alignment horizontal="left" wrapText="1"/>
    </xf>
    <xf numFmtId="0" fontId="31" fillId="0" borderId="56" xfId="0" applyFont="1" applyBorder="1"/>
    <xf numFmtId="0" fontId="60" fillId="0" borderId="56" xfId="0" applyFont="1" applyBorder="1" applyAlignment="1">
      <alignment horizontal="left" wrapText="1"/>
    </xf>
    <xf numFmtId="0" fontId="60" fillId="0" borderId="56" xfId="0" applyFont="1" applyBorder="1" applyAlignment="1">
      <alignment wrapText="1"/>
    </xf>
    <xf numFmtId="3" fontId="33" fillId="0" borderId="12" xfId="0" applyNumberFormat="1" applyFont="1" applyBorder="1" applyAlignment="1">
      <alignment wrapText="1"/>
    </xf>
    <xf numFmtId="3" fontId="33" fillId="0" borderId="56" xfId="0" applyNumberFormat="1" applyFont="1" applyBorder="1" applyAlignment="1">
      <alignment wrapText="1"/>
    </xf>
    <xf numFmtId="3" fontId="33" fillId="0" borderId="58" xfId="0" applyNumberFormat="1" applyFont="1" applyBorder="1" applyAlignment="1">
      <alignment wrapText="1"/>
    </xf>
    <xf numFmtId="164" fontId="33" fillId="0" borderId="56" xfId="0" applyNumberFormat="1" applyFont="1" applyBorder="1" applyAlignment="1">
      <alignment wrapText="1"/>
    </xf>
    <xf numFmtId="164" fontId="33" fillId="0" borderId="58" xfId="0" applyNumberFormat="1" applyFont="1" applyBorder="1" applyAlignment="1">
      <alignment wrapText="1"/>
    </xf>
    <xf numFmtId="164" fontId="60" fillId="0" borderId="56" xfId="0" applyNumberFormat="1" applyFont="1" applyBorder="1" applyAlignment="1">
      <alignment wrapText="1"/>
    </xf>
    <xf numFmtId="3" fontId="31" fillId="0" borderId="56" xfId="0" applyNumberFormat="1" applyFont="1" applyBorder="1" applyAlignment="1">
      <alignment wrapText="1"/>
    </xf>
    <xf numFmtId="3" fontId="60" fillId="0" borderId="56" xfId="0" applyNumberFormat="1" applyFont="1" applyBorder="1" applyAlignment="1">
      <alignment wrapText="1"/>
    </xf>
    <xf numFmtId="3" fontId="60" fillId="0" borderId="58" xfId="0" applyNumberFormat="1" applyFont="1" applyBorder="1" applyAlignment="1">
      <alignment wrapText="1"/>
    </xf>
    <xf numFmtId="3" fontId="59" fillId="0" borderId="56" xfId="0" applyNumberFormat="1" applyFont="1" applyBorder="1"/>
    <xf numFmtId="3" fontId="59" fillId="0" borderId="74" xfId="0" applyNumberFormat="1" applyFont="1" applyBorder="1" applyAlignment="1">
      <alignment wrapText="1"/>
    </xf>
    <xf numFmtId="0" fontId="60" fillId="0" borderId="65" xfId="0" applyFont="1" applyBorder="1" applyAlignment="1">
      <alignment wrapText="1"/>
    </xf>
    <xf numFmtId="3" fontId="60" fillId="0" borderId="65" xfId="0" applyNumberFormat="1" applyFont="1" applyBorder="1" applyAlignment="1">
      <alignment wrapText="1"/>
    </xf>
    <xf numFmtId="3" fontId="60" fillId="0" borderId="64" xfId="0" applyNumberFormat="1" applyFont="1" applyBorder="1" applyAlignment="1">
      <alignment wrapText="1"/>
    </xf>
    <xf numFmtId="3" fontId="60" fillId="0" borderId="66" xfId="0" applyNumberFormat="1" applyFont="1" applyBorder="1" applyAlignment="1">
      <alignment wrapText="1"/>
    </xf>
    <xf numFmtId="3" fontId="60" fillId="0" borderId="75" xfId="0" applyNumberFormat="1" applyFont="1" applyBorder="1" applyAlignment="1">
      <alignment wrapText="1"/>
    </xf>
    <xf numFmtId="3" fontId="59" fillId="0" borderId="64" xfId="0" applyNumberFormat="1" applyFont="1" applyBorder="1"/>
    <xf numFmtId="3" fontId="33" fillId="0" borderId="61" xfId="0" applyNumberFormat="1" applyFont="1" applyBorder="1"/>
    <xf numFmtId="0" fontId="33" fillId="0" borderId="34" xfId="0" applyFont="1" applyBorder="1"/>
    <xf numFmtId="3" fontId="59" fillId="0" borderId="34" xfId="0" applyNumberFormat="1" applyFont="1" applyBorder="1" applyAlignment="1">
      <alignment wrapText="1"/>
    </xf>
    <xf numFmtId="3" fontId="59" fillId="0" borderId="25" xfId="0" applyNumberFormat="1" applyFont="1" applyBorder="1" applyAlignment="1">
      <alignment wrapText="1"/>
    </xf>
    <xf numFmtId="3" fontId="33" fillId="0" borderId="40" xfId="0" applyNumberFormat="1" applyFont="1" applyBorder="1" applyAlignment="1">
      <alignment wrapText="1"/>
    </xf>
    <xf numFmtId="3" fontId="33" fillId="0" borderId="53" xfId="0" applyNumberFormat="1" applyFont="1" applyBorder="1" applyAlignment="1">
      <alignment wrapText="1"/>
    </xf>
    <xf numFmtId="3" fontId="33" fillId="0" borderId="25" xfId="0" applyNumberFormat="1" applyFont="1" applyBorder="1"/>
    <xf numFmtId="0" fontId="33" fillId="0" borderId="65" xfId="0" applyFont="1" applyBorder="1"/>
    <xf numFmtId="3" fontId="59" fillId="0" borderId="65" xfId="0" applyNumberFormat="1" applyFont="1" applyBorder="1"/>
    <xf numFmtId="0" fontId="31" fillId="0" borderId="66" xfId="0" applyFont="1" applyBorder="1"/>
    <xf numFmtId="0" fontId="31" fillId="0" borderId="64" xfId="0" applyFont="1" applyBorder="1"/>
    <xf numFmtId="0" fontId="31" fillId="0" borderId="75" xfId="0" applyFont="1" applyBorder="1"/>
    <xf numFmtId="3" fontId="33" fillId="0" borderId="64" xfId="0" applyNumberFormat="1" applyFont="1" applyBorder="1"/>
    <xf numFmtId="0" fontId="33" fillId="0" borderId="11" xfId="0" applyFont="1" applyBorder="1" applyAlignment="1">
      <alignment wrapText="1"/>
    </xf>
    <xf numFmtId="3" fontId="33" fillId="0" borderId="11" xfId="0" applyNumberFormat="1" applyFont="1" applyBorder="1"/>
    <xf numFmtId="3" fontId="33" fillId="0" borderId="62" xfId="0" applyNumberFormat="1" applyFont="1" applyBorder="1"/>
    <xf numFmtId="3" fontId="33" fillId="0" borderId="92" xfId="0" applyNumberFormat="1" applyFont="1" applyBorder="1"/>
    <xf numFmtId="3" fontId="33" fillId="0" borderId="93" xfId="0" applyNumberFormat="1" applyFont="1" applyBorder="1"/>
    <xf numFmtId="3" fontId="59" fillId="0" borderId="34" xfId="0" applyNumberFormat="1" applyFont="1" applyBorder="1"/>
    <xf numFmtId="3" fontId="59" fillId="0" borderId="25" xfId="0" applyNumberFormat="1" applyFont="1" applyBorder="1"/>
    <xf numFmtId="3" fontId="33" fillId="0" borderId="40" xfId="0" applyNumberFormat="1" applyFont="1" applyBorder="1"/>
    <xf numFmtId="3" fontId="33" fillId="0" borderId="53" xfId="0" applyNumberFormat="1" applyFont="1" applyBorder="1"/>
    <xf numFmtId="3" fontId="33" fillId="0" borderId="25" xfId="0" applyNumberFormat="1" applyFont="1" applyBorder="1" applyAlignment="1">
      <alignment wrapText="1"/>
    </xf>
    <xf numFmtId="0" fontId="38" fillId="0" borderId="70" xfId="43" applyFont="1" applyFill="1" applyBorder="1" applyAlignment="1">
      <alignment wrapText="1"/>
    </xf>
    <xf numFmtId="3" fontId="38" fillId="0" borderId="78" xfId="43" applyNumberFormat="1" applyFont="1" applyFill="1" applyBorder="1"/>
    <xf numFmtId="3" fontId="38" fillId="0" borderId="71" xfId="43" applyNumberFormat="1" applyFont="1" applyFill="1" applyBorder="1"/>
    <xf numFmtId="3" fontId="38" fillId="0" borderId="77" xfId="43" applyNumberFormat="1" applyFont="1" applyFill="1" applyBorder="1"/>
    <xf numFmtId="0" fontId="37" fillId="0" borderId="70" xfId="43" applyFont="1" applyFill="1" applyBorder="1" applyAlignment="1">
      <alignment wrapText="1"/>
    </xf>
    <xf numFmtId="3" fontId="37" fillId="0" borderId="78" xfId="43" applyNumberFormat="1" applyFont="1" applyFill="1" applyBorder="1"/>
    <xf numFmtId="3" fontId="37" fillId="0" borderId="71" xfId="43" applyNumberFormat="1" applyFont="1" applyFill="1" applyBorder="1"/>
    <xf numFmtId="3" fontId="37" fillId="0" borderId="77" xfId="43" applyNumberFormat="1" applyFont="1" applyFill="1" applyBorder="1"/>
    <xf numFmtId="49" fontId="71" fillId="26" borderId="70" xfId="55" applyNumberFormat="1" applyFont="1" applyFill="1" applyBorder="1" applyAlignment="1">
      <alignment horizontal="left" vertical="center" wrapText="1"/>
    </xf>
    <xf numFmtId="3" fontId="71" fillId="26" borderId="78" xfId="55" applyNumberFormat="1" applyFont="1" applyFill="1" applyBorder="1"/>
    <xf numFmtId="3" fontId="71" fillId="26" borderId="71" xfId="55" applyNumberFormat="1" applyFont="1" applyFill="1" applyBorder="1"/>
    <xf numFmtId="3" fontId="71" fillId="26" borderId="77" xfId="55" applyNumberFormat="1" applyFont="1" applyFill="1" applyBorder="1"/>
    <xf numFmtId="49" fontId="71" fillId="27" borderId="70" xfId="55" applyNumberFormat="1" applyFont="1" applyFill="1" applyBorder="1" applyAlignment="1">
      <alignment horizontal="left" vertical="center" wrapText="1"/>
    </xf>
    <xf numFmtId="49" fontId="72" fillId="26" borderId="70" xfId="55" applyNumberFormat="1" applyFont="1" applyFill="1" applyBorder="1" applyAlignment="1">
      <alignment horizontal="left" vertical="center" wrapText="1"/>
    </xf>
    <xf numFmtId="49" fontId="71" fillId="28" borderId="70" xfId="55" applyNumberFormat="1" applyFont="1" applyFill="1" applyBorder="1" applyAlignment="1">
      <alignment horizontal="left" vertical="center" wrapText="1"/>
    </xf>
    <xf numFmtId="3" fontId="71" fillId="28" borderId="78" xfId="55" applyNumberFormat="1" applyFont="1" applyFill="1" applyBorder="1"/>
    <xf numFmtId="3" fontId="71" fillId="28" borderId="71" xfId="55" applyNumberFormat="1" applyFont="1" applyFill="1" applyBorder="1"/>
    <xf numFmtId="3" fontId="71" fillId="28" borderId="77" xfId="55" applyNumberFormat="1" applyFont="1" applyFill="1" applyBorder="1"/>
    <xf numFmtId="49" fontId="73" fillId="26" borderId="70" xfId="55" applyNumberFormat="1" applyFont="1" applyFill="1" applyBorder="1" applyAlignment="1">
      <alignment horizontal="left" vertical="center" wrapText="1"/>
    </xf>
    <xf numFmtId="3" fontId="73" fillId="26" borderId="78" xfId="55" applyNumberFormat="1" applyFont="1" applyFill="1" applyBorder="1"/>
    <xf numFmtId="3" fontId="73" fillId="26" borderId="71" xfId="55" applyNumberFormat="1" applyFont="1" applyFill="1" applyBorder="1"/>
    <xf numFmtId="3" fontId="73" fillId="26" borderId="77" xfId="55" applyNumberFormat="1" applyFont="1" applyFill="1" applyBorder="1"/>
    <xf numFmtId="3" fontId="38" fillId="26" borderId="77" xfId="43" applyNumberFormat="1" applyFont="1" applyFill="1" applyBorder="1"/>
    <xf numFmtId="3" fontId="38" fillId="0" borderId="95" xfId="43" applyNumberFormat="1" applyFont="1" applyFill="1" applyBorder="1"/>
    <xf numFmtId="3" fontId="37" fillId="0" borderId="95" xfId="43" applyNumberFormat="1" applyFont="1" applyFill="1" applyBorder="1"/>
    <xf numFmtId="3" fontId="71" fillId="26" borderId="95" xfId="55" applyNumberFormat="1" applyFont="1" applyFill="1" applyBorder="1"/>
    <xf numFmtId="3" fontId="71" fillId="28" borderId="95" xfId="55" applyNumberFormat="1" applyFont="1" applyFill="1" applyBorder="1"/>
    <xf numFmtId="3" fontId="73" fillId="26" borderId="95" xfId="55" applyNumberFormat="1" applyFont="1" applyFill="1" applyBorder="1"/>
    <xf numFmtId="3" fontId="38" fillId="0" borderId="96" xfId="43" applyNumberFormat="1" applyFont="1" applyFill="1" applyBorder="1"/>
    <xf numFmtId="3" fontId="37" fillId="0" borderId="96" xfId="43" applyNumberFormat="1" applyFont="1" applyFill="1" applyBorder="1"/>
    <xf numFmtId="3" fontId="71" fillId="26" borderId="96" xfId="55" applyNumberFormat="1" applyFont="1" applyFill="1" applyBorder="1"/>
    <xf numFmtId="3" fontId="38" fillId="26" borderId="96" xfId="43" applyNumberFormat="1" applyFont="1" applyFill="1" applyBorder="1"/>
    <xf numFmtId="0" fontId="56" fillId="0" borderId="103" xfId="43" applyFont="1" applyFill="1" applyBorder="1" applyAlignment="1">
      <alignment wrapText="1"/>
    </xf>
    <xf numFmtId="3" fontId="37" fillId="0" borderId="104" xfId="43" applyNumberFormat="1" applyFont="1" applyFill="1" applyBorder="1"/>
    <xf numFmtId="3" fontId="37" fillId="0" borderId="105" xfId="43" applyNumberFormat="1" applyFont="1" applyFill="1" applyBorder="1"/>
    <xf numFmtId="3" fontId="37" fillId="0" borderId="106" xfId="43" applyNumberFormat="1" applyFont="1" applyFill="1" applyBorder="1"/>
    <xf numFmtId="3" fontId="37" fillId="0" borderId="107" xfId="43" applyNumberFormat="1" applyFont="1" applyFill="1" applyBorder="1"/>
    <xf numFmtId="3" fontId="37" fillId="0" borderId="94" xfId="43" applyNumberFormat="1" applyFont="1" applyFill="1" applyBorder="1"/>
    <xf numFmtId="0" fontId="38" fillId="0" borderId="108" xfId="43" applyFont="1" applyFill="1" applyBorder="1" applyAlignment="1">
      <alignment wrapText="1"/>
    </xf>
    <xf numFmtId="3" fontId="38" fillId="0" borderId="109" xfId="43" applyNumberFormat="1" applyFont="1" applyFill="1" applyBorder="1"/>
    <xf numFmtId="3" fontId="38" fillId="0" borderId="110" xfId="43" applyNumberFormat="1" applyFont="1" applyFill="1" applyBorder="1"/>
    <xf numFmtId="3" fontId="38" fillId="0" borderId="111" xfId="43" applyNumberFormat="1" applyFont="1" applyFill="1" applyBorder="1"/>
    <xf numFmtId="3" fontId="38" fillId="0" borderId="112" xfId="43" applyNumberFormat="1" applyFont="1" applyFill="1" applyBorder="1"/>
    <xf numFmtId="3" fontId="38" fillId="0" borderId="113" xfId="43" applyNumberFormat="1" applyFont="1" applyFill="1" applyBorder="1"/>
    <xf numFmtId="0" fontId="37" fillId="0" borderId="103" xfId="43" applyFont="1" applyFill="1" applyBorder="1" applyAlignment="1">
      <alignment wrapText="1"/>
    </xf>
    <xf numFmtId="3" fontId="37" fillId="0" borderId="104" xfId="43" applyNumberFormat="1" applyFont="1" applyFill="1" applyBorder="1" applyAlignment="1">
      <alignment horizontal="center" wrapText="1"/>
    </xf>
    <xf numFmtId="0" fontId="37" fillId="0" borderId="105" xfId="43" applyNumberFormat="1" applyFont="1" applyFill="1" applyBorder="1" applyAlignment="1">
      <alignment horizontal="center" wrapText="1"/>
    </xf>
    <xf numFmtId="0" fontId="37" fillId="0" borderId="106" xfId="43" applyNumberFormat="1" applyFont="1" applyFill="1" applyBorder="1" applyAlignment="1">
      <alignment horizontal="center" wrapText="1"/>
    </xf>
    <xf numFmtId="0" fontId="37" fillId="0" borderId="107" xfId="43" applyNumberFormat="1" applyFont="1" applyFill="1" applyBorder="1" applyAlignment="1">
      <alignment horizontal="center" wrapText="1"/>
    </xf>
    <xf numFmtId="0" fontId="37" fillId="0" borderId="94" xfId="43" applyNumberFormat="1" applyFont="1" applyFill="1" applyBorder="1" applyAlignment="1">
      <alignment horizontal="center" wrapText="1"/>
    </xf>
    <xf numFmtId="0" fontId="38" fillId="0" borderId="114" xfId="43" applyFont="1" applyFill="1" applyBorder="1" applyAlignment="1">
      <alignment wrapText="1"/>
    </xf>
    <xf numFmtId="3" fontId="38" fillId="0" borderId="115" xfId="43" applyNumberFormat="1" applyFont="1" applyFill="1" applyBorder="1"/>
    <xf numFmtId="3" fontId="38" fillId="0" borderId="116" xfId="43" applyNumberFormat="1" applyFont="1" applyFill="1" applyBorder="1"/>
    <xf numFmtId="3" fontId="38" fillId="0" borderId="20" xfId="43" applyNumberFormat="1" applyFont="1" applyFill="1" applyBorder="1"/>
    <xf numFmtId="3" fontId="38" fillId="0" borderId="117" xfId="43" applyNumberFormat="1" applyFont="1" applyFill="1" applyBorder="1"/>
    <xf numFmtId="3" fontId="38" fillId="0" borderId="118" xfId="43" applyNumberFormat="1" applyFont="1" applyFill="1" applyBorder="1"/>
    <xf numFmtId="3" fontId="38" fillId="26" borderId="111" xfId="43" applyNumberFormat="1" applyFont="1" applyFill="1" applyBorder="1"/>
    <xf numFmtId="3" fontId="38" fillId="26" borderId="113" xfId="43" applyNumberFormat="1" applyFont="1" applyFill="1" applyBorder="1"/>
    <xf numFmtId="3" fontId="78" fillId="0" borderId="58" xfId="0" applyNumberFormat="1" applyFont="1" applyBorder="1" applyAlignment="1">
      <alignment horizontal="right" vertical="center"/>
    </xf>
    <xf numFmtId="3" fontId="77" fillId="0" borderId="58" xfId="0" applyNumberFormat="1" applyFont="1" applyBorder="1" applyAlignment="1">
      <alignment horizontal="right" vertical="center"/>
    </xf>
    <xf numFmtId="3" fontId="79" fillId="0" borderId="58" xfId="0" applyNumberFormat="1" applyFont="1" applyBorder="1" applyAlignment="1">
      <alignment horizontal="right" vertical="center"/>
    </xf>
    <xf numFmtId="0" fontId="78" fillId="0" borderId="56" xfId="0" applyFont="1" applyBorder="1" applyAlignment="1">
      <alignment vertical="center" wrapText="1"/>
    </xf>
    <xf numFmtId="0" fontId="78" fillId="0" borderId="56" xfId="0" applyFont="1" applyBorder="1" applyAlignment="1">
      <alignment horizontal="left" vertical="center" wrapText="1"/>
    </xf>
    <xf numFmtId="0" fontId="77" fillId="0" borderId="56" xfId="0" applyFont="1" applyBorder="1" applyAlignment="1">
      <alignment vertical="center" wrapText="1"/>
    </xf>
    <xf numFmtId="0" fontId="79" fillId="0" borderId="56" xfId="0" applyFont="1" applyBorder="1" applyAlignment="1">
      <alignment vertical="center" wrapText="1"/>
    </xf>
    <xf numFmtId="3" fontId="78" fillId="0" borderId="57" xfId="0" applyNumberFormat="1" applyFont="1" applyBorder="1" applyAlignment="1">
      <alignment horizontal="right" vertical="center"/>
    </xf>
    <xf numFmtId="3" fontId="77" fillId="0" borderId="57" xfId="0" applyNumberFormat="1" applyFont="1" applyBorder="1" applyAlignment="1">
      <alignment horizontal="right" vertical="center"/>
    </xf>
    <xf numFmtId="3" fontId="79" fillId="0" borderId="57" xfId="0" applyNumberFormat="1" applyFont="1" applyBorder="1" applyAlignment="1">
      <alignment horizontal="right" vertical="center"/>
    </xf>
    <xf numFmtId="0" fontId="78" fillId="0" borderId="12" xfId="0" applyFont="1" applyBorder="1" applyAlignment="1">
      <alignment vertical="center" wrapText="1"/>
    </xf>
    <xf numFmtId="3" fontId="78" fillId="0" borderId="28" xfId="0" applyNumberFormat="1" applyFont="1" applyBorder="1" applyAlignment="1">
      <alignment horizontal="right" vertical="center"/>
    </xf>
    <xf numFmtId="3" fontId="78" fillId="0" borderId="29" xfId="0" applyNumberFormat="1" applyFont="1" applyBorder="1" applyAlignment="1">
      <alignment horizontal="right" vertical="center"/>
    </xf>
    <xf numFmtId="0" fontId="77" fillId="0" borderId="34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center"/>
    </xf>
    <xf numFmtId="0" fontId="44" fillId="0" borderId="53" xfId="43" applyNumberFormat="1" applyFont="1" applyFill="1" applyBorder="1" applyAlignment="1">
      <alignment horizontal="center" vertical="center" wrapText="1"/>
    </xf>
    <xf numFmtId="0" fontId="77" fillId="0" borderId="84" xfId="0" applyFont="1" applyBorder="1" applyAlignment="1">
      <alignment horizontal="center" vertical="center"/>
    </xf>
    <xf numFmtId="3" fontId="78" fillId="0" borderId="14" xfId="0" applyNumberFormat="1" applyFont="1" applyBorder="1" applyAlignment="1">
      <alignment horizontal="right" vertical="center"/>
    </xf>
    <xf numFmtId="3" fontId="78" fillId="0" borderId="73" xfId="0" applyNumberFormat="1" applyFont="1" applyBorder="1" applyAlignment="1">
      <alignment horizontal="right" vertical="center"/>
    </xf>
    <xf numFmtId="3" fontId="77" fillId="0" borderId="73" xfId="0" applyNumberFormat="1" applyFont="1" applyBorder="1" applyAlignment="1">
      <alignment horizontal="right" vertical="center"/>
    </xf>
    <xf numFmtId="3" fontId="79" fillId="0" borderId="73" xfId="0" applyNumberFormat="1" applyFont="1" applyBorder="1" applyAlignment="1">
      <alignment horizontal="right" vertical="center"/>
    </xf>
    <xf numFmtId="0" fontId="44" fillId="0" borderId="25" xfId="43" applyNumberFormat="1" applyFont="1" applyFill="1" applyBorder="1" applyAlignment="1">
      <alignment horizontal="center" vertical="center" wrapText="1"/>
    </xf>
    <xf numFmtId="3" fontId="78" fillId="0" borderId="19" xfId="0" applyNumberFormat="1" applyFont="1" applyBorder="1" applyAlignment="1">
      <alignment horizontal="right" vertical="center"/>
    </xf>
    <xf numFmtId="3" fontId="78" fillId="0" borderId="74" xfId="0" applyNumberFormat="1" applyFont="1" applyBorder="1" applyAlignment="1">
      <alignment horizontal="right" vertical="center"/>
    </xf>
    <xf numFmtId="3" fontId="77" fillId="0" borderId="74" xfId="0" applyNumberFormat="1" applyFont="1" applyBorder="1" applyAlignment="1">
      <alignment horizontal="right" vertical="center"/>
    </xf>
    <xf numFmtId="3" fontId="79" fillId="0" borderId="74" xfId="0" applyNumberFormat="1" applyFont="1" applyBorder="1" applyAlignment="1">
      <alignment horizontal="right" vertical="center"/>
    </xf>
    <xf numFmtId="0" fontId="78" fillId="0" borderId="65" xfId="0" applyFont="1" applyBorder="1" applyAlignment="1">
      <alignment vertical="center" wrapText="1"/>
    </xf>
    <xf numFmtId="3" fontId="78" fillId="0" borderId="85" xfId="0" applyNumberFormat="1" applyFont="1" applyBorder="1" applyAlignment="1">
      <alignment horizontal="right" vertical="center"/>
    </xf>
    <xf numFmtId="3" fontId="78" fillId="0" borderId="81" xfId="0" applyNumberFormat="1" applyFont="1" applyBorder="1" applyAlignment="1">
      <alignment horizontal="right" vertical="center"/>
    </xf>
    <xf numFmtId="3" fontId="78" fillId="0" borderId="64" xfId="0" applyNumberFormat="1" applyFont="1" applyBorder="1" applyAlignment="1">
      <alignment horizontal="right" vertical="center"/>
    </xf>
    <xf numFmtId="3" fontId="78" fillId="0" borderId="90" xfId="0" applyNumberFormat="1" applyFont="1" applyBorder="1" applyAlignment="1">
      <alignment horizontal="right" vertical="center"/>
    </xf>
    <xf numFmtId="0" fontId="77" fillId="0" borderId="34" xfId="0" applyFont="1" applyBorder="1" applyAlignment="1">
      <alignment vertical="center" wrapText="1"/>
    </xf>
    <xf numFmtId="3" fontId="77" fillId="0" borderId="44" xfId="0" applyNumberFormat="1" applyFont="1" applyBorder="1" applyAlignment="1">
      <alignment horizontal="right" vertical="center"/>
    </xf>
    <xf numFmtId="3" fontId="77" fillId="0" borderId="84" xfId="0" applyNumberFormat="1" applyFont="1" applyBorder="1" applyAlignment="1">
      <alignment horizontal="right" vertical="center"/>
    </xf>
    <xf numFmtId="3" fontId="77" fillId="0" borderId="25" xfId="0" applyNumberFormat="1" applyFont="1" applyBorder="1" applyAlignment="1">
      <alignment horizontal="right" vertical="center"/>
    </xf>
    <xf numFmtId="3" fontId="77" fillId="0" borderId="53" xfId="0" applyNumberFormat="1" applyFont="1" applyBorder="1" applyAlignment="1">
      <alignment horizontal="right" vertical="center"/>
    </xf>
    <xf numFmtId="3" fontId="80" fillId="0" borderId="110" xfId="64" applyNumberFormat="1" applyFont="1" applyBorder="1" applyAlignment="1">
      <alignment horizontal="center"/>
    </xf>
    <xf numFmtId="3" fontId="80" fillId="0" borderId="105" xfId="64" applyNumberFormat="1" applyFont="1" applyBorder="1" applyAlignment="1">
      <alignment horizontal="center" vertical="center"/>
    </xf>
    <xf numFmtId="0" fontId="80" fillId="0" borderId="107" xfId="64" applyFont="1" applyBorder="1" applyAlignment="1">
      <alignment wrapText="1"/>
    </xf>
    <xf numFmtId="0" fontId="80" fillId="0" borderId="112" xfId="64" applyFont="1" applyBorder="1" applyAlignment="1">
      <alignment wrapText="1"/>
    </xf>
    <xf numFmtId="3" fontId="80" fillId="0" borderId="119" xfId="64" applyNumberFormat="1" applyFont="1" applyBorder="1" applyAlignment="1">
      <alignment horizontal="center"/>
    </xf>
    <xf numFmtId="3" fontId="80" fillId="0" borderId="120" xfId="64" applyNumberFormat="1" applyFont="1" applyBorder="1" applyAlignment="1">
      <alignment horizontal="center"/>
    </xf>
    <xf numFmtId="3" fontId="80" fillId="0" borderId="121" xfId="64" applyNumberFormat="1" applyFont="1" applyBorder="1" applyAlignment="1">
      <alignment horizontal="center"/>
    </xf>
    <xf numFmtId="3" fontId="80" fillId="0" borderId="121" xfId="64" applyNumberFormat="1" applyFont="1" applyBorder="1"/>
    <xf numFmtId="3" fontId="81" fillId="0" borderId="121" xfId="64" applyNumberFormat="1" applyFont="1" applyBorder="1"/>
    <xf numFmtId="3" fontId="80" fillId="0" borderId="94" xfId="64" applyNumberFormat="1" applyFont="1" applyBorder="1" applyAlignment="1">
      <alignment horizontal="center"/>
    </xf>
    <xf numFmtId="3" fontId="80" fillId="0" borderId="113" xfId="64" applyNumberFormat="1" applyFont="1" applyBorder="1" applyAlignment="1">
      <alignment horizontal="center"/>
    </xf>
    <xf numFmtId="3" fontId="80" fillId="0" borderId="122" xfId="64" applyNumberFormat="1" applyFont="1" applyBorder="1" applyAlignment="1">
      <alignment horizontal="center"/>
    </xf>
    <xf numFmtId="3" fontId="80" fillId="0" borderId="122" xfId="64" applyNumberFormat="1" applyFont="1" applyBorder="1"/>
    <xf numFmtId="3" fontId="81" fillId="0" borderId="122" xfId="64" applyNumberFormat="1" applyFont="1" applyBorder="1"/>
    <xf numFmtId="0" fontId="80" fillId="0" borderId="123" xfId="64" applyFont="1" applyBorder="1" applyAlignment="1">
      <alignment wrapText="1"/>
    </xf>
    <xf numFmtId="3" fontId="80" fillId="0" borderId="124" xfId="64" applyNumberFormat="1" applyFont="1" applyBorder="1" applyAlignment="1">
      <alignment horizontal="center"/>
    </xf>
    <xf numFmtId="3" fontId="80" fillId="0" borderId="124" xfId="64" applyNumberFormat="1" applyFont="1" applyBorder="1"/>
    <xf numFmtId="0" fontId="81" fillId="0" borderId="123" xfId="64" applyFont="1" applyBorder="1" applyAlignment="1">
      <alignment wrapText="1"/>
    </xf>
    <xf numFmtId="3" fontId="81" fillId="0" borderId="124" xfId="64" applyNumberFormat="1" applyFont="1" applyBorder="1"/>
    <xf numFmtId="0" fontId="81" fillId="0" borderId="101" xfId="64" applyFont="1" applyBorder="1" applyAlignment="1">
      <alignment wrapText="1"/>
    </xf>
    <xf numFmtId="3" fontId="81" fillId="0" borderId="125" xfId="64" applyNumberFormat="1" applyFont="1" applyBorder="1"/>
    <xf numFmtId="3" fontId="81" fillId="0" borderId="126" xfId="64" applyNumberFormat="1" applyFont="1" applyBorder="1"/>
    <xf numFmtId="3" fontId="81" fillId="0" borderId="127" xfId="64" applyNumberFormat="1" applyFont="1" applyBorder="1"/>
    <xf numFmtId="3" fontId="80" fillId="0" borderId="94" xfId="64" applyNumberFormat="1" applyFont="1" applyBorder="1"/>
    <xf numFmtId="3" fontId="80" fillId="0" borderId="119" xfId="64" applyNumberFormat="1" applyFont="1" applyBorder="1"/>
    <xf numFmtId="3" fontId="80" fillId="0" borderId="105" xfId="64" applyNumberFormat="1" applyFont="1" applyBorder="1"/>
    <xf numFmtId="3" fontId="83" fillId="0" borderId="129" xfId="64" applyNumberFormat="1" applyFont="1" applyBorder="1" applyAlignment="1">
      <alignment vertical="center"/>
    </xf>
    <xf numFmtId="3" fontId="83" fillId="0" borderId="127" xfId="64" applyNumberFormat="1" applyFont="1" applyBorder="1" applyAlignment="1">
      <alignment vertical="center"/>
    </xf>
    <xf numFmtId="3" fontId="80" fillId="0" borderId="104" xfId="64" applyNumberFormat="1" applyFont="1" applyBorder="1" applyAlignment="1">
      <alignment vertical="center"/>
    </xf>
    <xf numFmtId="3" fontId="80" fillId="0" borderId="105" xfId="64" applyNumberFormat="1" applyFont="1" applyBorder="1" applyAlignment="1">
      <alignment vertical="center"/>
    </xf>
    <xf numFmtId="0" fontId="80" fillId="0" borderId="123" xfId="64" applyFont="1" applyBorder="1" applyAlignment="1">
      <alignment vertical="center" wrapText="1"/>
    </xf>
    <xf numFmtId="0" fontId="81" fillId="0" borderId="123" xfId="64" applyFont="1" applyBorder="1" applyAlignment="1">
      <alignment vertical="center" wrapText="1"/>
    </xf>
    <xf numFmtId="0" fontId="81" fillId="29" borderId="123" xfId="64" applyFont="1" applyFill="1" applyBorder="1" applyAlignment="1">
      <alignment vertical="center" wrapText="1"/>
    </xf>
    <xf numFmtId="0" fontId="82" fillId="0" borderId="123" xfId="64" applyFont="1" applyBorder="1" applyAlignment="1">
      <alignment vertical="center" wrapText="1"/>
    </xf>
    <xf numFmtId="0" fontId="83" fillId="0" borderId="123" xfId="64" applyFont="1" applyBorder="1" applyAlignment="1">
      <alignment vertical="center" wrapText="1"/>
    </xf>
    <xf numFmtId="0" fontId="83" fillId="0" borderId="130" xfId="64" applyFont="1" applyBorder="1" applyAlignment="1">
      <alignment vertical="center" wrapText="1"/>
    </xf>
    <xf numFmtId="0" fontId="80" fillId="0" borderId="107" xfId="64" applyFont="1" applyBorder="1" applyAlignment="1">
      <alignment vertical="center" wrapText="1"/>
    </xf>
    <xf numFmtId="3" fontId="80" fillId="0" borderId="131" xfId="64" applyNumberFormat="1" applyFont="1" applyBorder="1" applyAlignment="1">
      <alignment vertical="center"/>
    </xf>
    <xf numFmtId="3" fontId="80" fillId="0" borderId="132" xfId="64" applyNumberFormat="1" applyFont="1" applyBorder="1" applyAlignment="1">
      <alignment vertical="center"/>
    </xf>
    <xf numFmtId="3" fontId="80" fillId="0" borderId="124" xfId="64" applyNumberFormat="1" applyFont="1" applyBorder="1" applyAlignment="1">
      <alignment vertical="center"/>
    </xf>
    <xf numFmtId="3" fontId="81" fillId="0" borderId="131" xfId="64" applyNumberFormat="1" applyFont="1" applyBorder="1" applyAlignment="1">
      <alignment vertical="center"/>
    </xf>
    <xf numFmtId="3" fontId="81" fillId="0" borderId="132" xfId="64" applyNumberFormat="1" applyFont="1" applyBorder="1" applyAlignment="1">
      <alignment vertical="center"/>
    </xf>
    <xf numFmtId="3" fontId="81" fillId="0" borderId="124" xfId="64" applyNumberFormat="1" applyFont="1" applyBorder="1" applyAlignment="1">
      <alignment vertical="center"/>
    </xf>
    <xf numFmtId="3" fontId="82" fillId="0" borderId="131" xfId="64" applyNumberFormat="1" applyFont="1" applyBorder="1" applyAlignment="1">
      <alignment vertical="center"/>
    </xf>
    <xf numFmtId="3" fontId="82" fillId="0" borderId="132" xfId="64" applyNumberFormat="1" applyFont="1" applyBorder="1" applyAlignment="1">
      <alignment vertical="center"/>
    </xf>
    <xf numFmtId="3" fontId="82" fillId="0" borderId="124" xfId="64" applyNumberFormat="1" applyFont="1" applyBorder="1" applyAlignment="1">
      <alignment vertical="center"/>
    </xf>
    <xf numFmtId="3" fontId="83" fillId="0" borderId="131" xfId="64" applyNumberFormat="1" applyFont="1" applyBorder="1" applyAlignment="1">
      <alignment vertical="center"/>
    </xf>
    <xf numFmtId="3" fontId="83" fillId="0" borderId="132" xfId="64" applyNumberFormat="1" applyFont="1" applyBorder="1" applyAlignment="1">
      <alignment vertical="center"/>
    </xf>
    <xf numFmtId="3" fontId="83" fillId="0" borderId="124" xfId="64" applyNumberFormat="1" applyFont="1" applyBorder="1" applyAlignment="1">
      <alignment vertical="center"/>
    </xf>
    <xf numFmtId="3" fontId="83" fillId="0" borderId="128" xfId="64" applyNumberFormat="1" applyFont="1" applyBorder="1" applyAlignment="1">
      <alignment vertical="center"/>
    </xf>
    <xf numFmtId="3" fontId="80" fillId="0" borderId="103" xfId="64" applyNumberFormat="1" applyFont="1" applyBorder="1" applyAlignment="1">
      <alignment vertical="center"/>
    </xf>
    <xf numFmtId="0" fontId="80" fillId="0" borderId="112" xfId="64" applyFont="1" applyBorder="1" applyAlignment="1">
      <alignment vertical="center" wrapText="1"/>
    </xf>
    <xf numFmtId="3" fontId="80" fillId="0" borderId="108" xfId="64" applyNumberFormat="1" applyFont="1" applyBorder="1" applyAlignment="1">
      <alignment vertical="center"/>
    </xf>
    <xf numFmtId="3" fontId="80" fillId="0" borderId="109" xfId="64" applyNumberFormat="1" applyFont="1" applyBorder="1" applyAlignment="1">
      <alignment vertical="center"/>
    </xf>
    <xf numFmtId="3" fontId="80" fillId="0" borderId="110" xfId="64" applyNumberFormat="1" applyFont="1" applyBorder="1" applyAlignment="1">
      <alignment vertical="center"/>
    </xf>
    <xf numFmtId="3" fontId="80" fillId="0" borderId="103" xfId="64" applyNumberFormat="1" applyFont="1" applyBorder="1" applyAlignment="1">
      <alignment horizontal="center" vertical="center"/>
    </xf>
    <xf numFmtId="3" fontId="80" fillId="0" borderId="104" xfId="64" applyNumberFormat="1" applyFont="1" applyBorder="1" applyAlignment="1">
      <alignment horizontal="center" vertical="center"/>
    </xf>
    <xf numFmtId="3" fontId="80" fillId="0" borderId="132" xfId="0" applyNumberFormat="1" applyFont="1" applyBorder="1" applyAlignment="1">
      <alignment vertical="center"/>
    </xf>
    <xf numFmtId="3" fontId="0" fillId="0" borderId="132" xfId="0" applyNumberFormat="1" applyBorder="1" applyAlignment="1">
      <alignment vertical="center"/>
    </xf>
    <xf numFmtId="3" fontId="82" fillId="0" borderId="132" xfId="0" applyNumberFormat="1" applyFont="1" applyBorder="1" applyAlignment="1">
      <alignment vertical="center"/>
    </xf>
    <xf numFmtId="0" fontId="80" fillId="0" borderId="117" xfId="0" applyFont="1" applyBorder="1" applyAlignment="1">
      <alignment vertical="center" wrapText="1"/>
    </xf>
    <xf numFmtId="3" fontId="80" fillId="0" borderId="133" xfId="0" applyNumberFormat="1" applyFont="1" applyBorder="1" applyAlignment="1">
      <alignment vertical="center"/>
    </xf>
    <xf numFmtId="0" fontId="83" fillId="0" borderId="117" xfId="0" applyFont="1" applyBorder="1" applyAlignment="1">
      <alignment vertical="center" wrapText="1"/>
    </xf>
    <xf numFmtId="3" fontId="83" fillId="0" borderId="132" xfId="0" applyNumberFormat="1" applyFont="1" applyBorder="1" applyAlignment="1">
      <alignment vertical="center"/>
    </xf>
    <xf numFmtId="3" fontId="0" fillId="0" borderId="129" xfId="0" applyNumberFormat="1" applyBorder="1" applyAlignment="1">
      <alignment vertical="center"/>
    </xf>
    <xf numFmtId="3" fontId="80" fillId="0" borderId="104" xfId="0" applyNumberFormat="1" applyFont="1" applyBorder="1" applyAlignment="1">
      <alignment vertical="center"/>
    </xf>
    <xf numFmtId="0" fontId="80" fillId="0" borderId="123" xfId="0" applyFont="1" applyBorder="1" applyAlignment="1">
      <alignment vertical="center" wrapText="1"/>
    </xf>
    <xf numFmtId="0" fontId="81" fillId="0" borderId="123" xfId="0" applyFont="1" applyBorder="1" applyAlignment="1">
      <alignment vertical="center" wrapText="1"/>
    </xf>
    <xf numFmtId="0" fontId="82" fillId="0" borderId="123" xfId="0" applyFont="1" applyBorder="1" applyAlignment="1">
      <alignment vertical="center" wrapText="1"/>
    </xf>
    <xf numFmtId="0" fontId="83" fillId="0" borderId="123" xfId="0" applyFont="1" applyBorder="1" applyAlignment="1">
      <alignment vertical="center" wrapText="1"/>
    </xf>
    <xf numFmtId="0" fontId="81" fillId="0" borderId="130" xfId="0" applyFont="1" applyBorder="1" applyAlignment="1">
      <alignment vertical="center" wrapText="1"/>
    </xf>
    <xf numFmtId="0" fontId="80" fillId="0" borderId="107" xfId="0" applyFont="1" applyBorder="1" applyAlignment="1">
      <alignment vertical="center" wrapText="1"/>
    </xf>
    <xf numFmtId="3" fontId="80" fillId="0" borderId="131" xfId="0" applyNumberFormat="1" applyFont="1" applyBorder="1" applyAlignment="1">
      <alignment vertical="center"/>
    </xf>
    <xf numFmtId="3" fontId="81" fillId="0" borderId="131" xfId="0" applyNumberFormat="1" applyFont="1" applyBorder="1" applyAlignment="1">
      <alignment vertical="center"/>
    </xf>
    <xf numFmtId="3" fontId="82" fillId="0" borderId="131" xfId="0" applyNumberFormat="1" applyFont="1" applyBorder="1" applyAlignment="1">
      <alignment vertical="center"/>
    </xf>
    <xf numFmtId="3" fontId="80" fillId="0" borderId="117" xfId="0" applyNumberFormat="1" applyFont="1" applyBorder="1" applyAlignment="1">
      <alignment vertical="center"/>
    </xf>
    <xf numFmtId="3" fontId="83" fillId="0" borderId="131" xfId="0" applyNumberFormat="1" applyFont="1" applyBorder="1" applyAlignment="1">
      <alignment vertical="center"/>
    </xf>
    <xf numFmtId="3" fontId="80" fillId="0" borderId="128" xfId="0" applyNumberFormat="1" applyFont="1" applyBorder="1" applyAlignment="1">
      <alignment vertical="center"/>
    </xf>
    <xf numFmtId="3" fontId="80" fillId="0" borderId="103" xfId="0" applyNumberFormat="1" applyFont="1" applyBorder="1" applyAlignment="1">
      <alignment vertical="center"/>
    </xf>
    <xf numFmtId="3" fontId="80" fillId="0" borderId="134" xfId="0" applyNumberFormat="1" applyFont="1" applyBorder="1" applyAlignment="1">
      <alignment vertical="center"/>
    </xf>
    <xf numFmtId="3" fontId="81" fillId="0" borderId="134" xfId="0" applyNumberFormat="1" applyFont="1" applyBorder="1" applyAlignment="1">
      <alignment vertical="center"/>
    </xf>
    <xf numFmtId="3" fontId="82" fillId="0" borderId="134" xfId="0" applyNumberFormat="1" applyFont="1" applyBorder="1" applyAlignment="1">
      <alignment vertical="center"/>
    </xf>
    <xf numFmtId="3" fontId="83" fillId="0" borderId="134" xfId="0" applyNumberFormat="1" applyFont="1" applyBorder="1" applyAlignment="1">
      <alignment vertical="center"/>
    </xf>
    <xf numFmtId="3" fontId="80" fillId="0" borderId="135" xfId="0" applyNumberFormat="1" applyFont="1" applyBorder="1" applyAlignment="1">
      <alignment vertical="center"/>
    </xf>
    <xf numFmtId="3" fontId="80" fillId="0" borderId="106" xfId="0" applyNumberFormat="1" applyFont="1" applyBorder="1" applyAlignment="1">
      <alignment vertical="center"/>
    </xf>
    <xf numFmtId="3" fontId="80" fillId="0" borderId="136" xfId="0" applyNumberFormat="1" applyFont="1" applyBorder="1" applyAlignment="1">
      <alignment vertical="center"/>
    </xf>
    <xf numFmtId="3" fontId="81" fillId="0" borderId="136" xfId="0" applyNumberFormat="1" applyFont="1" applyBorder="1" applyAlignment="1">
      <alignment vertical="center"/>
    </xf>
    <xf numFmtId="3" fontId="82" fillId="0" borderId="136" xfId="0" applyNumberFormat="1" applyFont="1" applyBorder="1" applyAlignment="1">
      <alignment vertical="center"/>
    </xf>
    <xf numFmtId="3" fontId="83" fillId="0" borderId="136" xfId="0" applyNumberFormat="1" applyFont="1" applyBorder="1" applyAlignment="1">
      <alignment vertical="center"/>
    </xf>
    <xf numFmtId="3" fontId="80" fillId="0" borderId="137" xfId="0" applyNumberFormat="1" applyFont="1" applyBorder="1" applyAlignment="1">
      <alignment vertical="center"/>
    </xf>
    <xf numFmtId="3" fontId="80" fillId="0" borderId="138" xfId="0" applyNumberFormat="1" applyFont="1" applyBorder="1" applyAlignment="1">
      <alignment vertical="center"/>
    </xf>
    <xf numFmtId="3" fontId="80" fillId="0" borderId="122" xfId="0" applyNumberFormat="1" applyFont="1" applyBorder="1" applyAlignment="1">
      <alignment vertical="center"/>
    </xf>
    <xf numFmtId="3" fontId="81" fillId="0" borderId="122" xfId="0" applyNumberFormat="1" applyFont="1" applyBorder="1" applyAlignment="1">
      <alignment vertical="center"/>
    </xf>
    <xf numFmtId="3" fontId="82" fillId="0" borderId="122" xfId="0" applyNumberFormat="1" applyFont="1" applyBorder="1" applyAlignment="1">
      <alignment vertical="center"/>
    </xf>
    <xf numFmtId="3" fontId="80" fillId="0" borderId="118" xfId="0" applyNumberFormat="1" applyFont="1" applyBorder="1" applyAlignment="1">
      <alignment vertical="center"/>
    </xf>
    <xf numFmtId="3" fontId="83" fillId="0" borderId="122" xfId="0" applyNumberFormat="1" applyFont="1" applyBorder="1" applyAlignment="1">
      <alignment vertical="center"/>
    </xf>
    <xf numFmtId="3" fontId="80" fillId="0" borderId="125" xfId="0" applyNumberFormat="1" applyFont="1" applyBorder="1" applyAlignment="1">
      <alignment vertical="center"/>
    </xf>
    <xf numFmtId="3" fontId="80" fillId="0" borderId="94" xfId="0" applyNumberFormat="1" applyFont="1" applyBorder="1" applyAlignment="1">
      <alignment vertical="center"/>
    </xf>
    <xf numFmtId="0" fontId="80" fillId="0" borderId="112" xfId="0" applyFont="1" applyBorder="1" applyAlignment="1">
      <alignment vertical="center" wrapText="1"/>
    </xf>
    <xf numFmtId="3" fontId="80" fillId="0" borderId="108" xfId="0" applyNumberFormat="1" applyFont="1" applyBorder="1" applyAlignment="1">
      <alignment horizontal="center" vertical="center"/>
    </xf>
    <xf numFmtId="3" fontId="0" fillId="0" borderId="109" xfId="0" applyNumberFormat="1" applyBorder="1" applyAlignment="1">
      <alignment vertical="center"/>
    </xf>
    <xf numFmtId="3" fontId="80" fillId="0" borderId="111" xfId="0" applyNumberFormat="1" applyFont="1" applyBorder="1" applyAlignment="1">
      <alignment horizontal="center" vertical="center"/>
    </xf>
    <xf numFmtId="3" fontId="80" fillId="0" borderId="113" xfId="0" applyNumberFormat="1" applyFont="1" applyBorder="1" applyAlignment="1">
      <alignment horizontal="center" vertical="center"/>
    </xf>
    <xf numFmtId="3" fontId="80" fillId="0" borderId="139" xfId="0" applyNumberFormat="1" applyFont="1" applyBorder="1" applyAlignment="1">
      <alignment horizontal="center" vertical="center"/>
    </xf>
    <xf numFmtId="3" fontId="80" fillId="0" borderId="103" xfId="0" applyNumberFormat="1" applyFont="1" applyBorder="1" applyAlignment="1">
      <alignment horizontal="center" vertical="center"/>
    </xf>
    <xf numFmtId="3" fontId="0" fillId="0" borderId="104" xfId="0" applyNumberFormat="1" applyBorder="1" applyAlignment="1">
      <alignment vertical="center"/>
    </xf>
    <xf numFmtId="3" fontId="80" fillId="0" borderId="106" xfId="0" applyNumberFormat="1" applyFont="1" applyBorder="1" applyAlignment="1">
      <alignment horizontal="center" vertical="center"/>
    </xf>
    <xf numFmtId="3" fontId="80" fillId="0" borderId="94" xfId="64" applyNumberFormat="1" applyFont="1" applyBorder="1" applyAlignment="1">
      <alignment horizontal="center" vertical="center"/>
    </xf>
    <xf numFmtId="3" fontId="80" fillId="0" borderId="138" xfId="64" applyNumberFormat="1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2" fontId="45" fillId="0" borderId="141" xfId="0" applyNumberFormat="1" applyFont="1" applyBorder="1" applyAlignment="1">
      <alignment horizontal="center"/>
    </xf>
    <xf numFmtId="2" fontId="46" fillId="0" borderId="142" xfId="0" applyNumberFormat="1" applyFont="1" applyBorder="1" applyAlignment="1">
      <alignment horizontal="center"/>
    </xf>
    <xf numFmtId="0" fontId="46" fillId="0" borderId="143" xfId="0" applyFont="1" applyBorder="1" applyAlignment="1">
      <alignment horizontal="center" vertical="center"/>
    </xf>
    <xf numFmtId="3" fontId="88" fillId="0" borderId="144" xfId="64" applyNumberFormat="1" applyFont="1" applyBorder="1" applyAlignment="1">
      <alignment horizontal="center" vertical="center"/>
    </xf>
    <xf numFmtId="2" fontId="45" fillId="0" borderId="145" xfId="0" applyNumberFormat="1" applyFont="1" applyBorder="1" applyAlignment="1">
      <alignment horizontal="center"/>
    </xf>
    <xf numFmtId="2" fontId="46" fillId="0" borderId="146" xfId="0" applyNumberFormat="1" applyFont="1" applyBorder="1" applyAlignment="1">
      <alignment horizontal="center"/>
    </xf>
    <xf numFmtId="0" fontId="46" fillId="0" borderId="107" xfId="0" applyFont="1" applyBorder="1" applyAlignment="1">
      <alignment horizontal="center" vertical="center" wrapText="1"/>
    </xf>
    <xf numFmtId="0" fontId="46" fillId="0" borderId="147" xfId="0" applyFont="1" applyBorder="1" applyAlignment="1">
      <alignment horizontal="center" vertical="center" wrapText="1"/>
    </xf>
    <xf numFmtId="2" fontId="45" fillId="0" borderId="148" xfId="0" applyNumberFormat="1" applyFont="1" applyBorder="1" applyAlignment="1">
      <alignment horizontal="center" vertical="top" wrapText="1"/>
    </xf>
    <xf numFmtId="2" fontId="45" fillId="0" borderId="149" xfId="0" applyNumberFormat="1" applyFont="1" applyBorder="1" applyAlignment="1">
      <alignment horizontal="center" vertical="top" wrapText="1"/>
    </xf>
    <xf numFmtId="2" fontId="30" fillId="0" borderId="149" xfId="0" applyNumberFormat="1" applyFont="1" applyBorder="1" applyAlignment="1">
      <alignment horizontal="center" vertical="top" wrapText="1"/>
    </xf>
    <xf numFmtId="2" fontId="48" fillId="0" borderId="149" xfId="0" applyNumberFormat="1" applyFont="1" applyBorder="1" applyAlignment="1">
      <alignment horizontal="center" vertical="top" wrapText="1"/>
    </xf>
    <xf numFmtId="2" fontId="46" fillId="0" borderId="149" xfId="0" applyNumberFormat="1" applyFont="1" applyBorder="1" applyAlignment="1">
      <alignment horizontal="center" vertical="top" wrapText="1"/>
    </xf>
    <xf numFmtId="2" fontId="45" fillId="0" borderId="149" xfId="0" applyNumberFormat="1" applyFont="1" applyBorder="1" applyAlignment="1">
      <alignment horizontal="center"/>
    </xf>
    <xf numFmtId="0" fontId="46" fillId="0" borderId="94" xfId="0" applyFont="1" applyBorder="1" applyAlignment="1">
      <alignment horizontal="center" vertical="center" wrapText="1"/>
    </xf>
    <xf numFmtId="3" fontId="88" fillId="0" borderId="150" xfId="64" applyNumberFormat="1" applyFont="1" applyBorder="1" applyAlignment="1">
      <alignment horizontal="center" vertical="center"/>
    </xf>
    <xf numFmtId="2" fontId="45" fillId="0" borderId="151" xfId="0" applyNumberFormat="1" applyFont="1" applyBorder="1" applyAlignment="1">
      <alignment horizontal="center" vertical="top" wrapText="1"/>
    </xf>
    <xf numFmtId="2" fontId="45" fillId="0" borderId="122" xfId="0" applyNumberFormat="1" applyFont="1" applyBorder="1" applyAlignment="1">
      <alignment horizontal="center" vertical="top" wrapText="1"/>
    </xf>
    <xf numFmtId="2" fontId="30" fillId="0" borderId="122" xfId="0" applyNumberFormat="1" applyFont="1" applyBorder="1" applyAlignment="1">
      <alignment horizontal="center" vertical="top" wrapText="1"/>
    </xf>
    <xf numFmtId="2" fontId="48" fillId="0" borderId="122" xfId="0" applyNumberFormat="1" applyFont="1" applyBorder="1" applyAlignment="1">
      <alignment horizontal="center" vertical="top" wrapText="1"/>
    </xf>
    <xf numFmtId="2" fontId="46" fillId="0" borderId="122" xfId="0" applyNumberFormat="1" applyFont="1" applyBorder="1" applyAlignment="1">
      <alignment horizontal="center" vertical="top" wrapText="1"/>
    </xf>
    <xf numFmtId="2" fontId="45" fillId="0" borderId="122" xfId="0" applyNumberFormat="1" applyFont="1" applyBorder="1" applyAlignment="1">
      <alignment horizontal="center"/>
    </xf>
    <xf numFmtId="0" fontId="45" fillId="0" borderId="152" xfId="0" applyFont="1" applyBorder="1" applyAlignment="1">
      <alignment horizontal="justify" vertical="top" wrapText="1"/>
    </xf>
    <xf numFmtId="2" fontId="45" fillId="0" borderId="153" xfId="0" applyNumberFormat="1" applyFont="1" applyBorder="1" applyAlignment="1">
      <alignment horizontal="center" vertical="top" wrapText="1"/>
    </xf>
    <xf numFmtId="2" fontId="45" fillId="0" borderId="152" xfId="0" applyNumberFormat="1" applyFont="1" applyBorder="1" applyAlignment="1">
      <alignment horizontal="center" vertical="top" wrapText="1"/>
    </xf>
    <xf numFmtId="0" fontId="46" fillId="0" borderId="94" xfId="0" applyFont="1" applyBorder="1" applyAlignment="1">
      <alignment horizontal="justify" vertical="top" wrapText="1"/>
    </xf>
    <xf numFmtId="2" fontId="46" fillId="0" borderId="154" xfId="0" applyNumberFormat="1" applyFont="1" applyBorder="1" applyAlignment="1">
      <alignment horizontal="center" vertical="top" wrapText="1"/>
    </xf>
    <xf numFmtId="2" fontId="46" fillId="0" borderId="94" xfId="0" applyNumberFormat="1" applyFont="1" applyBorder="1" applyAlignment="1">
      <alignment horizontal="center" vertical="top" wrapText="1"/>
    </xf>
    <xf numFmtId="0" fontId="45" fillId="0" borderId="157" xfId="57" applyFont="1" applyBorder="1" applyAlignment="1">
      <alignment horizontal="left"/>
    </xf>
    <xf numFmtId="0" fontId="45" fillId="0" borderId="160" xfId="57" applyFont="1" applyBorder="1" applyAlignment="1">
      <alignment horizontal="left"/>
    </xf>
    <xf numFmtId="0" fontId="46" fillId="0" borderId="103" xfId="57" applyFont="1" applyBorder="1" applyAlignment="1">
      <alignment horizontal="center" vertical="center" wrapText="1"/>
    </xf>
    <xf numFmtId="0" fontId="46" fillId="0" borderId="104" xfId="57" applyFont="1" applyBorder="1" applyAlignment="1">
      <alignment horizontal="center" vertical="center" wrapText="1"/>
    </xf>
    <xf numFmtId="0" fontId="46" fillId="0" borderId="105" xfId="57" applyFont="1" applyBorder="1" applyAlignment="1">
      <alignment horizontal="center" vertical="center" wrapText="1"/>
    </xf>
    <xf numFmtId="0" fontId="45" fillId="0" borderId="161" xfId="57" applyFont="1" applyBorder="1"/>
    <xf numFmtId="0" fontId="45" fillId="0" borderId="162" xfId="57" applyFont="1" applyBorder="1"/>
    <xf numFmtId="3" fontId="45" fillId="0" borderId="163" xfId="57" applyNumberFormat="1" applyFont="1" applyBorder="1" applyAlignment="1">
      <alignment horizontal="right"/>
    </xf>
    <xf numFmtId="3" fontId="45" fillId="0" borderId="164" xfId="57" applyNumberFormat="1" applyFont="1" applyBorder="1" applyAlignment="1">
      <alignment horizontal="right"/>
    </xf>
    <xf numFmtId="3" fontId="45" fillId="0" borderId="165" xfId="57" applyNumberFormat="1" applyFont="1" applyBorder="1" applyAlignment="1">
      <alignment horizontal="right"/>
    </xf>
    <xf numFmtId="3" fontId="45" fillId="0" borderId="156" xfId="57" applyNumberFormat="1" applyFont="1" applyBorder="1" applyAlignment="1">
      <alignment horizontal="right"/>
    </xf>
    <xf numFmtId="3" fontId="45" fillId="0" borderId="166" xfId="57" applyNumberFormat="1" applyFont="1" applyBorder="1" applyAlignment="1">
      <alignment horizontal="right"/>
    </xf>
    <xf numFmtId="3" fontId="45" fillId="0" borderId="167" xfId="57" applyNumberFormat="1" applyFont="1" applyBorder="1" applyAlignment="1">
      <alignment horizontal="right"/>
    </xf>
    <xf numFmtId="3" fontId="45" fillId="0" borderId="151" xfId="57" applyNumberFormat="1" applyFont="1" applyBorder="1" applyAlignment="1">
      <alignment horizontal="right"/>
    </xf>
    <xf numFmtId="3" fontId="45" fillId="0" borderId="168" xfId="57" applyNumberFormat="1" applyFont="1" applyBorder="1" applyAlignment="1">
      <alignment horizontal="right"/>
    </xf>
    <xf numFmtId="3" fontId="45" fillId="0" borderId="169" xfId="57" applyNumberFormat="1" applyFont="1" applyBorder="1" applyAlignment="1">
      <alignment horizontal="right"/>
    </xf>
    <xf numFmtId="3" fontId="46" fillId="0" borderId="156" xfId="57" applyNumberFormat="1" applyFont="1" applyBorder="1" applyAlignment="1">
      <alignment horizontal="right"/>
    </xf>
    <xf numFmtId="3" fontId="46" fillId="0" borderId="166" xfId="57" applyNumberFormat="1" applyFont="1" applyBorder="1" applyAlignment="1">
      <alignment horizontal="right"/>
    </xf>
    <xf numFmtId="3" fontId="46" fillId="0" borderId="167" xfId="57" applyNumberFormat="1" applyFont="1" applyBorder="1" applyAlignment="1">
      <alignment horizontal="right"/>
    </xf>
    <xf numFmtId="3" fontId="46" fillId="0" borderId="151" xfId="57" applyNumberFormat="1" applyFont="1" applyBorder="1" applyAlignment="1">
      <alignment horizontal="right"/>
    </xf>
    <xf numFmtId="3" fontId="46" fillId="0" borderId="168" xfId="57" applyNumberFormat="1" applyFont="1" applyBorder="1" applyAlignment="1">
      <alignment horizontal="right"/>
    </xf>
    <xf numFmtId="3" fontId="46" fillId="0" borderId="169" xfId="57" applyNumberFormat="1" applyFont="1" applyBorder="1" applyAlignment="1">
      <alignment horizontal="right"/>
    </xf>
    <xf numFmtId="0" fontId="85" fillId="0" borderId="170" xfId="0" applyFont="1" applyBorder="1" applyAlignment="1">
      <alignment vertical="center" wrapText="1"/>
    </xf>
    <xf numFmtId="3" fontId="85" fillId="0" borderId="171" xfId="0" applyNumberFormat="1" applyFont="1" applyBorder="1" applyAlignment="1">
      <alignment horizontal="right" vertical="center" wrapText="1"/>
    </xf>
    <xf numFmtId="3" fontId="85" fillId="0" borderId="172" xfId="0" applyNumberFormat="1" applyFont="1" applyBorder="1" applyAlignment="1">
      <alignment horizontal="right" vertical="center" wrapText="1"/>
    </xf>
    <xf numFmtId="0" fontId="86" fillId="0" borderId="170" xfId="0" applyFont="1" applyBorder="1" applyAlignment="1">
      <alignment vertical="center" wrapText="1"/>
    </xf>
    <xf numFmtId="3" fontId="86" fillId="0" borderId="171" xfId="0" applyNumberFormat="1" applyFont="1" applyBorder="1" applyAlignment="1">
      <alignment horizontal="right" vertical="center" wrapText="1"/>
    </xf>
    <xf numFmtId="0" fontId="85" fillId="0" borderId="173" xfId="0" applyFont="1" applyFill="1" applyBorder="1" applyAlignment="1">
      <alignment vertical="center" wrapText="1"/>
    </xf>
    <xf numFmtId="3" fontId="85" fillId="0" borderId="174" xfId="0" applyNumberFormat="1" applyFont="1" applyBorder="1" applyAlignment="1">
      <alignment vertical="center"/>
    </xf>
    <xf numFmtId="3" fontId="85" fillId="0" borderId="175" xfId="0" applyNumberFormat="1" applyFont="1" applyBorder="1" applyAlignment="1">
      <alignment horizontal="right" vertical="center" wrapText="1"/>
    </xf>
    <xf numFmtId="0" fontId="85" fillId="0" borderId="28" xfId="0" applyFont="1" applyBorder="1" applyAlignment="1">
      <alignment vertical="center" wrapText="1"/>
    </xf>
    <xf numFmtId="3" fontId="85" fillId="0" borderId="10" xfId="0" applyNumberFormat="1" applyFont="1" applyBorder="1" applyAlignment="1">
      <alignment horizontal="right" vertical="center" wrapText="1"/>
    </xf>
    <xf numFmtId="3" fontId="85" fillId="0" borderId="29" xfId="0" applyNumberFormat="1" applyFont="1" applyBorder="1" applyAlignment="1">
      <alignment horizontal="right" vertical="center" wrapText="1"/>
    </xf>
    <xf numFmtId="0" fontId="87" fillId="0" borderId="176" xfId="0" applyFont="1" applyBorder="1" applyAlignment="1">
      <alignment horizontal="left" vertical="center" wrapText="1"/>
    </xf>
    <xf numFmtId="0" fontId="87" fillId="0" borderId="177" xfId="0" applyFont="1" applyBorder="1" applyAlignment="1">
      <alignment horizontal="center" vertical="center" wrapText="1"/>
    </xf>
    <xf numFmtId="0" fontId="87" fillId="0" borderId="178" xfId="0" applyFont="1" applyBorder="1" applyAlignment="1">
      <alignment horizontal="center" vertical="center" wrapText="1"/>
    </xf>
    <xf numFmtId="0" fontId="44" fillId="0" borderId="171" xfId="44" applyFont="1" applyBorder="1" applyAlignment="1">
      <alignment horizontal="left" vertical="center" wrapText="1"/>
    </xf>
    <xf numFmtId="0" fontId="53" fillId="0" borderId="179" xfId="44" applyFont="1" applyBorder="1" applyAlignment="1">
      <alignment horizontal="left" vertical="center" wrapText="1"/>
    </xf>
    <xf numFmtId="3" fontId="53" fillId="0" borderId="171" xfId="44" applyNumberFormat="1" applyFont="1" applyBorder="1" applyAlignment="1">
      <alignment horizontal="right" vertical="center"/>
    </xf>
    <xf numFmtId="0" fontId="53" fillId="0" borderId="171" xfId="43" applyFont="1" applyFill="1" applyBorder="1" applyAlignment="1">
      <alignment wrapText="1"/>
    </xf>
    <xf numFmtId="3" fontId="53" fillId="0" borderId="180" xfId="43" applyNumberFormat="1" applyFont="1" applyFill="1" applyBorder="1"/>
    <xf numFmtId="3" fontId="53" fillId="0" borderId="181" xfId="43" applyNumberFormat="1" applyFont="1" applyFill="1" applyBorder="1"/>
    <xf numFmtId="3" fontId="53" fillId="0" borderId="180" xfId="44" applyNumberFormat="1" applyFont="1" applyBorder="1" applyAlignment="1">
      <alignment horizontal="right" vertical="center"/>
    </xf>
    <xf numFmtId="3" fontId="44" fillId="0" borderId="180" xfId="43" applyNumberFormat="1" applyFont="1" applyFill="1" applyBorder="1"/>
    <xf numFmtId="3" fontId="44" fillId="0" borderId="181" xfId="43" applyNumberFormat="1" applyFont="1" applyFill="1" applyBorder="1"/>
    <xf numFmtId="0" fontId="53" fillId="0" borderId="0" xfId="44" applyFont="1" applyBorder="1"/>
    <xf numFmtId="0" fontId="54" fillId="0" borderId="0" xfId="44" applyFont="1" applyBorder="1"/>
    <xf numFmtId="0" fontId="44" fillId="0" borderId="0" xfId="44" applyFont="1" applyBorder="1" applyAlignment="1">
      <alignment horizontal="left" vertical="center"/>
    </xf>
    <xf numFmtId="3" fontId="44" fillId="0" borderId="0" xfId="44" applyNumberFormat="1" applyFont="1" applyBorder="1" applyAlignment="1">
      <alignment horizontal="right" vertical="center"/>
    </xf>
    <xf numFmtId="3" fontId="53" fillId="0" borderId="186" xfId="43" applyNumberFormat="1" applyFont="1" applyFill="1" applyBorder="1"/>
    <xf numFmtId="0" fontId="53" fillId="0" borderId="182" xfId="44" applyFont="1" applyBorder="1" applyAlignment="1">
      <alignment horizontal="left" vertical="center" wrapText="1"/>
    </xf>
    <xf numFmtId="3" fontId="53" fillId="0" borderId="184" xfId="44" applyNumberFormat="1" applyFont="1" applyBorder="1" applyAlignment="1">
      <alignment horizontal="right" vertical="center"/>
    </xf>
    <xf numFmtId="0" fontId="53" fillId="0" borderId="183" xfId="43" applyFont="1" applyFill="1" applyBorder="1" applyAlignment="1">
      <alignment wrapText="1"/>
    </xf>
    <xf numFmtId="3" fontId="53" fillId="0" borderId="184" xfId="43" applyNumberFormat="1" applyFont="1" applyFill="1" applyBorder="1"/>
    <xf numFmtId="3" fontId="53" fillId="0" borderId="185" xfId="43" applyNumberFormat="1" applyFont="1" applyFill="1" applyBorder="1"/>
    <xf numFmtId="3" fontId="53" fillId="0" borderId="187" xfId="43" applyNumberFormat="1" applyFont="1" applyFill="1" applyBorder="1"/>
    <xf numFmtId="0" fontId="44" fillId="0" borderId="188" xfId="44" applyFont="1" applyBorder="1" applyAlignment="1">
      <alignment horizontal="left" vertical="center"/>
    </xf>
    <xf numFmtId="3" fontId="44" fillId="0" borderId="189" xfId="44" applyNumberFormat="1" applyFont="1" applyBorder="1" applyAlignment="1">
      <alignment horizontal="right" vertical="center"/>
    </xf>
    <xf numFmtId="0" fontId="44" fillId="0" borderId="189" xfId="44" applyFont="1" applyBorder="1" applyAlignment="1">
      <alignment horizontal="left" vertical="center"/>
    </xf>
    <xf numFmtId="3" fontId="44" fillId="0" borderId="190" xfId="44" applyNumberFormat="1" applyFont="1" applyBorder="1" applyAlignment="1">
      <alignment horizontal="right" vertical="center"/>
    </xf>
    <xf numFmtId="3" fontId="44" fillId="0" borderId="105" xfId="44" applyNumberFormat="1" applyFont="1" applyBorder="1" applyAlignment="1">
      <alignment horizontal="right" vertical="center"/>
    </xf>
    <xf numFmtId="0" fontId="44" fillId="0" borderId="191" xfId="44" applyFont="1" applyBorder="1" applyAlignment="1">
      <alignment horizontal="left" vertical="center"/>
    </xf>
    <xf numFmtId="3" fontId="44" fillId="0" borderId="10" xfId="44" applyNumberFormat="1" applyFont="1" applyBorder="1" applyAlignment="1">
      <alignment horizontal="right" vertical="center"/>
    </xf>
    <xf numFmtId="0" fontId="44" fillId="0" borderId="10" xfId="44" applyFont="1" applyBorder="1" applyAlignment="1">
      <alignment horizontal="left" vertical="center" wrapText="1"/>
    </xf>
    <xf numFmtId="3" fontId="44" fillId="0" borderId="14" xfId="44" applyNumberFormat="1" applyFont="1" applyBorder="1" applyAlignment="1">
      <alignment horizontal="right" vertical="center"/>
    </xf>
    <xf numFmtId="3" fontId="44" fillId="0" borderId="192" xfId="44" applyNumberFormat="1" applyFont="1" applyBorder="1" applyAlignment="1">
      <alignment horizontal="right" vertical="center"/>
    </xf>
    <xf numFmtId="0" fontId="44" fillId="0" borderId="193" xfId="44" applyFont="1" applyBorder="1" applyAlignment="1">
      <alignment horizontal="center" vertical="center"/>
    </xf>
    <xf numFmtId="0" fontId="44" fillId="0" borderId="194" xfId="44" applyFont="1" applyBorder="1" applyAlignment="1">
      <alignment horizontal="center" vertical="center" wrapText="1"/>
    </xf>
    <xf numFmtId="0" fontId="44" fillId="0" borderId="195" xfId="44" applyFont="1" applyBorder="1" applyAlignment="1">
      <alignment horizontal="center" vertical="center" wrapText="1"/>
    </xf>
    <xf numFmtId="0" fontId="44" fillId="0" borderId="195" xfId="44" applyFont="1" applyBorder="1" applyAlignment="1">
      <alignment horizontal="center" vertical="center"/>
    </xf>
    <xf numFmtId="0" fontId="44" fillId="0" borderId="196" xfId="44" applyFont="1" applyBorder="1" applyAlignment="1">
      <alignment horizontal="center" wrapText="1"/>
    </xf>
    <xf numFmtId="0" fontId="44" fillId="0" borderId="197" xfId="44" applyFont="1" applyBorder="1" applyAlignment="1">
      <alignment horizontal="center" vertical="center" wrapText="1"/>
    </xf>
    <xf numFmtId="0" fontId="44" fillId="0" borderId="198" xfId="44" applyFont="1" applyBorder="1" applyAlignment="1">
      <alignment horizontal="center" vertical="center" wrapText="1"/>
    </xf>
    <xf numFmtId="3" fontId="78" fillId="0" borderId="99" xfId="0" applyNumberFormat="1" applyFont="1" applyBorder="1"/>
    <xf numFmtId="3" fontId="77" fillId="0" borderId="200" xfId="0" applyNumberFormat="1" applyFont="1" applyBorder="1"/>
    <xf numFmtId="3" fontId="77" fillId="0" borderId="110" xfId="0" applyNumberFormat="1" applyFont="1" applyBorder="1"/>
    <xf numFmtId="0" fontId="44" fillId="0" borderId="200" xfId="44" applyFont="1" applyBorder="1" applyAlignment="1">
      <alignment horizontal="center" vertical="center" wrapText="1"/>
    </xf>
    <xf numFmtId="3" fontId="77" fillId="0" borderId="107" xfId="0" applyNumberFormat="1" applyFont="1" applyBorder="1" applyAlignment="1">
      <alignment horizontal="center" wrapText="1"/>
    </xf>
    <xf numFmtId="3" fontId="77" fillId="0" borderId="112" xfId="0" applyNumberFormat="1" applyFont="1" applyBorder="1" applyAlignment="1">
      <alignment wrapText="1"/>
    </xf>
    <xf numFmtId="3" fontId="84" fillId="0" borderId="164" xfId="0" applyNumberFormat="1" applyFont="1" applyBorder="1" applyAlignment="1">
      <alignment wrapText="1"/>
    </xf>
    <xf numFmtId="3" fontId="77" fillId="0" borderId="164" xfId="0" applyNumberFormat="1" applyFont="1" applyBorder="1" applyAlignment="1">
      <alignment wrapText="1"/>
    </xf>
    <xf numFmtId="3" fontId="78" fillId="0" borderId="164" xfId="0" applyNumberFormat="1" applyFont="1" applyBorder="1" applyAlignment="1">
      <alignment wrapText="1"/>
    </xf>
    <xf numFmtId="3" fontId="78" fillId="0" borderId="101" xfId="0" applyNumberFormat="1" applyFont="1" applyBorder="1" applyAlignment="1">
      <alignment wrapText="1"/>
    </xf>
    <xf numFmtId="3" fontId="77" fillId="0" borderId="107" xfId="0" applyNumberFormat="1" applyFont="1" applyBorder="1" applyAlignment="1">
      <alignment wrapText="1"/>
    </xf>
    <xf numFmtId="0" fontId="44" fillId="0" borderId="138" xfId="44" applyFont="1" applyBorder="1" applyAlignment="1">
      <alignment horizontal="center" vertical="center" wrapText="1"/>
    </xf>
    <xf numFmtId="3" fontId="77" fillId="0" borderId="139" xfId="0" applyNumberFormat="1" applyFont="1" applyBorder="1"/>
    <xf numFmtId="3" fontId="84" fillId="0" borderId="166" xfId="0" applyNumberFormat="1" applyFont="1" applyBorder="1"/>
    <xf numFmtId="3" fontId="77" fillId="0" borderId="166" xfId="0" applyNumberFormat="1" applyFont="1" applyBorder="1"/>
    <xf numFmtId="3" fontId="78" fillId="0" borderId="166" xfId="0" applyNumberFormat="1" applyFont="1" applyBorder="1"/>
    <xf numFmtId="3" fontId="78" fillId="31" borderId="166" xfId="0" applyNumberFormat="1" applyFont="1" applyFill="1" applyBorder="1"/>
    <xf numFmtId="3" fontId="78" fillId="26" borderId="166" xfId="0" applyNumberFormat="1" applyFont="1" applyFill="1" applyBorder="1"/>
    <xf numFmtId="3" fontId="78" fillId="30" borderId="166" xfId="0" applyNumberFormat="1" applyFont="1" applyFill="1" applyBorder="1"/>
    <xf numFmtId="3" fontId="78" fillId="0" borderId="140" xfId="0" applyNumberFormat="1" applyFont="1" applyBorder="1"/>
    <xf numFmtId="3" fontId="77" fillId="0" borderId="138" xfId="0" applyNumberFormat="1" applyFont="1" applyBorder="1"/>
    <xf numFmtId="3" fontId="77" fillId="0" borderId="94" xfId="0" applyNumberFormat="1" applyFont="1" applyBorder="1" applyAlignment="1">
      <alignment horizontal="center"/>
    </xf>
    <xf numFmtId="3" fontId="77" fillId="0" borderId="113" xfId="0" applyNumberFormat="1" applyFont="1" applyBorder="1"/>
    <xf numFmtId="3" fontId="84" fillId="0" borderId="122" xfId="0" applyNumberFormat="1" applyFont="1" applyBorder="1"/>
    <xf numFmtId="3" fontId="77" fillId="0" borderId="122" xfId="0" applyNumberFormat="1" applyFont="1" applyBorder="1"/>
    <xf numFmtId="3" fontId="78" fillId="0" borderId="122" xfId="0" applyNumberFormat="1" applyFont="1" applyBorder="1"/>
    <xf numFmtId="3" fontId="78" fillId="31" borderId="122" xfId="0" applyNumberFormat="1" applyFont="1" applyFill="1" applyBorder="1"/>
    <xf numFmtId="3" fontId="78" fillId="26" borderId="122" xfId="0" applyNumberFormat="1" applyFont="1" applyFill="1" applyBorder="1"/>
    <xf numFmtId="3" fontId="78" fillId="30" borderId="122" xfId="0" applyNumberFormat="1" applyFont="1" applyFill="1" applyBorder="1"/>
    <xf numFmtId="3" fontId="78" fillId="0" borderId="152" xfId="0" applyNumberFormat="1" applyFont="1" applyBorder="1"/>
    <xf numFmtId="3" fontId="77" fillId="0" borderId="94" xfId="0" applyNumberFormat="1" applyFont="1" applyBorder="1"/>
    <xf numFmtId="0" fontId="96" fillId="0" borderId="0" xfId="75" applyNumberFormat="1" applyFont="1" applyFill="1" applyBorder="1" applyAlignment="1" applyProtection="1"/>
    <xf numFmtId="0" fontId="87" fillId="0" borderId="0" xfId="75" applyNumberFormat="1" applyFont="1" applyFill="1" applyBorder="1" applyAlignment="1" applyProtection="1">
      <alignment wrapText="1"/>
    </xf>
    <xf numFmtId="0" fontId="95" fillId="0" borderId="0" xfId="75" applyNumberFormat="1" applyFont="1" applyFill="1" applyBorder="1" applyAlignment="1" applyProtection="1">
      <alignment horizontal="left" vertical="center" wrapText="1"/>
    </xf>
    <xf numFmtId="0" fontId="95" fillId="0" borderId="0" xfId="75" applyNumberFormat="1" applyFont="1" applyFill="1" applyBorder="1" applyAlignment="1" applyProtection="1">
      <alignment vertical="center" wrapText="1"/>
    </xf>
    <xf numFmtId="3" fontId="95" fillId="0" borderId="0" xfId="75" applyNumberFormat="1" applyFont="1" applyFill="1" applyBorder="1" applyAlignment="1" applyProtection="1"/>
    <xf numFmtId="0" fontId="95" fillId="0" borderId="0" xfId="75" applyNumberFormat="1" applyFont="1" applyFill="1" applyBorder="1" applyAlignment="1" applyProtection="1"/>
    <xf numFmtId="0" fontId="96" fillId="0" borderId="0" xfId="75" applyNumberFormat="1" applyFont="1" applyFill="1" applyBorder="1" applyAlignment="1" applyProtection="1">
      <alignment vertical="center"/>
    </xf>
    <xf numFmtId="0" fontId="97" fillId="0" borderId="0" xfId="75" applyNumberFormat="1" applyFont="1" applyFill="1" applyBorder="1" applyAlignment="1" applyProtection="1">
      <alignment vertical="center"/>
    </xf>
    <xf numFmtId="0" fontId="87" fillId="0" borderId="202" xfId="75" applyNumberFormat="1" applyFont="1" applyFill="1" applyBorder="1" applyAlignment="1" applyProtection="1">
      <alignment vertical="center"/>
    </xf>
    <xf numFmtId="0" fontId="87" fillId="0" borderId="205" xfId="75" applyNumberFormat="1" applyFont="1" applyFill="1" applyBorder="1" applyAlignment="1" applyProtection="1">
      <alignment horizontal="center" vertical="center" wrapText="1"/>
    </xf>
    <xf numFmtId="0" fontId="87" fillId="0" borderId="171" xfId="75" applyNumberFormat="1" applyFont="1" applyFill="1" applyBorder="1" applyAlignment="1" applyProtection="1">
      <alignment horizontal="center" vertical="center" wrapText="1"/>
    </xf>
    <xf numFmtId="0" fontId="95" fillId="0" borderId="171" xfId="75" applyNumberFormat="1" applyFont="1" applyFill="1" applyBorder="1" applyAlignment="1" applyProtection="1">
      <alignment vertical="center" wrapText="1"/>
    </xf>
    <xf numFmtId="3" fontId="95" fillId="0" borderId="171" xfId="75" applyNumberFormat="1" applyFont="1" applyFill="1" applyBorder="1" applyAlignment="1" applyProtection="1">
      <alignment vertical="center"/>
    </xf>
    <xf numFmtId="3" fontId="95" fillId="0" borderId="172" xfId="75" applyNumberFormat="1" applyFont="1" applyFill="1" applyBorder="1" applyAlignment="1" applyProtection="1">
      <alignment vertical="center"/>
    </xf>
    <xf numFmtId="0" fontId="95" fillId="0" borderId="171" xfId="75" applyNumberFormat="1" applyFont="1" applyFill="1" applyBorder="1" applyAlignment="1" applyProtection="1">
      <alignment horizontal="left" vertical="center" wrapText="1"/>
    </xf>
    <xf numFmtId="0" fontId="87" fillId="0" borderId="171" xfId="75" applyNumberFormat="1" applyFont="1" applyFill="1" applyBorder="1" applyAlignment="1" applyProtection="1">
      <alignment vertical="center" wrapText="1"/>
    </xf>
    <xf numFmtId="3" fontId="87" fillId="0" borderId="171" xfId="75" applyNumberFormat="1" applyFont="1" applyFill="1" applyBorder="1" applyAlignment="1" applyProtection="1">
      <alignment vertical="center"/>
    </xf>
    <xf numFmtId="3" fontId="87" fillId="0" borderId="172" xfId="75" applyNumberFormat="1" applyFont="1" applyFill="1" applyBorder="1" applyAlignment="1" applyProtection="1">
      <alignment vertical="center"/>
    </xf>
    <xf numFmtId="3" fontId="87" fillId="0" borderId="171" xfId="75" applyNumberFormat="1" applyFont="1" applyFill="1" applyBorder="1" applyAlignment="1" applyProtection="1">
      <alignment vertical="center" wrapText="1"/>
    </xf>
    <xf numFmtId="3" fontId="87" fillId="0" borderId="172" xfId="75" applyNumberFormat="1" applyFont="1" applyFill="1" applyBorder="1" applyAlignment="1" applyProtection="1">
      <alignment vertical="center" wrapText="1"/>
    </xf>
    <xf numFmtId="0" fontId="95" fillId="0" borderId="174" xfId="75" applyNumberFormat="1" applyFont="1" applyFill="1" applyBorder="1" applyAlignment="1" applyProtection="1">
      <alignment vertical="center" wrapText="1"/>
    </xf>
    <xf numFmtId="3" fontId="95" fillId="0" borderId="174" xfId="75" applyNumberFormat="1" applyFont="1" applyFill="1" applyBorder="1" applyAlignment="1" applyProtection="1">
      <alignment vertical="center"/>
    </xf>
    <xf numFmtId="3" fontId="95" fillId="0" borderId="175" xfId="75" applyNumberFormat="1" applyFont="1" applyFill="1" applyBorder="1" applyAlignment="1" applyProtection="1">
      <alignment vertical="center"/>
    </xf>
    <xf numFmtId="3" fontId="0" fillId="0" borderId="0" xfId="0" applyNumberFormat="1"/>
    <xf numFmtId="3" fontId="71" fillId="0" borderId="71" xfId="55" applyNumberFormat="1" applyFont="1" applyFill="1" applyBorder="1"/>
    <xf numFmtId="49" fontId="71" fillId="26" borderId="157" xfId="55" applyNumberFormat="1" applyFont="1" applyFill="1" applyBorder="1" applyAlignment="1">
      <alignment horizontal="left" vertical="center" wrapText="1"/>
    </xf>
    <xf numFmtId="49" fontId="38" fillId="26" borderId="157" xfId="55" applyNumberFormat="1" applyFont="1" applyFill="1" applyBorder="1" applyAlignment="1">
      <alignment horizontal="left" vertical="center" wrapText="1"/>
    </xf>
    <xf numFmtId="49" fontId="71" fillId="26" borderId="157" xfId="55" applyNumberFormat="1" applyFont="1" applyFill="1" applyBorder="1" applyAlignment="1">
      <alignment wrapText="1"/>
    </xf>
    <xf numFmtId="0" fontId="38" fillId="0" borderId="22" xfId="43" applyFont="1" applyFill="1" applyBorder="1" applyAlignment="1">
      <alignment wrapText="1"/>
    </xf>
    <xf numFmtId="3" fontId="38" fillId="0" borderId="22" xfId="43" applyNumberFormat="1" applyFont="1" applyFill="1" applyBorder="1"/>
    <xf numFmtId="3" fontId="38" fillId="0" borderId="0" xfId="43" applyNumberFormat="1" applyFont="1" applyFill="1" applyBorder="1"/>
    <xf numFmtId="0" fontId="45" fillId="0" borderId="0" xfId="0" applyFont="1" applyFill="1"/>
    <xf numFmtId="49" fontId="71" fillId="26" borderId="208" xfId="55" applyNumberFormat="1" applyFont="1" applyFill="1" applyBorder="1" applyAlignment="1">
      <alignment horizontal="left" vertical="center" wrapText="1"/>
    </xf>
    <xf numFmtId="0" fontId="81" fillId="29" borderId="164" xfId="64" applyFont="1" applyFill="1" applyBorder="1" applyAlignment="1">
      <alignment vertical="center" wrapText="1"/>
    </xf>
    <xf numFmtId="3" fontId="81" fillId="0" borderId="213" xfId="64" applyNumberFormat="1" applyFont="1" applyBorder="1" applyAlignment="1">
      <alignment vertical="center"/>
    </xf>
    <xf numFmtId="3" fontId="81" fillId="0" borderId="214" xfId="64" applyNumberFormat="1" applyFont="1" applyBorder="1" applyAlignment="1">
      <alignment vertical="center"/>
    </xf>
    <xf numFmtId="3" fontId="81" fillId="0" borderId="215" xfId="64" applyNumberFormat="1" applyFont="1" applyBorder="1" applyAlignment="1">
      <alignment vertical="center"/>
    </xf>
    <xf numFmtId="0" fontId="81" fillId="0" borderId="216" xfId="64" applyFont="1" applyBorder="1" applyAlignment="1">
      <alignment vertical="center" wrapText="1"/>
    </xf>
    <xf numFmtId="0" fontId="81" fillId="29" borderId="216" xfId="64" applyFont="1" applyFill="1" applyBorder="1" applyAlignment="1">
      <alignment vertical="center" wrapText="1"/>
    </xf>
    <xf numFmtId="0" fontId="35" fillId="29" borderId="216" xfId="64" applyFont="1" applyFill="1" applyBorder="1" applyAlignment="1">
      <alignment vertical="center" wrapText="1"/>
    </xf>
    <xf numFmtId="0" fontId="35" fillId="0" borderId="216" xfId="64" applyFont="1" applyBorder="1" applyAlignment="1">
      <alignment vertical="center" wrapText="1"/>
    </xf>
    <xf numFmtId="0" fontId="81" fillId="0" borderId="216" xfId="0" applyFont="1" applyBorder="1" applyAlignment="1">
      <alignment vertical="center" wrapText="1"/>
    </xf>
    <xf numFmtId="3" fontId="81" fillId="0" borderId="217" xfId="0" applyNumberFormat="1" applyFont="1" applyBorder="1" applyAlignment="1">
      <alignment vertical="center"/>
    </xf>
    <xf numFmtId="3" fontId="81" fillId="0" borderId="218" xfId="0" applyNumberFormat="1" applyFont="1" applyBorder="1" applyAlignment="1">
      <alignment vertical="center"/>
    </xf>
    <xf numFmtId="3" fontId="47" fillId="0" borderId="121" xfId="0" applyNumberFormat="1" applyFont="1" applyBorder="1" applyAlignment="1">
      <alignment vertical="center"/>
    </xf>
    <xf numFmtId="3" fontId="80" fillId="0" borderId="220" xfId="0" applyNumberFormat="1" applyFont="1" applyBorder="1" applyAlignment="1">
      <alignment horizontal="center" vertical="center"/>
    </xf>
    <xf numFmtId="3" fontId="80" fillId="0" borderId="221" xfId="0" applyNumberFormat="1" applyFont="1" applyBorder="1" applyAlignment="1">
      <alignment vertical="center"/>
    </xf>
    <xf numFmtId="3" fontId="80" fillId="0" borderId="217" xfId="0" applyNumberFormat="1" applyFont="1" applyBorder="1" applyAlignment="1">
      <alignment vertical="center"/>
    </xf>
    <xf numFmtId="3" fontId="82" fillId="0" borderId="217" xfId="0" applyNumberFormat="1" applyFont="1" applyBorder="1" applyAlignment="1">
      <alignment vertical="center"/>
    </xf>
    <xf numFmtId="3" fontId="0" fillId="0" borderId="217" xfId="0" applyNumberFormat="1" applyBorder="1" applyAlignment="1">
      <alignment vertical="center"/>
    </xf>
    <xf numFmtId="3" fontId="81" fillId="0" borderId="210" xfId="0" applyNumberFormat="1" applyFont="1" applyBorder="1" applyAlignment="1">
      <alignment vertical="center"/>
    </xf>
    <xf numFmtId="3" fontId="80" fillId="0" borderId="220" xfId="0" applyNumberFormat="1" applyFont="1" applyBorder="1" applyAlignment="1">
      <alignment vertical="center"/>
    </xf>
    <xf numFmtId="3" fontId="81" fillId="0" borderId="121" xfId="0" applyNumberFormat="1" applyFont="1" applyBorder="1" applyAlignment="1">
      <alignment vertical="center"/>
    </xf>
    <xf numFmtId="3" fontId="80" fillId="0" borderId="219" xfId="64" applyNumberFormat="1" applyFont="1" applyBorder="1" applyAlignment="1">
      <alignment horizontal="center" vertical="center"/>
    </xf>
    <xf numFmtId="3" fontId="80" fillId="0" borderId="222" xfId="0" applyNumberFormat="1" applyFont="1" applyBorder="1" applyAlignment="1">
      <alignment vertical="center"/>
    </xf>
    <xf numFmtId="3" fontId="80" fillId="0" borderId="218" xfId="0" applyNumberFormat="1" applyFont="1" applyBorder="1" applyAlignment="1">
      <alignment vertical="center"/>
    </xf>
    <xf numFmtId="3" fontId="82" fillId="0" borderId="218" xfId="0" applyNumberFormat="1" applyFont="1" applyBorder="1" applyAlignment="1">
      <alignment vertical="center"/>
    </xf>
    <xf numFmtId="3" fontId="81" fillId="0" borderId="152" xfId="0" applyNumberFormat="1" applyFont="1" applyBorder="1" applyAlignment="1">
      <alignment vertical="center"/>
    </xf>
    <xf numFmtId="3" fontId="80" fillId="0" borderId="219" xfId="0" applyNumberFormat="1" applyFont="1" applyBorder="1" applyAlignment="1">
      <alignment vertical="center"/>
    </xf>
    <xf numFmtId="0" fontId="80" fillId="0" borderId="223" xfId="0" applyFont="1" applyBorder="1" applyAlignment="1">
      <alignment vertical="center" wrapText="1"/>
    </xf>
    <xf numFmtId="0" fontId="80" fillId="0" borderId="224" xfId="0" applyFont="1" applyBorder="1" applyAlignment="1">
      <alignment vertical="center" wrapText="1"/>
    </xf>
    <xf numFmtId="0" fontId="80" fillId="0" borderId="216" xfId="0" applyFont="1" applyBorder="1" applyAlignment="1">
      <alignment vertical="center" wrapText="1"/>
    </xf>
    <xf numFmtId="0" fontId="82" fillId="0" borderId="216" xfId="0" applyFont="1" applyBorder="1" applyAlignment="1">
      <alignment vertical="center" wrapText="1"/>
    </xf>
    <xf numFmtId="0" fontId="37" fillId="0" borderId="216" xfId="0" applyFont="1" applyBorder="1" applyAlignment="1">
      <alignment vertical="center" wrapText="1"/>
    </xf>
    <xf numFmtId="0" fontId="38" fillId="0" borderId="216" xfId="0" applyFont="1" applyBorder="1" applyAlignment="1">
      <alignment vertical="center" wrapText="1"/>
    </xf>
    <xf numFmtId="0" fontId="81" fillId="0" borderId="217" xfId="0" applyFont="1" applyBorder="1" applyAlignment="1">
      <alignment vertical="center" wrapText="1"/>
    </xf>
    <xf numFmtId="0" fontId="81" fillId="0" borderId="212" xfId="0" applyFont="1" applyBorder="1" applyAlignment="1">
      <alignment vertical="center" wrapText="1"/>
    </xf>
    <xf numFmtId="3" fontId="0" fillId="0" borderId="225" xfId="0" applyNumberFormat="1" applyBorder="1" applyAlignment="1">
      <alignment vertical="center"/>
    </xf>
    <xf numFmtId="3" fontId="0" fillId="0" borderId="120" xfId="0" applyNumberFormat="1" applyBorder="1" applyAlignment="1">
      <alignment vertical="center"/>
    </xf>
    <xf numFmtId="3" fontId="0" fillId="0" borderId="121" xfId="0" applyNumberFormat="1" applyBorder="1" applyAlignment="1">
      <alignment vertical="center"/>
    </xf>
    <xf numFmtId="3" fontId="80" fillId="0" borderId="121" xfId="0" applyNumberFormat="1" applyFont="1" applyBorder="1" applyAlignment="1">
      <alignment vertical="center"/>
    </xf>
    <xf numFmtId="3" fontId="0" fillId="0" borderId="121" xfId="0" applyNumberFormat="1" applyFont="1" applyBorder="1" applyAlignment="1">
      <alignment vertical="center"/>
    </xf>
    <xf numFmtId="3" fontId="82" fillId="0" borderId="121" xfId="0" applyNumberFormat="1" applyFont="1" applyBorder="1" applyAlignment="1">
      <alignment vertical="center"/>
    </xf>
    <xf numFmtId="3" fontId="0" fillId="0" borderId="226" xfId="0" applyNumberFormat="1" applyFont="1" applyBorder="1" applyAlignment="1">
      <alignment vertical="center"/>
    </xf>
    <xf numFmtId="3" fontId="80" fillId="0" borderId="225" xfId="0" applyNumberFormat="1" applyFont="1" applyBorder="1" applyAlignment="1">
      <alignment vertical="center"/>
    </xf>
    <xf numFmtId="3" fontId="80" fillId="0" borderId="219" xfId="0" applyNumberFormat="1" applyFont="1" applyBorder="1" applyAlignment="1">
      <alignment horizontal="center" vertical="center"/>
    </xf>
    <xf numFmtId="0" fontId="81" fillId="0" borderId="218" xfId="0" applyFont="1" applyBorder="1" applyAlignment="1">
      <alignment vertical="center" wrapText="1"/>
    </xf>
    <xf numFmtId="3" fontId="41" fillId="0" borderId="227" xfId="0" applyNumberFormat="1" applyFont="1" applyBorder="1" applyAlignment="1">
      <alignment shrinkToFit="1"/>
    </xf>
    <xf numFmtId="3" fontId="40" fillId="0" borderId="227" xfId="0" applyNumberFormat="1" applyFont="1" applyBorder="1"/>
    <xf numFmtId="3" fontId="40" fillId="0" borderId="227" xfId="0" applyNumberFormat="1" applyFont="1" applyBorder="1" applyAlignment="1">
      <alignment horizontal="right" vertical="center" wrapText="1"/>
    </xf>
    <xf numFmtId="3" fontId="32" fillId="0" borderId="234" xfId="45" applyNumberFormat="1" applyFont="1" applyBorder="1"/>
    <xf numFmtId="3" fontId="32" fillId="0" borderId="235" xfId="45" applyNumberFormat="1" applyFont="1" applyBorder="1"/>
    <xf numFmtId="10" fontId="63" fillId="0" borderId="236" xfId="45" applyNumberFormat="1" applyFont="1" applyBorder="1" applyAlignment="1">
      <alignment wrapText="1"/>
    </xf>
    <xf numFmtId="0" fontId="101" fillId="0" borderId="0" xfId="56" applyFont="1"/>
    <xf numFmtId="0" fontId="33" fillId="0" borderId="0" xfId="58" applyFont="1" applyFill="1" applyBorder="1" applyAlignment="1">
      <alignment horizontal="center"/>
    </xf>
    <xf numFmtId="0" fontId="90" fillId="0" borderId="0" xfId="58" applyFont="1" applyFill="1" applyBorder="1"/>
    <xf numFmtId="3" fontId="91" fillId="0" borderId="0" xfId="58" applyNumberFormat="1" applyFont="1" applyFill="1" applyBorder="1" applyAlignment="1">
      <alignment horizontal="right"/>
    </xf>
    <xf numFmtId="3" fontId="90" fillId="0" borderId="0" xfId="58" applyNumberFormat="1" applyFont="1" applyFill="1" applyBorder="1"/>
    <xf numFmtId="3" fontId="92" fillId="0" borderId="0" xfId="58" applyNumberFormat="1" applyFont="1" applyFill="1" applyBorder="1" applyAlignment="1">
      <alignment horizontal="right"/>
    </xf>
    <xf numFmtId="3" fontId="89" fillId="0" borderId="0" xfId="58" applyNumberFormat="1" applyFont="1" applyFill="1" applyBorder="1" applyAlignment="1">
      <alignment horizontal="right"/>
    </xf>
    <xf numFmtId="3" fontId="69" fillId="0" borderId="0" xfId="58" applyNumberFormat="1" applyFont="1" applyFill="1" applyBorder="1" applyAlignment="1">
      <alignment horizontal="right"/>
    </xf>
    <xf numFmtId="3" fontId="69" fillId="0" borderId="0" xfId="58" applyNumberFormat="1" applyFont="1" applyFill="1" applyBorder="1"/>
    <xf numFmtId="0" fontId="53" fillId="0" borderId="0" xfId="58" applyFont="1" applyFill="1" applyBorder="1" applyAlignment="1"/>
    <xf numFmtId="0" fontId="0" fillId="0" borderId="0" xfId="0" applyBorder="1" applyAlignment="1"/>
    <xf numFmtId="3" fontId="69" fillId="0" borderId="0" xfId="58" applyNumberFormat="1" applyFont="1" applyFill="1" applyBorder="1" applyAlignment="1">
      <alignment horizontal="center" vertical="center"/>
    </xf>
    <xf numFmtId="3" fontId="37" fillId="0" borderId="237" xfId="43" applyNumberFormat="1" applyFont="1" applyFill="1" applyBorder="1"/>
    <xf numFmtId="3" fontId="37" fillId="0" borderId="261" xfId="43" applyNumberFormat="1" applyFont="1" applyFill="1" applyBorder="1"/>
    <xf numFmtId="3" fontId="37" fillId="0" borderId="233" xfId="43" applyNumberFormat="1" applyFont="1" applyFill="1" applyBorder="1"/>
    <xf numFmtId="0" fontId="56" fillId="0" borderId="232" xfId="43" applyFont="1" applyFill="1" applyBorder="1" applyAlignment="1">
      <alignment wrapText="1"/>
    </xf>
    <xf numFmtId="3" fontId="38" fillId="0" borderId="254" xfId="43" applyNumberFormat="1" applyFont="1" applyFill="1" applyBorder="1"/>
    <xf numFmtId="0" fontId="38" fillId="0" borderId="255" xfId="43" applyFont="1" applyFill="1" applyBorder="1" applyAlignment="1">
      <alignment wrapText="1"/>
    </xf>
    <xf numFmtId="3" fontId="38" fillId="26" borderId="133" xfId="43" applyNumberFormat="1" applyFont="1" applyFill="1" applyBorder="1"/>
    <xf numFmtId="3" fontId="37" fillId="0" borderId="254" xfId="43" applyNumberFormat="1" applyFont="1" applyFill="1" applyBorder="1"/>
    <xf numFmtId="0" fontId="37" fillId="0" borderId="255" xfId="43" applyFont="1" applyFill="1" applyBorder="1" applyAlignment="1">
      <alignment wrapText="1"/>
    </xf>
    <xf numFmtId="0" fontId="75" fillId="0" borderId="255" xfId="43" applyFont="1" applyFill="1" applyBorder="1" applyAlignment="1">
      <alignment wrapText="1"/>
    </xf>
    <xf numFmtId="49" fontId="71" fillId="26" borderId="255" xfId="55" applyNumberFormat="1" applyFont="1" applyFill="1" applyBorder="1" applyAlignment="1">
      <alignment horizontal="left" vertical="center" wrapText="1"/>
    </xf>
    <xf numFmtId="3" fontId="38" fillId="0" borderId="254" xfId="55" applyNumberFormat="1" applyFont="1" applyBorder="1"/>
    <xf numFmtId="3" fontId="38" fillId="26" borderId="254" xfId="55" applyNumberFormat="1" applyFont="1" applyFill="1" applyBorder="1"/>
    <xf numFmtId="49" fontId="71" fillId="26" borderId="255" xfId="55" applyNumberFormat="1" applyFont="1" applyFill="1" applyBorder="1" applyAlignment="1">
      <alignment wrapText="1"/>
    </xf>
    <xf numFmtId="49" fontId="38" fillId="26" borderId="255" xfId="55" applyNumberFormat="1" applyFont="1" applyFill="1" applyBorder="1" applyAlignment="1">
      <alignment horizontal="left" vertical="center" wrapText="1"/>
    </xf>
    <xf numFmtId="3" fontId="98" fillId="26" borderId="254" xfId="55" applyNumberFormat="1" applyFont="1" applyFill="1" applyBorder="1"/>
    <xf numFmtId="0" fontId="37" fillId="0" borderId="231" xfId="43" applyNumberFormat="1" applyFont="1" applyFill="1" applyBorder="1" applyAlignment="1">
      <alignment horizontal="center" wrapText="1"/>
    </xf>
    <xf numFmtId="0" fontId="37" fillId="0" borderId="230" xfId="43" applyNumberFormat="1" applyFont="1" applyFill="1" applyBorder="1" applyAlignment="1">
      <alignment horizontal="center" wrapText="1"/>
    </xf>
    <xf numFmtId="0" fontId="37" fillId="0" borderId="262" xfId="43" applyNumberFormat="1" applyFont="1" applyFill="1" applyBorder="1" applyAlignment="1">
      <alignment horizontal="center" wrapText="1"/>
    </xf>
    <xf numFmtId="3" fontId="37" fillId="0" borderId="230" xfId="43" applyNumberFormat="1" applyFont="1" applyFill="1" applyBorder="1" applyAlignment="1">
      <alignment horizontal="center" wrapText="1"/>
    </xf>
    <xf numFmtId="0" fontId="37" fillId="0" borderId="201" xfId="43" applyFont="1" applyFill="1" applyBorder="1" applyAlignment="1">
      <alignment wrapText="1"/>
    </xf>
    <xf numFmtId="0" fontId="46" fillId="0" borderId="104" xfId="57" applyFont="1" applyBorder="1" applyAlignment="1">
      <alignment horizontal="center" vertical="center" wrapText="1"/>
    </xf>
    <xf numFmtId="3" fontId="33" fillId="0" borderId="263" xfId="0" applyNumberFormat="1" applyFont="1" applyBorder="1" applyAlignment="1">
      <alignment wrapText="1"/>
    </xf>
    <xf numFmtId="3" fontId="45" fillId="0" borderId="264" xfId="57" applyNumberFormat="1" applyFont="1" applyBorder="1" applyAlignment="1">
      <alignment horizontal="right"/>
    </xf>
    <xf numFmtId="3" fontId="45" fillId="0" borderId="265" xfId="57" applyNumberFormat="1" applyFont="1" applyBorder="1" applyAlignment="1">
      <alignment horizontal="right"/>
    </xf>
    <xf numFmtId="0" fontId="38" fillId="26" borderId="0" xfId="58" applyFont="1" applyFill="1"/>
    <xf numFmtId="3" fontId="37" fillId="26" borderId="0" xfId="58" applyNumberFormat="1" applyFont="1" applyFill="1" applyBorder="1"/>
    <xf numFmtId="49" fontId="38" fillId="26" borderId="0" xfId="58" applyNumberFormat="1" applyFont="1" applyFill="1"/>
    <xf numFmtId="3" fontId="37" fillId="26" borderId="0" xfId="58" applyNumberFormat="1" applyFont="1" applyFill="1" applyAlignment="1">
      <alignment horizontal="center"/>
    </xf>
    <xf numFmtId="3" fontId="37" fillId="26" borderId="0" xfId="58" applyNumberFormat="1" applyFont="1" applyFill="1"/>
    <xf numFmtId="3" fontId="38" fillId="26" borderId="0" xfId="58" applyNumberFormat="1" applyFont="1" applyFill="1"/>
    <xf numFmtId="0" fontId="38" fillId="26" borderId="0" xfId="58" applyFont="1" applyFill="1" applyBorder="1"/>
    <xf numFmtId="49" fontId="38" fillId="26" borderId="0" xfId="58" applyNumberFormat="1" applyFont="1" applyFill="1" applyBorder="1"/>
    <xf numFmtId="3" fontId="37" fillId="26" borderId="0" xfId="58" applyNumberFormat="1" applyFont="1" applyFill="1" applyBorder="1" applyAlignment="1">
      <alignment horizontal="center"/>
    </xf>
    <xf numFmtId="3" fontId="38" fillId="26" borderId="0" xfId="58" applyNumberFormat="1" applyFont="1" applyFill="1" applyBorder="1"/>
    <xf numFmtId="0" fontId="38" fillId="26" borderId="0" xfId="58" applyFont="1" applyFill="1" applyAlignment="1">
      <alignment horizontal="right"/>
    </xf>
    <xf numFmtId="0" fontId="38" fillId="26" borderId="0" xfId="58" applyFont="1" applyFill="1" applyBorder="1" applyAlignment="1">
      <alignment horizontal="right"/>
    </xf>
    <xf numFmtId="3" fontId="38" fillId="26" borderId="268" xfId="43" applyNumberFormat="1" applyFont="1" applyFill="1" applyBorder="1"/>
    <xf numFmtId="0" fontId="38" fillId="26" borderId="70" xfId="43" applyFont="1" applyFill="1" applyBorder="1" applyAlignment="1">
      <alignment wrapText="1"/>
    </xf>
    <xf numFmtId="3" fontId="38" fillId="26" borderId="78" xfId="43" applyNumberFormat="1" applyFont="1" applyFill="1" applyBorder="1"/>
    <xf numFmtId="3" fontId="38" fillId="26" borderId="71" xfId="43" applyNumberFormat="1" applyFont="1" applyFill="1" applyBorder="1"/>
    <xf numFmtId="3" fontId="38" fillId="26" borderId="95" xfId="43" applyNumberFormat="1" applyFont="1" applyFill="1" applyBorder="1"/>
    <xf numFmtId="3" fontId="38" fillId="26" borderId="158" xfId="43" applyNumberFormat="1" applyFont="1" applyFill="1" applyBorder="1"/>
    <xf numFmtId="3" fontId="38" fillId="26" borderId="159" xfId="43" applyNumberFormat="1" applyFont="1" applyFill="1" applyBorder="1"/>
    <xf numFmtId="3" fontId="38" fillId="26" borderId="161" xfId="43" applyNumberFormat="1" applyFont="1" applyFill="1" applyBorder="1"/>
    <xf numFmtId="3" fontId="38" fillId="26" borderId="164" xfId="43" applyNumberFormat="1" applyFont="1" applyFill="1" applyBorder="1"/>
    <xf numFmtId="3" fontId="38" fillId="26" borderId="168" xfId="43" applyNumberFormat="1" applyFont="1" applyFill="1" applyBorder="1"/>
    <xf numFmtId="0" fontId="38" fillId="26" borderId="157" xfId="43" applyFont="1" applyFill="1" applyBorder="1" applyAlignment="1">
      <alignment wrapText="1"/>
    </xf>
    <xf numFmtId="0" fontId="73" fillId="26" borderId="157" xfId="43" applyFont="1" applyFill="1" applyBorder="1" applyAlignment="1">
      <alignment wrapText="1"/>
    </xf>
    <xf numFmtId="0" fontId="73" fillId="26" borderId="213" xfId="43" applyFont="1" applyFill="1" applyBorder="1" applyAlignment="1">
      <alignment wrapText="1"/>
    </xf>
    <xf numFmtId="3" fontId="38" fillId="26" borderId="214" xfId="43" applyNumberFormat="1" applyFont="1" applyFill="1" applyBorder="1"/>
    <xf numFmtId="3" fontId="38" fillId="26" borderId="215" xfId="43" applyNumberFormat="1" applyFont="1" applyFill="1" applyBorder="1"/>
    <xf numFmtId="3" fontId="38" fillId="26" borderId="217" xfId="43" applyNumberFormat="1" applyFont="1" applyFill="1" applyBorder="1"/>
    <xf numFmtId="3" fontId="38" fillId="26" borderId="216" xfId="43" applyNumberFormat="1" applyFont="1" applyFill="1" applyBorder="1"/>
    <xf numFmtId="3" fontId="38" fillId="26" borderId="218" xfId="43" applyNumberFormat="1" applyFont="1" applyFill="1" applyBorder="1"/>
    <xf numFmtId="0" fontId="37" fillId="26" borderId="70" xfId="43" applyFont="1" applyFill="1" applyBorder="1" applyAlignment="1">
      <alignment wrapText="1"/>
    </xf>
    <xf numFmtId="3" fontId="37" fillId="26" borderId="78" xfId="43" applyNumberFormat="1" applyFont="1" applyFill="1" applyBorder="1"/>
    <xf numFmtId="3" fontId="37" fillId="26" borderId="71" xfId="43" applyNumberFormat="1" applyFont="1" applyFill="1" applyBorder="1"/>
    <xf numFmtId="3" fontId="37" fillId="26" borderId="77" xfId="43" applyNumberFormat="1" applyFont="1" applyFill="1" applyBorder="1"/>
    <xf numFmtId="3" fontId="37" fillId="26" borderId="70" xfId="43" applyNumberFormat="1" applyFont="1" applyFill="1" applyBorder="1"/>
    <xf numFmtId="3" fontId="37" fillId="26" borderId="96" xfId="43" applyNumberFormat="1" applyFont="1" applyFill="1" applyBorder="1"/>
    <xf numFmtId="49" fontId="38" fillId="26" borderId="70" xfId="43" applyNumberFormat="1" applyFont="1" applyFill="1" applyBorder="1" applyAlignment="1">
      <alignment wrapText="1"/>
    </xf>
    <xf numFmtId="3" fontId="73" fillId="26" borderId="78" xfId="43" applyNumberFormat="1" applyFont="1" applyFill="1" applyBorder="1"/>
    <xf numFmtId="3" fontId="73" fillId="26" borderId="71" xfId="43" applyNumberFormat="1" applyFont="1" applyFill="1" applyBorder="1"/>
    <xf numFmtId="3" fontId="73" fillId="26" borderId="77" xfId="43" applyNumberFormat="1" applyFont="1" applyFill="1" applyBorder="1"/>
    <xf numFmtId="3" fontId="73" fillId="26" borderId="95" xfId="43" applyNumberFormat="1" applyFont="1" applyFill="1" applyBorder="1"/>
    <xf numFmtId="3" fontId="73" fillId="26" borderId="96" xfId="43" applyNumberFormat="1" applyFont="1" applyFill="1" applyBorder="1"/>
    <xf numFmtId="3" fontId="73" fillId="26" borderId="209" xfId="43" applyNumberFormat="1" applyFont="1" applyFill="1" applyBorder="1"/>
    <xf numFmtId="3" fontId="73" fillId="26" borderId="211" xfId="43" applyNumberFormat="1" applyFont="1" applyFill="1" applyBorder="1"/>
    <xf numFmtId="3" fontId="73" fillId="26" borderId="210" xfId="43" applyNumberFormat="1" applyFont="1" applyFill="1" applyBorder="1"/>
    <xf numFmtId="3" fontId="73" fillId="26" borderId="212" xfId="43" applyNumberFormat="1" applyFont="1" applyFill="1" applyBorder="1"/>
    <xf numFmtId="3" fontId="73" fillId="26" borderId="152" xfId="43" applyNumberFormat="1" applyFont="1" applyFill="1" applyBorder="1"/>
    <xf numFmtId="0" fontId="38" fillId="26" borderId="97" xfId="43" applyFont="1" applyFill="1" applyBorder="1" applyAlignment="1">
      <alignment wrapText="1"/>
    </xf>
    <xf numFmtId="3" fontId="73" fillId="26" borderId="98" xfId="43" applyNumberFormat="1" applyFont="1" applyFill="1" applyBorder="1"/>
    <xf numFmtId="3" fontId="73" fillId="26" borderId="99" xfId="43" applyNumberFormat="1" applyFont="1" applyFill="1" applyBorder="1"/>
    <xf numFmtId="3" fontId="73" fillId="26" borderId="100" xfId="43" applyNumberFormat="1" applyFont="1" applyFill="1" applyBorder="1"/>
    <xf numFmtId="3" fontId="73" fillId="26" borderId="101" xfId="43" applyNumberFormat="1" applyFont="1" applyFill="1" applyBorder="1"/>
    <xf numFmtId="3" fontId="73" fillId="26" borderId="102" xfId="43" applyNumberFormat="1" applyFont="1" applyFill="1" applyBorder="1"/>
    <xf numFmtId="0" fontId="37" fillId="26" borderId="103" xfId="43" applyFont="1" applyFill="1" applyBorder="1" applyAlignment="1">
      <alignment wrapText="1"/>
    </xf>
    <xf numFmtId="3" fontId="74" fillId="26" borderId="104" xfId="43" applyNumberFormat="1" applyFont="1" applyFill="1" applyBorder="1"/>
    <xf numFmtId="3" fontId="74" fillId="26" borderId="105" xfId="43" applyNumberFormat="1" applyFont="1" applyFill="1" applyBorder="1"/>
    <xf numFmtId="3" fontId="74" fillId="26" borderId="106" xfId="43" applyNumberFormat="1" applyFont="1" applyFill="1" applyBorder="1"/>
    <xf numFmtId="3" fontId="74" fillId="26" borderId="107" xfId="43" applyNumberFormat="1" applyFont="1" applyFill="1" applyBorder="1"/>
    <xf numFmtId="3" fontId="74" fillId="26" borderId="94" xfId="43" applyNumberFormat="1" applyFont="1" applyFill="1" applyBorder="1"/>
    <xf numFmtId="0" fontId="37" fillId="26" borderId="108" xfId="43" applyFont="1" applyFill="1" applyBorder="1" applyAlignment="1">
      <alignment wrapText="1"/>
    </xf>
    <xf numFmtId="3" fontId="74" fillId="26" borderId="109" xfId="43" applyNumberFormat="1" applyFont="1" applyFill="1" applyBorder="1"/>
    <xf numFmtId="3" fontId="74" fillId="26" borderId="110" xfId="43" applyNumberFormat="1" applyFont="1" applyFill="1" applyBorder="1"/>
    <xf numFmtId="3" fontId="74" fillId="26" borderId="111" xfId="43" applyNumberFormat="1" applyFont="1" applyFill="1" applyBorder="1"/>
    <xf numFmtId="3" fontId="74" fillId="26" borderId="112" xfId="43" applyNumberFormat="1" applyFont="1" applyFill="1" applyBorder="1"/>
    <xf numFmtId="3" fontId="74" fillId="26" borderId="113" xfId="43" applyNumberFormat="1" applyFont="1" applyFill="1" applyBorder="1"/>
    <xf numFmtId="0" fontId="75" fillId="26" borderId="70" xfId="43" applyFont="1" applyFill="1" applyBorder="1" applyAlignment="1">
      <alignment wrapText="1"/>
    </xf>
    <xf numFmtId="3" fontId="76" fillId="26" borderId="78" xfId="43" applyNumberFormat="1" applyFont="1" applyFill="1" applyBorder="1"/>
    <xf numFmtId="3" fontId="76" fillId="26" borderId="71" xfId="43" applyNumberFormat="1" applyFont="1" applyFill="1" applyBorder="1"/>
    <xf numFmtId="3" fontId="76" fillId="26" borderId="77" xfId="43" applyNumberFormat="1" applyFont="1" applyFill="1" applyBorder="1"/>
    <xf numFmtId="3" fontId="76" fillId="26" borderId="95" xfId="43" applyNumberFormat="1" applyFont="1" applyFill="1" applyBorder="1"/>
    <xf numFmtId="3" fontId="76" fillId="26" borderId="96" xfId="43" applyNumberFormat="1" applyFont="1" applyFill="1" applyBorder="1"/>
    <xf numFmtId="3" fontId="75" fillId="26" borderId="78" xfId="43" applyNumberFormat="1" applyFont="1" applyFill="1" applyBorder="1"/>
    <xf numFmtId="3" fontId="75" fillId="26" borderId="71" xfId="43" applyNumberFormat="1" applyFont="1" applyFill="1" applyBorder="1"/>
    <xf numFmtId="3" fontId="75" fillId="26" borderId="77" xfId="43" applyNumberFormat="1" applyFont="1" applyFill="1" applyBorder="1"/>
    <xf numFmtId="3" fontId="75" fillId="26" borderId="95" xfId="43" applyNumberFormat="1" applyFont="1" applyFill="1" applyBorder="1"/>
    <xf numFmtId="3" fontId="75" fillId="26" borderId="96" xfId="43" applyNumberFormat="1" applyFont="1" applyFill="1" applyBorder="1"/>
    <xf numFmtId="3" fontId="38" fillId="26" borderId="98" xfId="43" applyNumberFormat="1" applyFont="1" applyFill="1" applyBorder="1"/>
    <xf numFmtId="3" fontId="38" fillId="26" borderId="99" xfId="43" applyNumberFormat="1" applyFont="1" applyFill="1" applyBorder="1"/>
    <xf numFmtId="3" fontId="38" fillId="26" borderId="100" xfId="43" applyNumberFormat="1" applyFont="1" applyFill="1" applyBorder="1"/>
    <xf numFmtId="3" fontId="38" fillId="26" borderId="101" xfId="43" applyNumberFormat="1" applyFont="1" applyFill="1" applyBorder="1"/>
    <xf numFmtId="3" fontId="38" fillId="26" borderId="102" xfId="43" applyNumberFormat="1" applyFont="1" applyFill="1" applyBorder="1"/>
    <xf numFmtId="3" fontId="37" fillId="26" borderId="104" xfId="43" applyNumberFormat="1" applyFont="1" applyFill="1" applyBorder="1"/>
    <xf numFmtId="3" fontId="37" fillId="26" borderId="105" xfId="43" applyNumberFormat="1" applyFont="1" applyFill="1" applyBorder="1"/>
    <xf numFmtId="3" fontId="37" fillId="26" borderId="106" xfId="43" applyNumberFormat="1" applyFont="1" applyFill="1" applyBorder="1"/>
    <xf numFmtId="3" fontId="37" fillId="26" borderId="103" xfId="43" applyNumberFormat="1" applyFont="1" applyFill="1" applyBorder="1"/>
    <xf numFmtId="3" fontId="37" fillId="26" borderId="94" xfId="43" applyNumberFormat="1" applyFont="1" applyFill="1" applyBorder="1"/>
    <xf numFmtId="0" fontId="38" fillId="26" borderId="108" xfId="43" applyFont="1" applyFill="1" applyBorder="1" applyAlignment="1">
      <alignment wrapText="1"/>
    </xf>
    <xf numFmtId="3" fontId="38" fillId="26" borderId="109" xfId="43" applyNumberFormat="1" applyFont="1" applyFill="1" applyBorder="1"/>
    <xf numFmtId="3" fontId="38" fillId="26" borderId="110" xfId="43" applyNumberFormat="1" applyFont="1" applyFill="1" applyBorder="1"/>
    <xf numFmtId="3" fontId="38" fillId="26" borderId="112" xfId="43" applyNumberFormat="1" applyFont="1" applyFill="1" applyBorder="1"/>
    <xf numFmtId="0" fontId="46" fillId="0" borderId="270" xfId="57" applyFont="1" applyBorder="1" applyAlignment="1">
      <alignment horizontal="center" vertical="center" wrapText="1"/>
    </xf>
    <xf numFmtId="3" fontId="45" fillId="0" borderId="269" xfId="57" applyNumberFormat="1" applyFont="1" applyBorder="1" applyAlignment="1">
      <alignment horizontal="right"/>
    </xf>
    <xf numFmtId="0" fontId="81" fillId="0" borderId="271" xfId="64" applyFont="1" applyBorder="1" applyAlignment="1">
      <alignment vertical="center" wrapText="1"/>
    </xf>
    <xf numFmtId="3" fontId="81" fillId="0" borderId="272" xfId="64" applyNumberFormat="1" applyFont="1" applyBorder="1" applyAlignment="1">
      <alignment vertical="center"/>
    </xf>
    <xf numFmtId="3" fontId="81" fillId="0" borderId="273" xfId="64" applyNumberFormat="1" applyFont="1" applyBorder="1" applyAlignment="1">
      <alignment vertical="center"/>
    </xf>
    <xf numFmtId="3" fontId="81" fillId="0" borderId="268" xfId="64" applyNumberFormat="1" applyFont="1" applyBorder="1" applyAlignment="1">
      <alignment vertical="center"/>
    </xf>
    <xf numFmtId="3" fontId="34" fillId="0" borderId="13" xfId="45" applyNumberFormat="1" applyFont="1" applyBorder="1"/>
    <xf numFmtId="3" fontId="34" fillId="0" borderId="61" xfId="45" applyNumberFormat="1" applyFont="1" applyBorder="1"/>
    <xf numFmtId="10" fontId="31" fillId="0" borderId="93" xfId="0" applyNumberFormat="1" applyFont="1" applyBorder="1"/>
    <xf numFmtId="3" fontId="63" fillId="0" borderId="274" xfId="45" applyNumberFormat="1" applyFont="1" applyBorder="1"/>
    <xf numFmtId="3" fontId="34" fillId="0" borderId="275" xfId="45" applyNumberFormat="1" applyFont="1" applyBorder="1"/>
    <xf numFmtId="0" fontId="63" fillId="0" borderId="274" xfId="45" applyFont="1" applyBorder="1" applyAlignment="1">
      <alignment wrapText="1"/>
    </xf>
    <xf numFmtId="0" fontId="63" fillId="0" borderId="275" xfId="45" applyFont="1" applyBorder="1" applyAlignment="1">
      <alignment wrapText="1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/>
    </xf>
    <xf numFmtId="3" fontId="37" fillId="0" borderId="276" xfId="43" applyNumberFormat="1" applyFont="1" applyFill="1" applyBorder="1"/>
    <xf numFmtId="0" fontId="71" fillId="0" borderId="277" xfId="55" applyFont="1" applyBorder="1"/>
    <xf numFmtId="0" fontId="71" fillId="0" borderId="278" xfId="55" applyFont="1" applyBorder="1"/>
    <xf numFmtId="0" fontId="71" fillId="0" borderId="279" xfId="55" applyFont="1" applyBorder="1"/>
    <xf numFmtId="0" fontId="71" fillId="0" borderId="280" xfId="55" applyFont="1" applyBorder="1"/>
    <xf numFmtId="3" fontId="38" fillId="0" borderId="280" xfId="43" applyNumberFormat="1" applyFont="1" applyFill="1" applyBorder="1"/>
    <xf numFmtId="0" fontId="38" fillId="0" borderId="255" xfId="43" applyFont="1" applyFill="1" applyBorder="1"/>
    <xf numFmtId="0" fontId="0" fillId="0" borderId="278" xfId="0" applyBorder="1"/>
    <xf numFmtId="3" fontId="71" fillId="0" borderId="277" xfId="55" applyNumberFormat="1" applyFont="1" applyBorder="1"/>
    <xf numFmtId="3" fontId="71" fillId="0" borderId="278" xfId="55" applyNumberFormat="1" applyFont="1" applyBorder="1"/>
    <xf numFmtId="3" fontId="71" fillId="0" borderId="279" xfId="55" applyNumberFormat="1" applyFont="1" applyBorder="1"/>
    <xf numFmtId="3" fontId="71" fillId="0" borderId="280" xfId="55" applyNumberFormat="1" applyFont="1" applyBorder="1"/>
    <xf numFmtId="3" fontId="37" fillId="0" borderId="278" xfId="43" applyNumberFormat="1" applyFont="1" applyFill="1" applyBorder="1"/>
    <xf numFmtId="3" fontId="37" fillId="0" borderId="277" xfId="43" applyNumberFormat="1" applyFont="1" applyFill="1" applyBorder="1"/>
    <xf numFmtId="3" fontId="37" fillId="0" borderId="279" xfId="43" applyNumberFormat="1" applyFont="1" applyFill="1" applyBorder="1"/>
    <xf numFmtId="3" fontId="37" fillId="0" borderId="280" xfId="43" applyNumberFormat="1" applyFont="1" applyFill="1" applyBorder="1"/>
    <xf numFmtId="0" fontId="73" fillId="0" borderId="280" xfId="55" applyFont="1" applyBorder="1"/>
    <xf numFmtId="0" fontId="73" fillId="0" borderId="255" xfId="55" applyFont="1" applyBorder="1"/>
    <xf numFmtId="3" fontId="76" fillId="0" borderId="280" xfId="43" applyNumberFormat="1" applyFont="1" applyFill="1" applyBorder="1"/>
    <xf numFmtId="3" fontId="73" fillId="0" borderId="280" xfId="43" applyNumberFormat="1" applyFont="1" applyFill="1" applyBorder="1"/>
    <xf numFmtId="3" fontId="74" fillId="0" borderId="278" xfId="43" applyNumberFormat="1" applyFont="1" applyFill="1" applyBorder="1"/>
    <xf numFmtId="3" fontId="74" fillId="0" borderId="264" xfId="43" applyNumberFormat="1" applyFont="1" applyFill="1" applyBorder="1"/>
    <xf numFmtId="3" fontId="74" fillId="0" borderId="280" xfId="43" applyNumberFormat="1" applyFont="1" applyFill="1" applyBorder="1"/>
    <xf numFmtId="3" fontId="73" fillId="0" borderId="277" xfId="55" applyNumberFormat="1" applyFont="1" applyBorder="1"/>
    <xf numFmtId="3" fontId="73" fillId="0" borderId="278" xfId="55" applyNumberFormat="1" applyFont="1" applyBorder="1"/>
    <xf numFmtId="3" fontId="102" fillId="0" borderId="278" xfId="0" applyNumberFormat="1" applyFont="1" applyBorder="1"/>
    <xf numFmtId="3" fontId="38" fillId="0" borderId="277" xfId="55" applyNumberFormat="1" applyFont="1" applyBorder="1"/>
    <xf numFmtId="3" fontId="38" fillId="0" borderId="278" xfId="55" applyNumberFormat="1" applyFont="1" applyBorder="1"/>
    <xf numFmtId="49" fontId="71" fillId="26" borderId="255" xfId="55" applyNumberFormat="1" applyFont="1" applyFill="1" applyBorder="1"/>
    <xf numFmtId="3" fontId="71" fillId="26" borderId="280" xfId="55" applyNumberFormat="1" applyFont="1" applyFill="1" applyBorder="1"/>
    <xf numFmtId="3" fontId="73" fillId="26" borderId="280" xfId="43" applyNumberFormat="1" applyFont="1" applyFill="1" applyBorder="1"/>
    <xf numFmtId="49" fontId="38" fillId="26" borderId="255" xfId="43" applyNumberFormat="1" applyFont="1" applyFill="1" applyBorder="1" applyAlignment="1">
      <alignment wrapText="1"/>
    </xf>
    <xf numFmtId="3" fontId="38" fillId="0" borderId="280" xfId="55" applyNumberFormat="1" applyFont="1" applyBorder="1"/>
    <xf numFmtId="169" fontId="102" fillId="0" borderId="278" xfId="76" applyNumberFormat="1" applyFont="1" applyBorder="1" applyAlignment="1">
      <alignment horizontal="right"/>
    </xf>
    <xf numFmtId="169" fontId="71" fillId="0" borderId="277" xfId="76" applyNumberFormat="1" applyFont="1" applyBorder="1" applyAlignment="1"/>
    <xf numFmtId="169" fontId="71" fillId="0" borderId="278" xfId="76" applyNumberFormat="1" applyFont="1" applyBorder="1" applyAlignment="1"/>
    <xf numFmtId="169" fontId="71" fillId="0" borderId="279" xfId="76" applyNumberFormat="1" applyFont="1" applyBorder="1" applyAlignment="1"/>
    <xf numFmtId="169" fontId="71" fillId="0" borderId="280" xfId="76" applyNumberFormat="1" applyFont="1" applyBorder="1" applyAlignment="1"/>
    <xf numFmtId="43" fontId="71" fillId="0" borderId="280" xfId="76" applyFont="1" applyBorder="1"/>
    <xf numFmtId="43" fontId="71" fillId="26" borderId="280" xfId="76" applyFont="1" applyFill="1" applyBorder="1"/>
    <xf numFmtId="43" fontId="71" fillId="26" borderId="255" xfId="76" applyFont="1" applyFill="1" applyBorder="1" applyAlignment="1">
      <alignment horizontal="left" vertical="center" wrapText="1"/>
    </xf>
    <xf numFmtId="3" fontId="38" fillId="0" borderId="280" xfId="55" applyNumberFormat="1" applyFont="1" applyBorder="1" applyAlignment="1">
      <alignment wrapText="1"/>
    </xf>
    <xf numFmtId="3" fontId="71" fillId="26" borderId="280" xfId="55" applyNumberFormat="1" applyFont="1" applyFill="1" applyBorder="1" applyAlignment="1">
      <alignment wrapText="1"/>
    </xf>
    <xf numFmtId="3" fontId="37" fillId="0" borderId="281" xfId="43" applyNumberFormat="1" applyFont="1" applyFill="1" applyBorder="1"/>
    <xf numFmtId="0" fontId="37" fillId="0" borderId="231" xfId="0" applyFont="1" applyBorder="1"/>
    <xf numFmtId="0" fontId="37" fillId="0" borderId="148" xfId="43" applyNumberFormat="1" applyFont="1" applyFill="1" applyBorder="1" applyAlignment="1">
      <alignment horizontal="center" wrapText="1"/>
    </xf>
    <xf numFmtId="0" fontId="61" fillId="0" borderId="0" xfId="55"/>
    <xf numFmtId="3" fontId="103" fillId="0" borderId="22" xfId="43" applyNumberFormat="1" applyFont="1" applyFill="1" applyBorder="1"/>
    <xf numFmtId="0" fontId="103" fillId="0" borderId="22" xfId="43" applyFont="1" applyFill="1" applyBorder="1" applyAlignment="1">
      <alignment wrapText="1"/>
    </xf>
    <xf numFmtId="3" fontId="104" fillId="0" borderId="282" xfId="74" applyNumberFormat="1" applyFont="1" applyBorder="1" applyAlignment="1"/>
    <xf numFmtId="0" fontId="105" fillId="0" borderId="283" xfId="74" applyFont="1" applyBorder="1" applyAlignment="1">
      <alignment horizontal="left"/>
    </xf>
    <xf numFmtId="0" fontId="104" fillId="0" borderId="283" xfId="74" applyFont="1" applyBorder="1" applyAlignment="1">
      <alignment horizontal="left"/>
    </xf>
    <xf numFmtId="0" fontId="105" fillId="0" borderId="284" xfId="74" applyFont="1" applyBorder="1"/>
    <xf numFmtId="0" fontId="105" fillId="0" borderId="282" xfId="74" applyFont="1" applyBorder="1" applyAlignment="1">
      <alignment horizontal="left"/>
    </xf>
    <xf numFmtId="0" fontId="105" fillId="0" borderId="285" xfId="74" applyFont="1" applyBorder="1"/>
    <xf numFmtId="0" fontId="105" fillId="0" borderId="286" xfId="74" applyFont="1" applyBorder="1"/>
    <xf numFmtId="3" fontId="104" fillId="0" borderId="282" xfId="74" applyNumberFormat="1" applyFont="1" applyBorder="1"/>
    <xf numFmtId="0" fontId="105" fillId="0" borderId="282" xfId="74" applyFont="1" applyBorder="1" applyAlignment="1"/>
    <xf numFmtId="49" fontId="105" fillId="0" borderId="282" xfId="74" applyNumberFormat="1" applyFont="1" applyBorder="1" applyAlignment="1">
      <alignment horizontal="center"/>
    </xf>
    <xf numFmtId="0" fontId="105" fillId="0" borderId="282" xfId="74" applyFont="1" applyBorder="1"/>
    <xf numFmtId="3" fontId="105" fillId="0" borderId="282" xfId="74" applyNumberFormat="1" applyFont="1" applyBorder="1" applyAlignment="1">
      <alignment horizontal="right"/>
    </xf>
    <xf numFmtId="3" fontId="105" fillId="0" borderId="286" xfId="74" applyNumberFormat="1" applyFont="1" applyBorder="1"/>
    <xf numFmtId="0" fontId="62" fillId="0" borderId="0" xfId="56"/>
    <xf numFmtId="3" fontId="105" fillId="0" borderId="282" xfId="74" applyNumberFormat="1" applyFont="1" applyBorder="1"/>
    <xf numFmtId="0" fontId="105" fillId="0" borderId="282" xfId="74" applyFont="1" applyBorder="1" applyAlignment="1">
      <alignment horizontal="right"/>
    </xf>
    <xf numFmtId="0" fontId="105" fillId="0" borderId="282" xfId="74" applyFont="1" applyBorder="1" applyAlignment="1">
      <alignment wrapText="1"/>
    </xf>
    <xf numFmtId="0" fontId="105" fillId="0" borderId="282" xfId="74" applyFont="1" applyBorder="1" applyAlignment="1">
      <alignment horizontal="left" vertical="center"/>
    </xf>
    <xf numFmtId="49" fontId="105" fillId="0" borderId="282" xfId="74" applyNumberFormat="1" applyFont="1" applyBorder="1" applyAlignment="1">
      <alignment horizontal="center" vertical="center"/>
    </xf>
    <xf numFmtId="3" fontId="105" fillId="0" borderId="282" xfId="74" applyNumberFormat="1" applyFont="1" applyFill="1" applyBorder="1" applyAlignment="1">
      <alignment horizontal="right"/>
    </xf>
    <xf numFmtId="0" fontId="105" fillId="0" borderId="282" xfId="74" applyFont="1" applyFill="1" applyBorder="1" applyAlignment="1">
      <alignment horizontal="left"/>
    </xf>
    <xf numFmtId="3" fontId="105" fillId="0" borderId="282" xfId="74" applyNumberFormat="1" applyFont="1" applyFill="1" applyBorder="1"/>
    <xf numFmtId="3" fontId="104" fillId="0" borderId="282" xfId="74" applyNumberFormat="1" applyFont="1" applyFill="1" applyBorder="1"/>
    <xf numFmtId="0" fontId="105" fillId="0" borderId="0" xfId="74" applyFont="1" applyBorder="1"/>
    <xf numFmtId="3" fontId="108" fillId="0" borderId="283" xfId="55" applyNumberFormat="1" applyFont="1" applyBorder="1" applyAlignment="1"/>
    <xf numFmtId="0" fontId="109" fillId="0" borderId="283" xfId="55" applyFont="1" applyBorder="1" applyAlignment="1">
      <alignment horizontal="left"/>
    </xf>
    <xf numFmtId="3" fontId="108" fillId="0" borderId="282" xfId="55" applyNumberFormat="1" applyFont="1" applyBorder="1" applyAlignment="1"/>
    <xf numFmtId="0" fontId="109" fillId="0" borderId="282" xfId="55" applyFont="1" applyBorder="1" applyAlignment="1">
      <alignment horizontal="left"/>
    </xf>
    <xf numFmtId="0" fontId="108" fillId="0" borderId="282" xfId="55" applyFont="1" applyBorder="1" applyAlignment="1">
      <alignment horizontal="left"/>
    </xf>
    <xf numFmtId="3" fontId="108" fillId="0" borderId="286" xfId="55" applyNumberFormat="1" applyFont="1" applyBorder="1" applyAlignment="1"/>
    <xf numFmtId="0" fontId="109" fillId="0" borderId="285" xfId="55" applyFont="1" applyBorder="1"/>
    <xf numFmtId="0" fontId="109" fillId="0" borderId="286" xfId="55" applyFont="1" applyBorder="1"/>
    <xf numFmtId="3" fontId="109" fillId="0" borderId="282" xfId="55" applyNumberFormat="1" applyFont="1" applyBorder="1" applyAlignment="1">
      <alignment horizontal="right"/>
    </xf>
    <xf numFmtId="3" fontId="108" fillId="0" borderId="282" xfId="55" applyNumberFormat="1" applyFont="1" applyBorder="1"/>
    <xf numFmtId="0" fontId="109" fillId="0" borderId="282" xfId="55" applyFont="1" applyBorder="1" applyAlignment="1"/>
    <xf numFmtId="49" fontId="109" fillId="0" borderId="282" xfId="55" applyNumberFormat="1" applyFont="1" applyBorder="1" applyAlignment="1">
      <alignment horizontal="center"/>
    </xf>
    <xf numFmtId="3" fontId="108" fillId="0" borderId="286" xfId="55" applyNumberFormat="1" applyFont="1" applyFill="1" applyBorder="1"/>
    <xf numFmtId="3" fontId="108" fillId="0" borderId="282" xfId="55" applyNumberFormat="1" applyFont="1" applyFill="1" applyBorder="1"/>
    <xf numFmtId="0" fontId="109" fillId="0" borderId="282" xfId="55" applyFont="1" applyFill="1" applyBorder="1" applyAlignment="1">
      <alignment horizontal="left"/>
    </xf>
    <xf numFmtId="0" fontId="108" fillId="0" borderId="282" xfId="55" applyFont="1" applyFill="1" applyBorder="1" applyAlignment="1">
      <alignment horizontal="left"/>
    </xf>
    <xf numFmtId="3" fontId="108" fillId="0" borderId="286" xfId="55" applyNumberFormat="1" applyFont="1" applyBorder="1"/>
    <xf numFmtId="0" fontId="109" fillId="0" borderId="282" xfId="55" applyFont="1" applyBorder="1" applyAlignment="1">
      <alignment horizontal="right"/>
    </xf>
    <xf numFmtId="3" fontId="109" fillId="0" borderId="282" xfId="55" applyNumberFormat="1" applyFont="1" applyBorder="1"/>
    <xf numFmtId="3" fontId="108" fillId="0" borderId="282" xfId="55" applyNumberFormat="1" applyFont="1" applyBorder="1" applyAlignment="1" applyProtection="1"/>
    <xf numFmtId="3" fontId="108" fillId="0" borderId="282" xfId="55" applyNumberFormat="1" applyFont="1" applyBorder="1" applyAlignment="1" applyProtection="1">
      <alignment horizontal="right"/>
    </xf>
    <xf numFmtId="3" fontId="108" fillId="0" borderId="282" xfId="55" applyNumberFormat="1" applyFont="1" applyBorder="1" applyAlignment="1">
      <alignment horizontal="right"/>
    </xf>
    <xf numFmtId="3" fontId="109" fillId="0" borderId="286" xfId="55" applyNumberFormat="1" applyFont="1" applyBorder="1"/>
    <xf numFmtId="3" fontId="108" fillId="0" borderId="0" xfId="55" applyNumberFormat="1" applyFont="1" applyAlignment="1">
      <alignment horizontal="right"/>
    </xf>
    <xf numFmtId="0" fontId="109" fillId="0" borderId="0" xfId="55" applyFont="1" applyAlignment="1">
      <alignment horizontal="center"/>
    </xf>
    <xf numFmtId="0" fontId="109" fillId="0" borderId="0" xfId="55" applyFont="1"/>
    <xf numFmtId="3" fontId="109" fillId="0" borderId="0" xfId="55" applyNumberFormat="1" applyFont="1" applyAlignment="1">
      <alignment horizontal="center"/>
    </xf>
    <xf numFmtId="0" fontId="109" fillId="0" borderId="0" xfId="55" applyFont="1" applyAlignment="1">
      <alignment horizontal="right"/>
    </xf>
    <xf numFmtId="0" fontId="110" fillId="0" borderId="0" xfId="55" applyFont="1" applyBorder="1" applyAlignment="1">
      <alignment horizontal="center"/>
    </xf>
    <xf numFmtId="3" fontId="110" fillId="0" borderId="0" xfId="55" applyNumberFormat="1" applyFont="1" applyBorder="1" applyAlignment="1">
      <alignment horizontal="center"/>
    </xf>
    <xf numFmtId="3" fontId="109" fillId="0" borderId="0" xfId="55" applyNumberFormat="1" applyFont="1"/>
    <xf numFmtId="0" fontId="28" fillId="0" borderId="11" xfId="0" applyFont="1" applyBorder="1" applyAlignment="1"/>
    <xf numFmtId="3" fontId="28" fillId="0" borderId="11" xfId="0" applyNumberFormat="1" applyFont="1" applyBorder="1" applyAlignment="1"/>
    <xf numFmtId="3" fontId="33" fillId="0" borderId="291" xfId="0" applyNumberFormat="1" applyFont="1" applyBorder="1" applyAlignment="1">
      <alignment wrapText="1"/>
    </xf>
    <xf numFmtId="0" fontId="33" fillId="0" borderId="290" xfId="0" applyFont="1" applyBorder="1"/>
    <xf numFmtId="3" fontId="45" fillId="0" borderId="292" xfId="57" applyNumberFormat="1" applyFont="1" applyBorder="1" applyAlignment="1">
      <alignment horizontal="right"/>
    </xf>
    <xf numFmtId="0" fontId="104" fillId="0" borderId="282" xfId="74" applyFont="1" applyBorder="1" applyAlignment="1">
      <alignment horizontal="left"/>
    </xf>
    <xf numFmtId="0" fontId="108" fillId="0" borderId="285" xfId="55" applyFont="1" applyBorder="1" applyAlignment="1">
      <alignment horizontal="left" vertical="center"/>
    </xf>
    <xf numFmtId="0" fontId="108" fillId="0" borderId="282" xfId="55" applyFont="1" applyBorder="1" applyAlignment="1">
      <alignment horizontal="left" vertical="center"/>
    </xf>
    <xf numFmtId="0" fontId="110" fillId="0" borderId="0" xfId="55" applyFont="1" applyBorder="1" applyAlignment="1">
      <alignment horizontal="center" wrapText="1"/>
    </xf>
    <xf numFmtId="0" fontId="101" fillId="0" borderId="0" xfId="56" applyFont="1" applyBorder="1"/>
    <xf numFmtId="3" fontId="101" fillId="0" borderId="0" xfId="56" applyNumberFormat="1" applyFont="1" applyBorder="1"/>
    <xf numFmtId="3" fontId="53" fillId="0" borderId="0" xfId="56" applyNumberFormat="1" applyFont="1" applyBorder="1"/>
    <xf numFmtId="3" fontId="101" fillId="0" borderId="0" xfId="56" applyNumberFormat="1" applyFont="1" applyFill="1" applyBorder="1"/>
    <xf numFmtId="0" fontId="101" fillId="0" borderId="0" xfId="56" applyFont="1" applyFill="1" applyBorder="1"/>
    <xf numFmtId="0" fontId="0" fillId="0" borderId="0" xfId="0" applyBorder="1"/>
    <xf numFmtId="3" fontId="41" fillId="0" borderId="290" xfId="0" applyNumberFormat="1" applyFont="1" applyBorder="1" applyAlignment="1">
      <alignment horizontal="right" vertical="center" wrapText="1"/>
    </xf>
    <xf numFmtId="3" fontId="104" fillId="0" borderId="286" xfId="74" applyNumberFormat="1" applyFont="1" applyBorder="1"/>
    <xf numFmtId="3" fontId="105" fillId="0" borderId="286" xfId="74" applyNumberFormat="1" applyFont="1" applyBorder="1" applyAlignment="1">
      <alignment horizontal="right"/>
    </xf>
    <xf numFmtId="3" fontId="104" fillId="0" borderId="286" xfId="74" applyNumberFormat="1" applyFont="1" applyBorder="1" applyAlignment="1"/>
    <xf numFmtId="0" fontId="105" fillId="26" borderId="285" xfId="74" applyFont="1" applyFill="1" applyBorder="1"/>
    <xf numFmtId="0" fontId="104" fillId="26" borderId="282" xfId="74" applyFont="1" applyFill="1" applyBorder="1" applyAlignment="1">
      <alignment horizontal="left"/>
    </xf>
    <xf numFmtId="3" fontId="104" fillId="26" borderId="282" xfId="74" applyNumberFormat="1" applyFont="1" applyFill="1" applyBorder="1" applyAlignment="1"/>
    <xf numFmtId="3" fontId="104" fillId="26" borderId="286" xfId="74" applyNumberFormat="1" applyFont="1" applyFill="1" applyBorder="1" applyAlignment="1"/>
    <xf numFmtId="0" fontId="105" fillId="26" borderId="282" xfId="74" applyFont="1" applyFill="1" applyBorder="1" applyAlignment="1">
      <alignment horizontal="left"/>
    </xf>
    <xf numFmtId="3" fontId="108" fillId="0" borderId="286" xfId="55" applyNumberFormat="1" applyFont="1" applyBorder="1" applyAlignment="1" applyProtection="1"/>
    <xf numFmtId="3" fontId="108" fillId="0" borderId="237" xfId="55" applyNumberFormat="1" applyFont="1" applyBorder="1" applyAlignment="1"/>
    <xf numFmtId="3" fontId="59" fillId="0" borderId="53" xfId="0" applyNumberFormat="1" applyFont="1" applyBorder="1" applyAlignment="1">
      <alignment wrapText="1"/>
    </xf>
    <xf numFmtId="3" fontId="59" fillId="0" borderId="53" xfId="0" applyNumberFormat="1" applyFont="1" applyBorder="1"/>
    <xf numFmtId="3" fontId="105" fillId="0" borderId="286" xfId="74" applyNumberFormat="1" applyFont="1" applyFill="1" applyBorder="1"/>
    <xf numFmtId="0" fontId="37" fillId="26" borderId="0" xfId="58" applyFont="1" applyFill="1" applyBorder="1" applyAlignment="1">
      <alignment horizontal="center"/>
    </xf>
    <xf numFmtId="3" fontId="38" fillId="26" borderId="0" xfId="58" applyNumberFormat="1" applyFont="1" applyFill="1" applyBorder="1" applyAlignment="1">
      <alignment horizontal="right"/>
    </xf>
    <xf numFmtId="3" fontId="37" fillId="26" borderId="0" xfId="58" applyNumberFormat="1" applyFont="1" applyFill="1" applyBorder="1" applyAlignment="1">
      <alignment horizontal="right"/>
    </xf>
    <xf numFmtId="49" fontId="37" fillId="26" borderId="0" xfId="58" applyNumberFormat="1" applyFont="1" applyFill="1" applyBorder="1"/>
    <xf numFmtId="49" fontId="37" fillId="26" borderId="0" xfId="58" applyNumberFormat="1" applyFont="1" applyFill="1" applyBorder="1" applyAlignment="1">
      <alignment horizontal="right"/>
    </xf>
    <xf numFmtId="0" fontId="38" fillId="0" borderId="0" xfId="0" applyFont="1" applyBorder="1"/>
    <xf numFmtId="0" fontId="31" fillId="0" borderId="260" xfId="58" applyFont="1" applyFill="1" applyBorder="1"/>
    <xf numFmtId="3" fontId="53" fillId="0" borderId="296" xfId="58" applyNumberFormat="1" applyFont="1" applyFill="1" applyBorder="1"/>
    <xf numFmtId="3" fontId="53" fillId="0" borderId="297" xfId="58" applyNumberFormat="1" applyFont="1" applyBorder="1"/>
    <xf numFmtId="0" fontId="60" fillId="0" borderId="298" xfId="58" applyFont="1" applyFill="1" applyBorder="1"/>
    <xf numFmtId="0" fontId="31" fillId="0" borderId="258" xfId="58" applyFont="1" applyFill="1" applyBorder="1"/>
    <xf numFmtId="3" fontId="53" fillId="0" borderId="301" xfId="58" applyNumberFormat="1" applyFont="1" applyFill="1" applyBorder="1"/>
    <xf numFmtId="3" fontId="53" fillId="0" borderId="302" xfId="58" applyNumberFormat="1" applyFont="1" applyBorder="1"/>
    <xf numFmtId="0" fontId="60" fillId="0" borderId="303" xfId="58" applyFont="1" applyFill="1" applyBorder="1"/>
    <xf numFmtId="3" fontId="33" fillId="0" borderId="0" xfId="58" applyNumberFormat="1" applyFont="1" applyFill="1" applyBorder="1"/>
    <xf numFmtId="3" fontId="33" fillId="0" borderId="0" xfId="58" applyNumberFormat="1" applyFont="1" applyFill="1" applyBorder="1" applyAlignment="1">
      <alignment horizontal="center"/>
    </xf>
    <xf numFmtId="0" fontId="31" fillId="0" borderId="0" xfId="58" applyFont="1" applyFill="1" applyBorder="1"/>
    <xf numFmtId="49" fontId="31" fillId="0" borderId="259" xfId="58" applyNumberFormat="1" applyFont="1" applyFill="1" applyBorder="1"/>
    <xf numFmtId="3" fontId="33" fillId="0" borderId="241" xfId="58" applyNumberFormat="1" applyFont="1" applyFill="1" applyBorder="1"/>
    <xf numFmtId="3" fontId="33" fillId="0" borderId="244" xfId="58" applyNumberFormat="1" applyFont="1" applyFill="1" applyBorder="1" applyAlignment="1">
      <alignment horizontal="center"/>
    </xf>
    <xf numFmtId="0" fontId="31" fillId="0" borderId="244" xfId="58" applyFont="1" applyFill="1" applyBorder="1"/>
    <xf numFmtId="49" fontId="31" fillId="0" borderId="244" xfId="58" applyNumberFormat="1" applyFont="1" applyFill="1" applyBorder="1"/>
    <xf numFmtId="0" fontId="31" fillId="0" borderId="257" xfId="58" applyFont="1" applyFill="1" applyBorder="1"/>
    <xf numFmtId="3" fontId="113" fillId="0" borderId="297" xfId="58" applyNumberFormat="1" applyFont="1" applyFill="1" applyBorder="1"/>
    <xf numFmtId="3" fontId="113" fillId="0" borderId="115" xfId="58" applyNumberFormat="1" applyFont="1" applyFill="1" applyBorder="1" applyAlignment="1">
      <alignment horizontal="center"/>
    </xf>
    <xf numFmtId="0" fontId="112" fillId="0" borderId="115" xfId="58" applyFont="1" applyFill="1" applyBorder="1"/>
    <xf numFmtId="49" fontId="112" fillId="0" borderId="155" xfId="58" applyNumberFormat="1" applyFont="1" applyFill="1" applyBorder="1"/>
    <xf numFmtId="0" fontId="113" fillId="0" borderId="245" xfId="58" applyFont="1" applyFill="1" applyBorder="1"/>
    <xf numFmtId="49" fontId="31" fillId="0" borderId="302" xfId="58" applyNumberFormat="1" applyFont="1" applyFill="1" applyBorder="1" applyAlignment="1">
      <alignment horizontal="right"/>
    </xf>
    <xf numFmtId="3" fontId="53" fillId="0" borderId="302" xfId="58" applyNumberFormat="1" applyFont="1" applyFill="1" applyBorder="1" applyAlignment="1">
      <alignment horizontal="center"/>
    </xf>
    <xf numFmtId="3" fontId="114" fillId="0" borderId="309" xfId="58" applyNumberFormat="1" applyFont="1" applyFill="1" applyBorder="1" applyAlignment="1">
      <alignment horizontal="right"/>
    </xf>
    <xf numFmtId="49" fontId="60" fillId="0" borderId="310" xfId="58" applyNumberFormat="1" applyFont="1" applyFill="1" applyBorder="1" applyAlignment="1">
      <alignment vertical="center" wrapText="1"/>
    </xf>
    <xf numFmtId="3" fontId="114" fillId="0" borderId="308" xfId="58" applyNumberFormat="1" applyFont="1" applyFill="1" applyBorder="1" applyAlignment="1">
      <alignment horizontal="right"/>
    </xf>
    <xf numFmtId="3" fontId="53" fillId="0" borderId="302" xfId="58" applyNumberFormat="1" applyFont="1" applyFill="1" applyBorder="1" applyAlignment="1">
      <alignment horizontal="center" wrapText="1"/>
    </xf>
    <xf numFmtId="49" fontId="94" fillId="0" borderId="310" xfId="58" applyNumberFormat="1" applyFont="1" applyFill="1" applyBorder="1" applyAlignment="1">
      <alignment vertical="center" wrapText="1"/>
    </xf>
    <xf numFmtId="0" fontId="114" fillId="0" borderId="311" xfId="58" applyFont="1" applyFill="1" applyBorder="1"/>
    <xf numFmtId="3" fontId="60" fillId="0" borderId="302" xfId="58" applyNumberFormat="1" applyFont="1" applyFill="1" applyBorder="1"/>
    <xf numFmtId="49" fontId="60" fillId="0" borderId="310" xfId="58" applyNumberFormat="1" applyFont="1" applyFill="1" applyBorder="1"/>
    <xf numFmtId="3" fontId="59" fillId="0" borderId="308" xfId="58" applyNumberFormat="1" applyFont="1" applyFill="1" applyBorder="1" applyAlignment="1">
      <alignment horizontal="right"/>
    </xf>
    <xf numFmtId="3" fontId="31" fillId="0" borderId="297" xfId="58" applyNumberFormat="1" applyFont="1" applyFill="1" applyBorder="1" applyAlignment="1">
      <alignment horizontal="right"/>
    </xf>
    <xf numFmtId="3" fontId="31" fillId="0" borderId="297" xfId="58" applyNumberFormat="1" applyFont="1" applyFill="1" applyBorder="1" applyAlignment="1">
      <alignment horizontal="center"/>
    </xf>
    <xf numFmtId="0" fontId="31" fillId="0" borderId="297" xfId="58" applyFont="1" applyFill="1" applyBorder="1"/>
    <xf numFmtId="3" fontId="31" fillId="0" borderId="302" xfId="58" applyNumberFormat="1" applyFont="1" applyFill="1" applyBorder="1" applyAlignment="1">
      <alignment horizontal="right"/>
    </xf>
    <xf numFmtId="3" fontId="31" fillId="0" borderId="252" xfId="58" applyNumberFormat="1" applyFont="1" applyFill="1" applyBorder="1" applyAlignment="1">
      <alignment horizontal="center"/>
    </xf>
    <xf numFmtId="0" fontId="31" fillId="0" borderId="252" xfId="58" applyFont="1" applyFill="1" applyBorder="1"/>
    <xf numFmtId="49" fontId="59" fillId="0" borderId="310" xfId="58" applyNumberFormat="1" applyFont="1" applyFill="1" applyBorder="1"/>
    <xf numFmtId="3" fontId="113" fillId="0" borderId="308" xfId="58" applyNumberFormat="1" applyFont="1" applyFill="1" applyBorder="1" applyAlignment="1">
      <alignment horizontal="right"/>
    </xf>
    <xf numFmtId="49" fontId="31" fillId="0" borderId="310" xfId="58" applyNumberFormat="1" applyFont="1" applyFill="1" applyBorder="1"/>
    <xf numFmtId="0" fontId="113" fillId="0" borderId="311" xfId="58" applyFont="1" applyFill="1" applyBorder="1"/>
    <xf numFmtId="3" fontId="31" fillId="0" borderId="302" xfId="58" applyNumberFormat="1" applyFont="1" applyFill="1" applyBorder="1" applyAlignment="1">
      <alignment horizontal="center"/>
    </xf>
    <xf numFmtId="0" fontId="31" fillId="0" borderId="302" xfId="58" applyFont="1" applyFill="1" applyBorder="1"/>
    <xf numFmtId="49" fontId="115" fillId="0" borderId="310" xfId="58" applyNumberFormat="1" applyFont="1" applyFill="1" applyBorder="1" applyAlignment="1">
      <alignment vertical="center" wrapText="1"/>
    </xf>
    <xf numFmtId="0" fontId="59" fillId="0" borderId="311" xfId="58" applyFont="1" applyFill="1" applyBorder="1"/>
    <xf numFmtId="49" fontId="59" fillId="0" borderId="313" xfId="58" applyNumberFormat="1" applyFont="1" applyFill="1" applyBorder="1" applyAlignment="1">
      <alignment vertical="center" wrapText="1"/>
    </xf>
    <xf numFmtId="166" fontId="31" fillId="0" borderId="252" xfId="58" applyNumberFormat="1" applyFont="1" applyFill="1" applyBorder="1"/>
    <xf numFmtId="3" fontId="60" fillId="0" borderId="308" xfId="58" applyNumberFormat="1" applyFont="1" applyFill="1" applyBorder="1" applyAlignment="1">
      <alignment horizontal="right"/>
    </xf>
    <xf numFmtId="3" fontId="59" fillId="0" borderId="301" xfId="58" applyNumberFormat="1" applyFont="1" applyFill="1" applyBorder="1" applyAlignment="1">
      <alignment horizontal="right"/>
    </xf>
    <xf numFmtId="3" fontId="59" fillId="0" borderId="302" xfId="58" applyNumberFormat="1" applyFont="1" applyFill="1" applyBorder="1" applyAlignment="1">
      <alignment horizontal="right"/>
    </xf>
    <xf numFmtId="3" fontId="31" fillId="0" borderId="302" xfId="58" applyNumberFormat="1" applyFont="1" applyFill="1" applyBorder="1"/>
    <xf numFmtId="49" fontId="113" fillId="0" borderId="310" xfId="58" applyNumberFormat="1" applyFont="1" applyFill="1" applyBorder="1"/>
    <xf numFmtId="166" fontId="31" fillId="0" borderId="302" xfId="58" applyNumberFormat="1" applyFont="1" applyFill="1" applyBorder="1" applyAlignment="1">
      <alignment horizontal="right"/>
    </xf>
    <xf numFmtId="3" fontId="60" fillId="0" borderId="309" xfId="58" applyNumberFormat="1" applyFont="1" applyFill="1" applyBorder="1" applyAlignment="1">
      <alignment horizontal="right"/>
    </xf>
    <xf numFmtId="49" fontId="59" fillId="0" borderId="314" xfId="58" applyNumberFormat="1" applyFont="1" applyFill="1" applyBorder="1"/>
    <xf numFmtId="4" fontId="60" fillId="0" borderId="309" xfId="58" applyNumberFormat="1" applyFont="1" applyFill="1" applyBorder="1" applyAlignment="1">
      <alignment horizontal="right"/>
    </xf>
    <xf numFmtId="49" fontId="59" fillId="0" borderId="311" xfId="58" applyNumberFormat="1" applyFont="1" applyFill="1" applyBorder="1" applyAlignment="1">
      <alignment vertical="center" wrapText="1"/>
    </xf>
    <xf numFmtId="3" fontId="116" fillId="0" borderId="302" xfId="58" applyNumberFormat="1" applyFont="1" applyFill="1" applyBorder="1" applyAlignment="1">
      <alignment horizontal="center"/>
    </xf>
    <xf numFmtId="3" fontId="53" fillId="0" borderId="302" xfId="58" applyNumberFormat="1" applyFont="1" applyFill="1" applyBorder="1"/>
    <xf numFmtId="0" fontId="60" fillId="0" borderId="310" xfId="58" applyNumberFormat="1" applyFont="1" applyFill="1" applyBorder="1" applyAlignment="1">
      <alignment vertical="center" wrapText="1"/>
    </xf>
    <xf numFmtId="3" fontId="113" fillId="0" borderId="301" xfId="58" applyNumberFormat="1" applyFont="1" applyFill="1" applyBorder="1" applyAlignment="1">
      <alignment horizontal="right"/>
    </xf>
    <xf numFmtId="3" fontId="113" fillId="0" borderId="302" xfId="58" applyNumberFormat="1" applyFont="1" applyFill="1" applyBorder="1" applyAlignment="1">
      <alignment horizontal="right"/>
    </xf>
    <xf numFmtId="49" fontId="59" fillId="0" borderId="310" xfId="58" applyNumberFormat="1" applyFont="1" applyFill="1" applyBorder="1" applyAlignment="1">
      <alignment vertical="center" wrapText="1"/>
    </xf>
    <xf numFmtId="4" fontId="31" fillId="0" borderId="302" xfId="58" applyNumberFormat="1" applyFont="1" applyFill="1" applyBorder="1" applyAlignment="1">
      <alignment horizontal="right"/>
    </xf>
    <xf numFmtId="0" fontId="60" fillId="0" borderId="311" xfId="58" applyFont="1" applyFill="1" applyBorder="1"/>
    <xf numFmtId="3" fontId="31" fillId="0" borderId="252" xfId="58" applyNumberFormat="1" applyFont="1" applyFill="1" applyBorder="1" applyAlignment="1">
      <alignment horizontal="right"/>
    </xf>
    <xf numFmtId="3" fontId="31" fillId="0" borderId="252" xfId="58" applyNumberFormat="1" applyFont="1" applyFill="1" applyBorder="1"/>
    <xf numFmtId="49" fontId="59" fillId="0" borderId="313" xfId="58" applyNumberFormat="1" applyFont="1" applyFill="1" applyBorder="1"/>
    <xf numFmtId="3" fontId="44" fillId="0" borderId="301" xfId="58" applyNumberFormat="1" applyFont="1" applyFill="1" applyBorder="1" applyAlignment="1">
      <alignment horizontal="right"/>
    </xf>
    <xf numFmtId="3" fontId="44" fillId="0" borderId="302" xfId="58" applyNumberFormat="1" applyFont="1" applyFill="1" applyBorder="1" applyAlignment="1">
      <alignment horizontal="right"/>
    </xf>
    <xf numFmtId="3" fontId="31" fillId="0" borderId="309" xfId="58" applyNumberFormat="1" applyFont="1" applyFill="1" applyBorder="1" applyAlignment="1">
      <alignment horizontal="right"/>
    </xf>
    <xf numFmtId="166" fontId="53" fillId="0" borderId="302" xfId="58" applyNumberFormat="1" applyFont="1" applyFill="1" applyBorder="1"/>
    <xf numFmtId="49" fontId="113" fillId="0" borderId="310" xfId="58" applyNumberFormat="1" applyFont="1" applyFill="1" applyBorder="1" applyAlignment="1">
      <alignment vertical="center" wrapText="1"/>
    </xf>
    <xf numFmtId="0" fontId="59" fillId="0" borderId="302" xfId="58" applyFont="1" applyFill="1" applyBorder="1" applyAlignment="1">
      <alignment horizontal="right" vertical="center" wrapText="1"/>
    </xf>
    <xf numFmtId="3" fontId="59" fillId="0" borderId="302" xfId="58" applyNumberFormat="1" applyFont="1" applyFill="1" applyBorder="1" applyAlignment="1">
      <alignment horizontal="center"/>
    </xf>
    <xf numFmtId="0" fontId="59" fillId="0" borderId="302" xfId="58" applyFont="1" applyFill="1" applyBorder="1" applyAlignment="1"/>
    <xf numFmtId="49" fontId="59" fillId="0" borderId="310" xfId="58" applyNumberFormat="1" applyFont="1" applyFill="1" applyBorder="1" applyAlignment="1"/>
    <xf numFmtId="0" fontId="94" fillId="0" borderId="302" xfId="58" applyFont="1" applyFill="1" applyBorder="1" applyAlignment="1"/>
    <xf numFmtId="3" fontId="27" fillId="0" borderId="302" xfId="58" applyNumberFormat="1" applyFont="1" applyFill="1" applyBorder="1" applyAlignment="1">
      <alignment horizontal="right" vertical="center" wrapText="1"/>
    </xf>
    <xf numFmtId="3" fontId="60" fillId="0" borderId="252" xfId="58" applyNumberFormat="1" applyFont="1" applyFill="1" applyBorder="1" applyAlignment="1">
      <alignment horizontal="right"/>
    </xf>
    <xf numFmtId="3" fontId="31" fillId="0" borderId="310" xfId="58" applyNumberFormat="1" applyFont="1" applyFill="1" applyBorder="1" applyAlignment="1">
      <alignment horizontal="center"/>
    </xf>
    <xf numFmtId="3" fontId="60" fillId="0" borderId="302" xfId="58" applyNumberFormat="1" applyFont="1" applyFill="1" applyBorder="1" applyAlignment="1">
      <alignment horizontal="right"/>
    </xf>
    <xf numFmtId="49" fontId="113" fillId="0" borderId="312" xfId="58" applyNumberFormat="1" applyFont="1" applyFill="1" applyBorder="1"/>
    <xf numFmtId="3" fontId="112" fillId="0" borderId="301" xfId="58" applyNumberFormat="1" applyFont="1" applyFill="1" applyBorder="1" applyAlignment="1">
      <alignment horizontal="right"/>
    </xf>
    <xf numFmtId="3" fontId="112" fillId="0" borderId="302" xfId="58" applyNumberFormat="1" applyFont="1" applyFill="1" applyBorder="1" applyAlignment="1">
      <alignment horizontal="right"/>
    </xf>
    <xf numFmtId="49" fontId="53" fillId="0" borderId="302" xfId="58" applyNumberFormat="1" applyFont="1" applyFill="1" applyBorder="1" applyAlignment="1">
      <alignment horizontal="right"/>
    </xf>
    <xf numFmtId="0" fontId="60" fillId="0" borderId="302" xfId="58" applyFont="1" applyFill="1" applyBorder="1"/>
    <xf numFmtId="49" fontId="114" fillId="0" borderId="310" xfId="58" applyNumberFormat="1" applyFont="1" applyFill="1" applyBorder="1"/>
    <xf numFmtId="3" fontId="53" fillId="0" borderId="302" xfId="58" applyNumberFormat="1" applyFont="1" applyFill="1" applyBorder="1" applyAlignment="1">
      <alignment horizontal="right"/>
    </xf>
    <xf numFmtId="0" fontId="53" fillId="0" borderId="302" xfId="58" applyFont="1" applyFill="1" applyBorder="1"/>
    <xf numFmtId="49" fontId="119" fillId="0" borderId="310" xfId="58" applyNumberFormat="1" applyFont="1" applyFill="1" applyBorder="1"/>
    <xf numFmtId="3" fontId="60" fillId="0" borderId="302" xfId="58" applyNumberFormat="1" applyFont="1" applyFill="1" applyBorder="1" applyAlignment="1">
      <alignment horizontal="center"/>
    </xf>
    <xf numFmtId="166" fontId="60" fillId="0" borderId="302" xfId="58" applyNumberFormat="1" applyFont="1" applyFill="1" applyBorder="1" applyAlignment="1">
      <alignment horizontal="right"/>
    </xf>
    <xf numFmtId="49" fontId="120" fillId="0" borderId="310" xfId="58" applyNumberFormat="1" applyFont="1" applyFill="1" applyBorder="1"/>
    <xf numFmtId="2" fontId="31" fillId="0" borderId="302" xfId="58" applyNumberFormat="1" applyFont="1" applyFill="1" applyBorder="1"/>
    <xf numFmtId="0" fontId="31" fillId="0" borderId="311" xfId="58" applyFont="1" applyFill="1" applyBorder="1"/>
    <xf numFmtId="3" fontId="60" fillId="0" borderId="252" xfId="58" applyNumberFormat="1" applyFont="1" applyFill="1" applyBorder="1" applyAlignment="1">
      <alignment horizontal="center"/>
    </xf>
    <xf numFmtId="2" fontId="31" fillId="0" borderId="252" xfId="58" applyNumberFormat="1" applyFont="1" applyFill="1" applyBorder="1"/>
    <xf numFmtId="49" fontId="113" fillId="0" borderId="313" xfId="58" applyNumberFormat="1" applyFont="1" applyFill="1" applyBorder="1"/>
    <xf numFmtId="0" fontId="113" fillId="0" borderId="253" xfId="58" applyFont="1" applyFill="1" applyBorder="1"/>
    <xf numFmtId="0" fontId="53" fillId="0" borderId="306" xfId="58" applyFont="1" applyFill="1" applyBorder="1"/>
    <xf numFmtId="0" fontId="53" fillId="0" borderId="252" xfId="58" applyFont="1" applyFill="1" applyBorder="1"/>
    <xf numFmtId="3" fontId="121" fillId="0" borderId="251" xfId="58" applyNumberFormat="1" applyFont="1" applyFill="1" applyBorder="1"/>
    <xf numFmtId="0" fontId="27" fillId="0" borderId="244" xfId="58" applyFont="1" applyFill="1" applyBorder="1" applyAlignment="1">
      <alignment horizontal="center" vertical="center" wrapText="1"/>
    </xf>
    <xf numFmtId="0" fontId="27" fillId="0" borderId="250" xfId="58" applyFont="1" applyFill="1" applyBorder="1" applyAlignment="1">
      <alignment horizontal="center" vertical="center" wrapText="1"/>
    </xf>
    <xf numFmtId="0" fontId="27" fillId="0" borderId="241" xfId="58" applyFont="1" applyFill="1" applyBorder="1" applyAlignment="1">
      <alignment horizontal="center" vertical="center" wrapText="1"/>
    </xf>
    <xf numFmtId="49" fontId="94" fillId="0" borderId="250" xfId="58" applyNumberFormat="1" applyFont="1" applyFill="1" applyBorder="1" applyAlignment="1">
      <alignment horizontal="left" vertical="center"/>
    </xf>
    <xf numFmtId="0" fontId="59" fillId="0" borderId="249" xfId="58" applyFont="1" applyFill="1" applyBorder="1" applyAlignment="1">
      <alignment horizontal="center" vertical="center" wrapText="1"/>
    </xf>
    <xf numFmtId="0" fontId="27" fillId="0" borderId="297" xfId="58" applyFont="1" applyFill="1" applyBorder="1" applyAlignment="1">
      <alignment horizontal="center" vertical="center" wrapText="1"/>
    </xf>
    <xf numFmtId="0" fontId="53" fillId="0" borderId="0" xfId="58" applyFont="1" applyFill="1"/>
    <xf numFmtId="0" fontId="53" fillId="0" borderId="0" xfId="58" applyFont="1"/>
    <xf numFmtId="0" fontId="65" fillId="0" borderId="0" xfId="58"/>
    <xf numFmtId="0" fontId="65" fillId="0" borderId="0" xfId="58" applyFill="1"/>
    <xf numFmtId="3" fontId="37" fillId="26" borderId="0" xfId="58" applyNumberFormat="1" applyFont="1" applyFill="1" applyBorder="1" applyAlignment="1">
      <alignment horizontal="center" vertical="center" wrapText="1"/>
    </xf>
    <xf numFmtId="3" fontId="38" fillId="26" borderId="0" xfId="58" applyNumberFormat="1" applyFont="1" applyFill="1" applyBorder="1" applyAlignment="1">
      <alignment horizontal="center" vertical="center" wrapText="1"/>
    </xf>
    <xf numFmtId="3" fontId="75" fillId="26" borderId="0" xfId="58" applyNumberFormat="1" applyFont="1" applyFill="1" applyBorder="1" applyAlignment="1">
      <alignment horizontal="right"/>
    </xf>
    <xf numFmtId="3" fontId="35" fillId="26" borderId="0" xfId="58" applyNumberFormat="1" applyFont="1" applyFill="1" applyBorder="1" applyAlignment="1">
      <alignment horizontal="right"/>
    </xf>
    <xf numFmtId="3" fontId="75" fillId="26" borderId="0" xfId="58" applyNumberFormat="1" applyFont="1" applyFill="1" applyBorder="1"/>
    <xf numFmtId="0" fontId="75" fillId="26" borderId="0" xfId="58" applyFont="1" applyFill="1" applyBorder="1"/>
    <xf numFmtId="0" fontId="37" fillId="26" borderId="0" xfId="58" applyFont="1" applyFill="1" applyBorder="1"/>
    <xf numFmtId="49" fontId="112" fillId="26" borderId="248" xfId="58" applyNumberFormat="1" applyFont="1" applyFill="1" applyBorder="1"/>
    <xf numFmtId="0" fontId="31" fillId="26" borderId="248" xfId="58" applyFont="1" applyFill="1" applyBorder="1"/>
    <xf numFmtId="3" fontId="33" fillId="26" borderId="248" xfId="58" applyNumberFormat="1" applyFont="1" applyFill="1" applyBorder="1" applyAlignment="1">
      <alignment horizontal="center"/>
    </xf>
    <xf numFmtId="3" fontId="33" fillId="26" borderId="246" xfId="58" applyNumberFormat="1" applyFont="1" applyFill="1" applyBorder="1"/>
    <xf numFmtId="3" fontId="59" fillId="26" borderId="247" xfId="58" applyNumberFormat="1" applyFont="1" applyFill="1" applyBorder="1"/>
    <xf numFmtId="3" fontId="44" fillId="26" borderId="248" xfId="58" applyNumberFormat="1" applyFont="1" applyFill="1" applyBorder="1"/>
    <xf numFmtId="0" fontId="59" fillId="26" borderId="253" xfId="58" applyFont="1" applyFill="1" applyBorder="1"/>
    <xf numFmtId="49" fontId="59" fillId="26" borderId="253" xfId="58" applyNumberFormat="1" applyFont="1" applyFill="1" applyBorder="1" applyAlignment="1">
      <alignment vertical="center" wrapText="1"/>
    </xf>
    <xf numFmtId="0" fontId="59" fillId="26" borderId="311" xfId="58" applyFont="1" applyFill="1" applyBorder="1"/>
    <xf numFmtId="0" fontId="113" fillId="26" borderId="311" xfId="58" applyFont="1" applyFill="1" applyBorder="1"/>
    <xf numFmtId="49" fontId="59" fillId="26" borderId="311" xfId="58" applyNumberFormat="1" applyFont="1" applyFill="1" applyBorder="1" applyAlignment="1">
      <alignment horizontal="left" wrapText="1"/>
    </xf>
    <xf numFmtId="0" fontId="114" fillId="26" borderId="311" xfId="58" applyFont="1" applyFill="1" applyBorder="1"/>
    <xf numFmtId="3" fontId="59" fillId="26" borderId="251" xfId="58" applyNumberFormat="1" applyFont="1" applyFill="1" applyBorder="1" applyAlignment="1">
      <alignment horizontal="right"/>
    </xf>
    <xf numFmtId="3" fontId="53" fillId="26" borderId="302" xfId="58" applyNumberFormat="1" applyFont="1" applyFill="1" applyBorder="1"/>
    <xf numFmtId="3" fontId="44" fillId="26" borderId="302" xfId="58" applyNumberFormat="1" applyFont="1" applyFill="1" applyBorder="1" applyAlignment="1">
      <alignment horizontal="right"/>
    </xf>
    <xf numFmtId="3" fontId="59" fillId="26" borderId="308" xfId="58" applyNumberFormat="1" applyFont="1" applyFill="1" applyBorder="1" applyAlignment="1">
      <alignment horizontal="right"/>
    </xf>
    <xf numFmtId="3" fontId="113" fillId="26" borderId="308" xfId="58" applyNumberFormat="1" applyFont="1" applyFill="1" applyBorder="1" applyAlignment="1">
      <alignment horizontal="right"/>
    </xf>
    <xf numFmtId="3" fontId="114" fillId="26" borderId="308" xfId="58" applyNumberFormat="1" applyFont="1" applyFill="1" applyBorder="1" applyAlignment="1">
      <alignment horizontal="right"/>
    </xf>
    <xf numFmtId="3" fontId="59" fillId="26" borderId="256" xfId="58" applyNumberFormat="1" applyFont="1" applyFill="1" applyBorder="1"/>
    <xf numFmtId="0" fontId="60" fillId="26" borderId="243" xfId="58" applyFont="1" applyFill="1" applyBorder="1"/>
    <xf numFmtId="3" fontId="53" fillId="26" borderId="244" xfId="58" applyNumberFormat="1" applyFont="1" applyFill="1" applyBorder="1"/>
    <xf numFmtId="0" fontId="60" fillId="26" borderId="251" xfId="58" applyFont="1" applyFill="1" applyBorder="1"/>
    <xf numFmtId="3" fontId="53" fillId="26" borderId="252" xfId="58" applyNumberFormat="1" applyFont="1" applyFill="1" applyBorder="1"/>
    <xf numFmtId="0" fontId="60" fillId="26" borderId="303" xfId="58" applyFont="1" applyFill="1" applyBorder="1"/>
    <xf numFmtId="3" fontId="59" fillId="26" borderId="303" xfId="58" applyNumberFormat="1" applyFont="1" applyFill="1" applyBorder="1" applyAlignment="1">
      <alignment horizontal="right"/>
    </xf>
    <xf numFmtId="3" fontId="60" fillId="26" borderId="308" xfId="58" applyNumberFormat="1" applyFont="1" applyFill="1" applyBorder="1" applyAlignment="1">
      <alignment horizontal="right"/>
    </xf>
    <xf numFmtId="3" fontId="44" fillId="26" borderId="302" xfId="58" applyNumberFormat="1" applyFont="1" applyFill="1" applyBorder="1"/>
    <xf numFmtId="3" fontId="59" fillId="26" borderId="309" xfId="58" applyNumberFormat="1" applyFont="1" applyFill="1" applyBorder="1" applyAlignment="1">
      <alignment horizontal="right"/>
    </xf>
    <xf numFmtId="3" fontId="44" fillId="26" borderId="301" xfId="58" applyNumberFormat="1" applyFont="1" applyFill="1" applyBorder="1"/>
    <xf numFmtId="3" fontId="59" fillId="26" borderId="301" xfId="58" applyNumberFormat="1" applyFont="1" applyFill="1" applyBorder="1" applyAlignment="1">
      <alignment horizontal="right"/>
    </xf>
    <xf numFmtId="3" fontId="53" fillId="26" borderId="301" xfId="58" applyNumberFormat="1" applyFont="1" applyFill="1" applyBorder="1"/>
    <xf numFmtId="3" fontId="44" fillId="26" borderId="301" xfId="58" applyNumberFormat="1" applyFont="1" applyFill="1" applyBorder="1" applyAlignment="1">
      <alignment horizontal="right"/>
    </xf>
    <xf numFmtId="3" fontId="44" fillId="26" borderId="295" xfId="58" applyNumberFormat="1" applyFont="1" applyFill="1" applyBorder="1"/>
    <xf numFmtId="3" fontId="53" fillId="26" borderId="307" xfId="58" applyNumberFormat="1" applyFont="1" applyFill="1" applyBorder="1"/>
    <xf numFmtId="3" fontId="53" fillId="26" borderId="306" xfId="58" applyNumberFormat="1" applyFont="1" applyFill="1" applyBorder="1"/>
    <xf numFmtId="0" fontId="28" fillId="0" borderId="44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28" fillId="0" borderId="79" xfId="0" applyFont="1" applyBorder="1" applyAlignment="1">
      <alignment horizontal="center"/>
    </xf>
    <xf numFmtId="0" fontId="0" fillId="0" borderId="80" xfId="0" applyBorder="1" applyAlignment="1"/>
    <xf numFmtId="0" fontId="28" fillId="0" borderId="0" xfId="0" applyFont="1" applyBorder="1" applyAlignment="1">
      <alignment horizontal="center"/>
    </xf>
    <xf numFmtId="0" fontId="28" fillId="0" borderId="57" xfId="0" applyFont="1" applyBorder="1" applyAlignment="1">
      <alignment horizontal="left"/>
    </xf>
    <xf numFmtId="0" fontId="0" fillId="0" borderId="73" xfId="0" applyBorder="1" applyAlignment="1"/>
    <xf numFmtId="0" fontId="28" fillId="0" borderId="73" xfId="0" applyFont="1" applyBorder="1" applyAlignment="1">
      <alignment horizontal="left"/>
    </xf>
    <xf numFmtId="0" fontId="27" fillId="0" borderId="288" xfId="0" applyFont="1" applyBorder="1" applyAlignment="1">
      <alignment horizontal="center"/>
    </xf>
    <xf numFmtId="0" fontId="27" fillId="0" borderId="289" xfId="0" applyFont="1" applyBorder="1" applyAlignment="1">
      <alignment horizontal="center"/>
    </xf>
    <xf numFmtId="0" fontId="28" fillId="0" borderId="67" xfId="0" applyFont="1" applyBorder="1" applyAlignment="1">
      <alignment horizontal="left"/>
    </xf>
    <xf numFmtId="0" fontId="28" fillId="0" borderId="57" xfId="0" applyFont="1" applyBorder="1" applyAlignment="1"/>
    <xf numFmtId="0" fontId="28" fillId="0" borderId="73" xfId="0" applyFont="1" applyBorder="1" applyAlignment="1"/>
    <xf numFmtId="49" fontId="28" fillId="0" borderId="57" xfId="0" applyNumberFormat="1" applyFont="1" applyBorder="1" applyAlignment="1">
      <alignment horizontal="left" wrapText="1"/>
    </xf>
    <xf numFmtId="49" fontId="28" fillId="0" borderId="73" xfId="0" applyNumberFormat="1" applyFont="1" applyBorder="1" applyAlignment="1">
      <alignment horizontal="left" wrapText="1"/>
    </xf>
    <xf numFmtId="0" fontId="28" fillId="0" borderId="44" xfId="0" applyFont="1" applyBorder="1" applyAlignment="1"/>
    <xf numFmtId="0" fontId="28" fillId="0" borderId="84" xfId="0" applyFont="1" applyBorder="1" applyAlignment="1"/>
    <xf numFmtId="49" fontId="28" fillId="0" borderId="85" xfId="0" applyNumberFormat="1" applyFont="1" applyBorder="1" applyAlignment="1">
      <alignment horizontal="left" wrapText="1"/>
    </xf>
    <xf numFmtId="49" fontId="28" fillId="0" borderId="81" xfId="0" applyNumberFormat="1" applyFont="1" applyBorder="1" applyAlignment="1">
      <alignment horizontal="left" wrapText="1"/>
    </xf>
    <xf numFmtId="0" fontId="28" fillId="0" borderId="228" xfId="0" applyFont="1" applyBorder="1" applyAlignment="1"/>
    <xf numFmtId="0" fontId="0" fillId="0" borderId="229" xfId="0" applyBorder="1" applyAlignment="1"/>
    <xf numFmtId="0" fontId="32" fillId="0" borderId="0" xfId="45" applyFont="1" applyBorder="1" applyAlignment="1">
      <alignment horizontal="center"/>
    </xf>
    <xf numFmtId="0" fontId="32" fillId="0" borderId="34" xfId="45" applyFont="1" applyBorder="1" applyAlignment="1">
      <alignment horizontal="center"/>
    </xf>
    <xf numFmtId="0" fontId="32" fillId="0" borderId="40" xfId="45" applyFont="1" applyBorder="1" applyAlignment="1">
      <alignment horizontal="center"/>
    </xf>
    <xf numFmtId="0" fontId="32" fillId="0" borderId="35" xfId="45" applyFont="1" applyBorder="1" applyAlignment="1">
      <alignment horizontal="center"/>
    </xf>
    <xf numFmtId="0" fontId="41" fillId="0" borderId="0" xfId="0" applyFont="1" applyBorder="1" applyAlignment="1">
      <alignment horizontal="center" shrinkToFit="1"/>
    </xf>
    <xf numFmtId="0" fontId="41" fillId="0" borderId="2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4" fillId="0" borderId="282" xfId="74" applyFont="1" applyBorder="1" applyAlignment="1">
      <alignment horizontal="left"/>
    </xf>
    <xf numFmtId="0" fontId="104" fillId="0" borderId="282" xfId="74" applyFont="1" applyBorder="1" applyAlignment="1">
      <alignment horizontal="center" vertical="center"/>
    </xf>
    <xf numFmtId="0" fontId="104" fillId="0" borderId="282" xfId="74" applyFont="1" applyBorder="1" applyAlignment="1">
      <alignment horizontal="center" vertical="center" wrapText="1"/>
    </xf>
    <xf numFmtId="3" fontId="104" fillId="0" borderId="282" xfId="74" applyNumberFormat="1" applyFont="1" applyBorder="1" applyAlignment="1">
      <alignment horizontal="center" vertical="center" wrapText="1"/>
    </xf>
    <xf numFmtId="0" fontId="104" fillId="26" borderId="282" xfId="74" applyFont="1" applyFill="1" applyBorder="1" applyAlignment="1">
      <alignment horizontal="left"/>
    </xf>
    <xf numFmtId="0" fontId="107" fillId="0" borderId="0" xfId="74" applyFont="1" applyBorder="1" applyAlignment="1">
      <alignment horizontal="center" wrapText="1"/>
    </xf>
    <xf numFmtId="0" fontId="106" fillId="0" borderId="0" xfId="56" applyFont="1" applyBorder="1" applyAlignment="1">
      <alignment horizontal="center"/>
    </xf>
    <xf numFmtId="0" fontId="104" fillId="0" borderId="293" xfId="74" applyFont="1" applyBorder="1" applyAlignment="1">
      <alignment horizontal="center" vertical="center"/>
    </xf>
    <xf numFmtId="0" fontId="104" fillId="0" borderId="230" xfId="74" applyFont="1" applyBorder="1" applyAlignment="1">
      <alignment horizontal="center" vertical="center"/>
    </xf>
    <xf numFmtId="0" fontId="104" fillId="0" borderId="285" xfId="74" applyFont="1" applyBorder="1" applyAlignment="1">
      <alignment horizontal="center" vertical="center"/>
    </xf>
    <xf numFmtId="0" fontId="104" fillId="0" borderId="230" xfId="74" applyFont="1" applyBorder="1" applyAlignment="1">
      <alignment horizontal="center"/>
    </xf>
    <xf numFmtId="0" fontId="104" fillId="0" borderId="231" xfId="74" applyFont="1" applyBorder="1" applyAlignment="1">
      <alignment horizontal="center" vertical="center" wrapText="1"/>
    </xf>
    <xf numFmtId="0" fontId="104" fillId="0" borderId="286" xfId="74" applyFont="1" applyBorder="1" applyAlignment="1">
      <alignment horizontal="center" vertical="center" wrapText="1"/>
    </xf>
    <xf numFmtId="0" fontId="108" fillId="0" borderId="285" xfId="55" applyFont="1" applyBorder="1" applyAlignment="1">
      <alignment horizontal="center" vertical="center"/>
    </xf>
    <xf numFmtId="0" fontId="108" fillId="0" borderId="282" xfId="55" applyFont="1" applyBorder="1" applyAlignment="1">
      <alignment horizontal="center" vertical="center"/>
    </xf>
    <xf numFmtId="0" fontId="108" fillId="0" borderId="287" xfId="55" applyFont="1" applyBorder="1" applyAlignment="1"/>
    <xf numFmtId="0" fontId="61" fillId="0" borderId="294" xfId="55" applyBorder="1" applyAlignment="1"/>
    <xf numFmtId="0" fontId="108" fillId="0" borderId="285" xfId="55" applyFont="1" applyBorder="1" applyAlignment="1">
      <alignment horizontal="left" vertical="center"/>
    </xf>
    <xf numFmtId="0" fontId="108" fillId="0" borderId="282" xfId="55" applyFont="1" applyBorder="1" applyAlignment="1">
      <alignment horizontal="left" vertical="center"/>
    </xf>
    <xf numFmtId="0" fontId="108" fillId="0" borderId="284" xfId="55" applyFont="1" applyBorder="1" applyAlignment="1">
      <alignment horizontal="center" vertical="center"/>
    </xf>
    <xf numFmtId="0" fontId="108" fillId="0" borderId="283" xfId="55" applyFont="1" applyBorder="1" applyAlignment="1">
      <alignment horizontal="center" vertical="center"/>
    </xf>
    <xf numFmtId="0" fontId="108" fillId="29" borderId="285" xfId="55" applyFont="1" applyFill="1" applyBorder="1" applyAlignment="1">
      <alignment horizontal="left" vertical="center"/>
    </xf>
    <xf numFmtId="0" fontId="108" fillId="29" borderId="282" xfId="55" applyFont="1" applyFill="1" applyBorder="1" applyAlignment="1">
      <alignment horizontal="left" vertical="center"/>
    </xf>
    <xf numFmtId="0" fontId="108" fillId="29" borderId="285" xfId="55" applyFont="1" applyFill="1" applyBorder="1" applyAlignment="1">
      <alignment horizontal="center" vertical="center"/>
    </xf>
    <xf numFmtId="0" fontId="108" fillId="29" borderId="282" xfId="55" applyFont="1" applyFill="1" applyBorder="1" applyAlignment="1">
      <alignment horizontal="center" vertical="center"/>
    </xf>
    <xf numFmtId="0" fontId="108" fillId="0" borderId="282" xfId="55" applyFont="1" applyBorder="1" applyAlignment="1">
      <alignment horizontal="center" vertical="center" wrapText="1"/>
    </xf>
    <xf numFmtId="0" fontId="111" fillId="0" borderId="0" xfId="55" applyFont="1" applyBorder="1"/>
    <xf numFmtId="0" fontId="110" fillId="0" borderId="0" xfId="55" applyFont="1" applyBorder="1" applyAlignment="1">
      <alignment horizontal="center" wrapText="1"/>
    </xf>
    <xf numFmtId="0" fontId="108" fillId="0" borderId="293" xfId="55" applyFont="1" applyBorder="1" applyAlignment="1">
      <alignment horizontal="center" vertical="center"/>
    </xf>
    <xf numFmtId="0" fontId="108" fillId="0" borderId="230" xfId="55" applyFont="1" applyBorder="1" applyAlignment="1">
      <alignment horizontal="center" vertical="center"/>
    </xf>
    <xf numFmtId="3" fontId="108" fillId="0" borderId="230" xfId="55" applyNumberFormat="1" applyFont="1" applyBorder="1" applyAlignment="1">
      <alignment horizontal="center" vertical="center"/>
    </xf>
    <xf numFmtId="3" fontId="108" fillId="0" borderId="282" xfId="55" applyNumberFormat="1" applyFont="1" applyBorder="1" applyAlignment="1">
      <alignment horizontal="center" vertical="center"/>
    </xf>
    <xf numFmtId="0" fontId="108" fillId="0" borderId="230" xfId="55" applyFont="1" applyBorder="1" applyAlignment="1">
      <alignment horizontal="center"/>
    </xf>
    <xf numFmtId="0" fontId="108" fillId="0" borderId="231" xfId="55" applyFont="1" applyBorder="1" applyAlignment="1">
      <alignment horizontal="center"/>
    </xf>
    <xf numFmtId="3" fontId="108" fillId="0" borderId="282" xfId="55" applyNumberFormat="1" applyFont="1" applyBorder="1" applyAlignment="1">
      <alignment horizontal="center" vertical="center" wrapText="1"/>
    </xf>
    <xf numFmtId="0" fontId="108" fillId="0" borderId="286" xfId="55" applyFont="1" applyBorder="1" applyAlignment="1">
      <alignment horizontal="center" vertical="center" wrapText="1"/>
    </xf>
    <xf numFmtId="0" fontId="87" fillId="0" borderId="203" xfId="75" applyNumberFormat="1" applyFont="1" applyFill="1" applyBorder="1" applyAlignment="1" applyProtection="1">
      <alignment horizontal="center" vertical="center"/>
    </xf>
    <xf numFmtId="0" fontId="87" fillId="0" borderId="204" xfId="75" applyNumberFormat="1" applyFont="1" applyFill="1" applyBorder="1" applyAlignment="1" applyProtection="1">
      <alignment horizontal="center" vertical="center" wrapText="1"/>
    </xf>
    <xf numFmtId="0" fontId="87" fillId="0" borderId="170" xfId="75" applyNumberFormat="1" applyFont="1" applyFill="1" applyBorder="1" applyAlignment="1" applyProtection="1">
      <alignment horizontal="center" vertical="center" wrapText="1"/>
    </xf>
    <xf numFmtId="0" fontId="87" fillId="0" borderId="205" xfId="75" applyNumberFormat="1" applyFont="1" applyFill="1" applyBorder="1" applyAlignment="1" applyProtection="1">
      <alignment horizontal="center" vertical="center" wrapText="1"/>
    </xf>
    <xf numFmtId="0" fontId="87" fillId="0" borderId="171" xfId="75" applyNumberFormat="1" applyFont="1" applyFill="1" applyBorder="1" applyAlignment="1" applyProtection="1">
      <alignment horizontal="center" vertical="center" wrapText="1"/>
    </xf>
    <xf numFmtId="0" fontId="87" fillId="0" borderId="206" xfId="75" applyNumberFormat="1" applyFont="1" applyFill="1" applyBorder="1" applyAlignment="1" applyProtection="1">
      <alignment horizontal="center" vertical="center" wrapText="1"/>
    </xf>
    <xf numFmtId="0" fontId="87" fillId="0" borderId="172" xfId="75" applyNumberFormat="1" applyFont="1" applyFill="1" applyBorder="1" applyAlignment="1" applyProtection="1">
      <alignment horizontal="center" vertical="center" wrapText="1"/>
    </xf>
    <xf numFmtId="0" fontId="95" fillId="0" borderId="170" xfId="75" applyNumberFormat="1" applyFont="1" applyFill="1" applyBorder="1" applyAlignment="1" applyProtection="1">
      <alignment horizontal="center" vertical="center" wrapText="1"/>
    </xf>
    <xf numFmtId="0" fontId="95" fillId="0" borderId="171" xfId="75" applyNumberFormat="1" applyFont="1" applyFill="1" applyBorder="1" applyAlignment="1" applyProtection="1">
      <alignment horizontal="center" vertical="center" wrapText="1"/>
    </xf>
    <xf numFmtId="0" fontId="87" fillId="0" borderId="173" xfId="75" applyNumberFormat="1" applyFont="1" applyFill="1" applyBorder="1" applyAlignment="1" applyProtection="1">
      <alignment horizontal="center" vertical="center" wrapText="1"/>
    </xf>
    <xf numFmtId="0" fontId="87" fillId="0" borderId="174" xfId="75" applyNumberFormat="1" applyFont="1" applyFill="1" applyBorder="1" applyAlignment="1" applyProtection="1">
      <alignment horizontal="center" vertical="center" wrapText="1"/>
    </xf>
    <xf numFmtId="0" fontId="95" fillId="0" borderId="174" xfId="75" applyNumberFormat="1" applyFont="1" applyFill="1" applyBorder="1" applyAlignment="1" applyProtection="1">
      <alignment horizontal="center" vertical="center" wrapText="1"/>
    </xf>
    <xf numFmtId="0" fontId="87" fillId="0" borderId="207" xfId="75" applyNumberFormat="1" applyFont="1" applyFill="1" applyBorder="1" applyAlignment="1" applyProtection="1">
      <alignment horizontal="center" vertical="center"/>
    </xf>
    <xf numFmtId="0" fontId="87" fillId="0" borderId="205" xfId="75" applyNumberFormat="1" applyFont="1" applyFill="1" applyBorder="1" applyAlignment="1" applyProtection="1">
      <alignment horizontal="center" vertical="center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0" fontId="80" fillId="0" borderId="0" xfId="64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50" fillId="0" borderId="0" xfId="57" applyFont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6" fillId="0" borderId="106" xfId="57" applyFont="1" applyBorder="1" applyAlignment="1">
      <alignment horizontal="center" vertical="center" wrapText="1"/>
    </xf>
    <xf numFmtId="0" fontId="46" fillId="0" borderId="154" xfId="57" applyFont="1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30" fillId="0" borderId="157" xfId="57" applyFont="1" applyBorder="1" applyAlignment="1">
      <alignment horizontal="left"/>
    </xf>
    <xf numFmtId="0" fontId="30" fillId="0" borderId="161" xfId="57" applyFont="1" applyBorder="1" applyAlignment="1">
      <alignment horizontal="left"/>
    </xf>
    <xf numFmtId="0" fontId="46" fillId="0" borderId="155" xfId="57" applyFont="1" applyBorder="1" applyAlignment="1">
      <alignment horizontal="center" vertical="center"/>
    </xf>
    <xf numFmtId="0" fontId="46" fillId="0" borderId="115" xfId="57" applyFont="1" applyBorder="1" applyAlignment="1">
      <alignment horizontal="center" vertical="center"/>
    </xf>
    <xf numFmtId="0" fontId="46" fillId="0" borderId="20" xfId="57" applyFont="1" applyBorder="1" applyAlignment="1">
      <alignment horizontal="center" vertical="center"/>
    </xf>
    <xf numFmtId="0" fontId="46" fillId="0" borderId="103" xfId="57" applyFont="1" applyBorder="1" applyAlignment="1">
      <alignment horizontal="center" vertical="center" wrapText="1"/>
    </xf>
    <xf numFmtId="0" fontId="46" fillId="0" borderId="104" xfId="57" applyFont="1" applyBorder="1" applyAlignment="1">
      <alignment horizontal="center" vertical="center" wrapText="1"/>
    </xf>
    <xf numFmtId="0" fontId="30" fillId="0" borderId="108" xfId="57" applyFont="1" applyBorder="1" applyAlignment="1">
      <alignment horizontal="left"/>
    </xf>
    <xf numFmtId="0" fontId="30" fillId="0" borderId="111" xfId="57" applyFont="1" applyBorder="1" applyAlignment="1">
      <alignment horizontal="left"/>
    </xf>
    <xf numFmtId="0" fontId="46" fillId="0" borderId="266" xfId="0" applyFont="1" applyBorder="1" applyAlignment="1">
      <alignment horizontal="center" vertical="center" wrapText="1"/>
    </xf>
    <xf numFmtId="0" fontId="46" fillId="0" borderId="154" xfId="0" applyFont="1" applyBorder="1" applyAlignment="1">
      <alignment horizontal="center" vertical="center" wrapText="1"/>
    </xf>
    <xf numFmtId="0" fontId="46" fillId="0" borderId="267" xfId="0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/>
    </xf>
    <xf numFmtId="0" fontId="44" fillId="0" borderId="190" xfId="44" applyFont="1" applyBorder="1" applyAlignment="1">
      <alignment horizontal="center" vertical="center"/>
    </xf>
    <xf numFmtId="0" fontId="44" fillId="0" borderId="154" xfId="44" applyFont="1" applyBorder="1" applyAlignment="1">
      <alignment horizontal="center" vertical="center"/>
    </xf>
    <xf numFmtId="0" fontId="0" fillId="0" borderId="138" xfId="0" applyBorder="1" applyAlignment="1"/>
    <xf numFmtId="0" fontId="44" fillId="0" borderId="107" xfId="44" applyFont="1" applyBorder="1" applyAlignment="1">
      <alignment horizontal="center" vertical="center"/>
    </xf>
    <xf numFmtId="0" fontId="44" fillId="0" borderId="199" xfId="44" applyFont="1" applyBorder="1" applyAlignment="1">
      <alignment horizontal="center" vertical="center"/>
    </xf>
    <xf numFmtId="0" fontId="44" fillId="0" borderId="0" xfId="44" applyFont="1" applyBorder="1" applyAlignment="1">
      <alignment horizontal="center"/>
    </xf>
    <xf numFmtId="3" fontId="44" fillId="0" borderId="307" xfId="58" applyNumberFormat="1" applyFont="1" applyFill="1" applyBorder="1" applyAlignment="1">
      <alignment horizontal="center" vertical="center" wrapText="1"/>
    </xf>
    <xf numFmtId="3" fontId="53" fillId="0" borderId="295" xfId="58" applyNumberFormat="1" applyFont="1" applyFill="1" applyBorder="1" applyAlignment="1">
      <alignment horizontal="center" vertical="center" wrapText="1"/>
    </xf>
    <xf numFmtId="0" fontId="33" fillId="0" borderId="0" xfId="58" applyFont="1" applyFill="1" applyBorder="1" applyAlignment="1">
      <alignment horizontal="center"/>
    </xf>
    <xf numFmtId="0" fontId="33" fillId="0" borderId="0" xfId="58" applyFont="1" applyFill="1" applyAlignment="1">
      <alignment horizontal="center"/>
    </xf>
    <xf numFmtId="3" fontId="44" fillId="0" borderId="244" xfId="58" applyNumberFormat="1" applyFont="1" applyFill="1" applyBorder="1" applyAlignment="1">
      <alignment horizontal="center" vertical="center" wrapText="1"/>
    </xf>
    <xf numFmtId="3" fontId="53" fillId="0" borderId="248" xfId="58" applyNumberFormat="1" applyFont="1" applyFill="1" applyBorder="1" applyAlignment="1">
      <alignment horizontal="center" vertical="center" wrapText="1"/>
    </xf>
    <xf numFmtId="3" fontId="31" fillId="0" borderId="309" xfId="58" applyNumberFormat="1" applyFont="1" applyFill="1" applyBorder="1" applyAlignment="1">
      <alignment horizontal="left"/>
    </xf>
    <xf numFmtId="3" fontId="31" fillId="0" borderId="312" xfId="58" applyNumberFormat="1" applyFont="1" applyFill="1" applyBorder="1" applyAlignment="1">
      <alignment horizontal="left"/>
    </xf>
    <xf numFmtId="3" fontId="31" fillId="0" borderId="310" xfId="58" applyNumberFormat="1" applyFont="1" applyFill="1" applyBorder="1" applyAlignment="1">
      <alignment horizontal="left"/>
    </xf>
    <xf numFmtId="0" fontId="122" fillId="0" borderId="238" xfId="58" applyFont="1" applyFill="1" applyBorder="1" applyAlignment="1">
      <alignment horizontal="center"/>
    </xf>
    <xf numFmtId="0" fontId="31" fillId="0" borderId="239" xfId="58" applyFont="1" applyFill="1" applyBorder="1" applyAlignment="1">
      <alignment horizontal="center" vertical="center" wrapText="1"/>
    </xf>
    <xf numFmtId="0" fontId="31" fillId="0" borderId="245" xfId="58" applyFont="1" applyFill="1" applyBorder="1" applyAlignment="1">
      <alignment horizontal="center" vertical="center" wrapText="1"/>
    </xf>
    <xf numFmtId="49" fontId="33" fillId="0" borderId="240" xfId="58" applyNumberFormat="1" applyFont="1" applyFill="1" applyBorder="1" applyAlignment="1">
      <alignment horizontal="center" vertical="center"/>
    </xf>
    <xf numFmtId="49" fontId="33" fillId="0" borderId="155" xfId="58" applyNumberFormat="1" applyFont="1" applyFill="1" applyBorder="1" applyAlignment="1">
      <alignment horizontal="center" vertical="center"/>
    </xf>
    <xf numFmtId="0" fontId="44" fillId="0" borderId="241" xfId="58" applyFont="1" applyFill="1" applyBorder="1" applyAlignment="1">
      <alignment horizontal="center"/>
    </xf>
    <xf numFmtId="0" fontId="44" fillId="0" borderId="242" xfId="58" applyFont="1" applyFill="1" applyBorder="1" applyAlignment="1">
      <alignment horizontal="center"/>
    </xf>
    <xf numFmtId="3" fontId="58" fillId="0" borderId="243" xfId="58" applyNumberFormat="1" applyFont="1" applyFill="1" applyBorder="1" applyAlignment="1">
      <alignment horizontal="center" vertical="center" wrapText="1"/>
    </xf>
    <xf numFmtId="3" fontId="94" fillId="0" borderId="247" xfId="58" applyNumberFormat="1" applyFont="1" applyFill="1" applyBorder="1" applyAlignment="1">
      <alignment horizontal="center" vertical="center" wrapText="1"/>
    </xf>
    <xf numFmtId="0" fontId="27" fillId="0" borderId="305" xfId="58" applyFont="1" applyFill="1" applyBorder="1" applyAlignment="1">
      <alignment horizontal="center" vertical="center" wrapText="1"/>
    </xf>
    <xf numFmtId="0" fontId="27" fillId="0" borderId="315" xfId="58" applyFont="1" applyFill="1" applyBorder="1" applyAlignment="1">
      <alignment horizontal="center" vertical="center" wrapText="1"/>
    </xf>
    <xf numFmtId="0" fontId="38" fillId="26" borderId="0" xfId="58" applyFont="1" applyFill="1" applyAlignment="1">
      <alignment horizontal="right"/>
    </xf>
    <xf numFmtId="49" fontId="31" fillId="0" borderId="305" xfId="58" applyNumberFormat="1" applyFont="1" applyFill="1" applyBorder="1" applyAlignment="1">
      <alignment horizontal="left"/>
    </xf>
    <xf numFmtId="49" fontId="31" fillId="0" borderId="304" xfId="58" applyNumberFormat="1" applyFont="1" applyFill="1" applyBorder="1" applyAlignment="1">
      <alignment horizontal="left"/>
    </xf>
    <xf numFmtId="49" fontId="31" fillId="0" borderId="259" xfId="58" applyNumberFormat="1" applyFont="1" applyFill="1" applyBorder="1" applyAlignment="1">
      <alignment horizontal="left"/>
    </xf>
    <xf numFmtId="49" fontId="31" fillId="0" borderId="0" xfId="58" applyNumberFormat="1" applyFont="1" applyFill="1" applyBorder="1" applyAlignment="1">
      <alignment horizontal="left"/>
    </xf>
    <xf numFmtId="49" fontId="94" fillId="0" borderId="300" xfId="58" applyNumberFormat="1" applyFont="1" applyFill="1" applyBorder="1" applyAlignment="1">
      <alignment horizontal="left" vertical="center" wrapText="1"/>
    </xf>
    <xf numFmtId="49" fontId="94" fillId="0" borderId="299" xfId="58" applyNumberFormat="1" applyFont="1" applyFill="1" applyBorder="1" applyAlignment="1">
      <alignment horizontal="left" vertical="center" wrapText="1"/>
    </xf>
    <xf numFmtId="3" fontId="77" fillId="0" borderId="0" xfId="0" applyNumberFormat="1" applyFont="1" applyBorder="1" applyAlignment="1">
      <alignment horizontal="center"/>
    </xf>
  </cellXfs>
  <cellStyles count="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" xfId="76" builtinId="3"/>
    <cellStyle name="Ezres 2" xfId="65"/>
    <cellStyle name="Ezres 3" xfId="67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74"/>
    <cellStyle name="Neutral" xfId="42"/>
    <cellStyle name="Normál" xfId="0" builtinId="0"/>
    <cellStyle name="Normál 2" xfId="55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8"/>
    <cellStyle name="Normál 9 2" xfId="69"/>
    <cellStyle name="Normál 9 3" xfId="70"/>
    <cellStyle name="Normál 9 4" xfId="71"/>
    <cellStyle name="Normál 9 5" xfId="72"/>
    <cellStyle name="Normál 9 6" xfId="73"/>
    <cellStyle name="Normál 9 7" xfId="75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14</xdr:row>
      <xdr:rowOff>119062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34025" y="2824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OMBOR~1\LOCALS~1\Temp\2012.%20&#233;vi%20k&#246;lts&#233;gvet&#233;si%20t&#225;bl&#225;k%202010.01.05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rdai%20M&#225;ria%20Mell&#233;kletek-Rendeletm&#243;dos&#237;t&#225;s%202017.%20IX.%20xlsx-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e&#233;rkez&#337;%20anyagok/Ardai%20M&#225;ria%20Mell&#233;kletek-Rendeletm&#243;dos&#237;t&#225;s%202017.%20IX.%20xlsx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Local%20Settings\Temp\2012.%20&#233;vi%20k&#246;lts&#233;gvet&#233;si%20t&#225;bl&#225;k%202010.01.05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DOCUME~1\ZSOMBO~1\LOCALS~1\Temp\DOCUME~1\ZSOMBO~1\LOCALS~1\Temp\Barbara\10.%20mell&#233;klet%20Ic&#225;nak%20(%20cellat&#246;rl&#337;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245122</v>
          </cell>
          <cell r="G6">
            <v>131593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BreakPreview" zoomScale="77" zoomScaleNormal="79" zoomScaleSheetLayoutView="77" workbookViewId="0">
      <selection activeCell="D41" sqref="D41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11.140625" style="2" customWidth="1"/>
    <col min="5" max="5" width="11.7109375" style="2" bestFit="1" customWidth="1"/>
    <col min="6" max="6" width="12.42578125" style="1" customWidth="1"/>
    <col min="7" max="7" width="64.42578125" style="1" customWidth="1"/>
    <col min="8" max="8" width="9.5703125" style="2" customWidth="1"/>
    <col min="9" max="9" width="11.140625" style="1" bestFit="1" customWidth="1"/>
    <col min="10" max="10" width="10.7109375" style="1" customWidth="1"/>
    <col min="11" max="16384" width="9.140625" style="1"/>
  </cols>
  <sheetData>
    <row r="1" spans="1:10" ht="12.75" customHeight="1" x14ac:dyDescent="0.2">
      <c r="A1" s="3"/>
    </row>
    <row r="2" spans="1:10" ht="14.25" customHeight="1" x14ac:dyDescent="0.2">
      <c r="A2" s="1348" t="s">
        <v>339</v>
      </c>
      <c r="B2" s="1348"/>
      <c r="C2" s="1348"/>
      <c r="D2" s="1348"/>
      <c r="E2" s="1348"/>
      <c r="F2" s="1348"/>
      <c r="G2" s="1348"/>
      <c r="H2" s="1348"/>
      <c r="I2" s="1348"/>
      <c r="J2" s="1348"/>
    </row>
    <row r="3" spans="1:10" ht="13.5" customHeight="1" thickBot="1" x14ac:dyDescent="0.25">
      <c r="F3" s="2"/>
      <c r="G3" s="2"/>
    </row>
    <row r="4" spans="1:10" ht="13.5" customHeight="1" thickBot="1" x14ac:dyDescent="0.25">
      <c r="A4" s="1343" t="s">
        <v>0</v>
      </c>
      <c r="B4" s="1344"/>
      <c r="C4" s="1344"/>
      <c r="D4" s="1344"/>
      <c r="E4" s="1345"/>
      <c r="F4" s="1346" t="s">
        <v>1</v>
      </c>
      <c r="G4" s="1346"/>
      <c r="H4" s="1346"/>
      <c r="I4" s="1346"/>
      <c r="J4" s="1347"/>
    </row>
    <row r="5" spans="1:10" ht="36.75" customHeight="1" thickBot="1" x14ac:dyDescent="0.25">
      <c r="A5" s="1340" t="s">
        <v>2</v>
      </c>
      <c r="B5" s="1341"/>
      <c r="C5" s="376" t="s">
        <v>3</v>
      </c>
      <c r="D5" s="311" t="s">
        <v>566</v>
      </c>
      <c r="E5" s="255" t="s">
        <v>619</v>
      </c>
      <c r="F5" s="1342" t="s">
        <v>2</v>
      </c>
      <c r="G5" s="1341"/>
      <c r="H5" s="311" t="s">
        <v>4</v>
      </c>
      <c r="I5" s="376" t="s">
        <v>566</v>
      </c>
      <c r="J5" s="311" t="s">
        <v>620</v>
      </c>
    </row>
    <row r="6" spans="1:10" ht="13.5" customHeight="1" x14ac:dyDescent="0.2">
      <c r="A6" s="111" t="s">
        <v>5</v>
      </c>
      <c r="B6" s="373"/>
      <c r="C6" s="374">
        <f>'3. sz. melléklet'!K6</f>
        <v>974690</v>
      </c>
      <c r="D6" s="375">
        <f>'3. sz. melléklet'!L6</f>
        <v>1087989</v>
      </c>
      <c r="E6" s="353">
        <f>'3. sz. melléklet'!M6</f>
        <v>1124300</v>
      </c>
      <c r="F6" s="114" t="s">
        <v>6</v>
      </c>
      <c r="G6" s="350"/>
      <c r="H6" s="355">
        <f>'4.sz. melléklet'!M6</f>
        <v>1212281</v>
      </c>
      <c r="I6" s="356">
        <f>'4.sz. melléklet'!N6</f>
        <v>1253516</v>
      </c>
      <c r="J6" s="355">
        <f>'4.sz. melléklet'!O6</f>
        <v>1279168</v>
      </c>
    </row>
    <row r="7" spans="1:10" ht="13.5" customHeight="1" x14ac:dyDescent="0.2">
      <c r="A7" s="296" t="s">
        <v>336</v>
      </c>
      <c r="B7" s="326"/>
      <c r="C7" s="321"/>
      <c r="D7" s="315"/>
      <c r="E7" s="331"/>
      <c r="F7" s="256"/>
      <c r="G7" s="302"/>
      <c r="H7" s="314"/>
      <c r="I7" s="320"/>
      <c r="J7" s="314"/>
    </row>
    <row r="8" spans="1:10" ht="13.5" customHeight="1" x14ac:dyDescent="0.2">
      <c r="A8" s="1349" t="s">
        <v>7</v>
      </c>
      <c r="B8" s="1351"/>
      <c r="C8" s="321">
        <f>SUM(C9)</f>
        <v>237585</v>
      </c>
      <c r="D8" s="315">
        <f>'3. sz. melléklet'!L7</f>
        <v>240084</v>
      </c>
      <c r="E8" s="331">
        <f>'3. sz. melléklet'!M7</f>
        <v>596769</v>
      </c>
      <c r="F8" s="256"/>
      <c r="G8" s="302"/>
      <c r="H8" s="315"/>
      <c r="I8" s="321"/>
      <c r="J8" s="315"/>
    </row>
    <row r="9" spans="1:10" ht="12.75" customHeight="1" x14ac:dyDescent="0.2">
      <c r="A9" s="297"/>
      <c r="B9" s="305" t="s">
        <v>8</v>
      </c>
      <c r="C9" s="325">
        <f>('3. sz. melléklet'!K8)</f>
        <v>237585</v>
      </c>
      <c r="D9" s="319">
        <f>('3. sz. melléklet'!L8)</f>
        <v>240084</v>
      </c>
      <c r="E9" s="332">
        <f>('3. sz. melléklet'!M8)</f>
        <v>596769</v>
      </c>
      <c r="F9" s="256" t="s">
        <v>9</v>
      </c>
      <c r="G9" s="302"/>
      <c r="H9" s="315">
        <f>'4.sz. melléklet'!M7</f>
        <v>282763</v>
      </c>
      <c r="I9" s="321">
        <f>'4.sz. melléklet'!N7</f>
        <v>291923</v>
      </c>
      <c r="J9" s="315">
        <f>'4.sz. melléklet'!O7</f>
        <v>298883</v>
      </c>
    </row>
    <row r="10" spans="1:10" ht="12.75" customHeight="1" x14ac:dyDescent="0.2">
      <c r="A10" s="1349" t="s">
        <v>327</v>
      </c>
      <c r="B10" s="1350"/>
      <c r="C10" s="330">
        <f>SUM(C11)</f>
        <v>100800</v>
      </c>
      <c r="D10" s="334">
        <f>'3. sz. melléklet'!L9</f>
        <v>800</v>
      </c>
      <c r="E10" s="333">
        <f>'3. sz. melléklet'!M9</f>
        <v>833234</v>
      </c>
      <c r="F10" s="256"/>
      <c r="G10" s="302"/>
      <c r="H10" s="315"/>
      <c r="I10" s="321"/>
      <c r="J10" s="315"/>
    </row>
    <row r="11" spans="1:10" ht="12.75" customHeight="1" x14ac:dyDescent="0.2">
      <c r="A11" s="297"/>
      <c r="B11" s="305" t="s">
        <v>8</v>
      </c>
      <c r="C11" s="325">
        <f>('3. sz. melléklet'!K10)</f>
        <v>100800</v>
      </c>
      <c r="D11" s="319">
        <f>('3. sz. melléklet'!L10)</f>
        <v>800</v>
      </c>
      <c r="E11" s="332">
        <f>('3. sz. melléklet'!M10)</f>
        <v>833234</v>
      </c>
      <c r="F11" s="256"/>
      <c r="G11" s="302"/>
      <c r="H11" s="315"/>
      <c r="I11" s="321"/>
      <c r="J11" s="315"/>
    </row>
    <row r="12" spans="1:10" ht="12.75" customHeight="1" x14ac:dyDescent="0.2">
      <c r="A12" s="298"/>
      <c r="B12" s="305"/>
      <c r="C12" s="325"/>
      <c r="D12" s="319"/>
      <c r="E12" s="331"/>
      <c r="F12" s="256"/>
      <c r="G12" s="302"/>
      <c r="H12" s="315"/>
      <c r="I12" s="321"/>
      <c r="J12" s="315"/>
    </row>
    <row r="13" spans="1:10" ht="12.75" customHeight="1" x14ac:dyDescent="0.2">
      <c r="A13" s="296" t="s">
        <v>10</v>
      </c>
      <c r="B13" s="307"/>
      <c r="C13" s="321">
        <f>SUM(C14:C19)</f>
        <v>2114400</v>
      </c>
      <c r="D13" s="315">
        <f>'3. sz. melléklet'!L11</f>
        <v>2114490</v>
      </c>
      <c r="E13" s="331">
        <f>'3. sz. melléklet'!M11</f>
        <v>2200786</v>
      </c>
      <c r="F13" s="256" t="s">
        <v>11</v>
      </c>
      <c r="G13" s="302"/>
      <c r="H13" s="315">
        <f>'4.sz. melléklet'!M8</f>
        <v>1200695</v>
      </c>
      <c r="I13" s="321">
        <f>'4.sz. melléklet'!N8</f>
        <v>1293355</v>
      </c>
      <c r="J13" s="315">
        <f>'4.sz. melléklet'!O8</f>
        <v>1416356</v>
      </c>
    </row>
    <row r="14" spans="1:10" ht="12.75" customHeight="1" x14ac:dyDescent="0.2">
      <c r="A14" s="298"/>
      <c r="B14" s="302" t="s">
        <v>12</v>
      </c>
      <c r="C14" s="325">
        <f>'3. sz. melléklet'!K12</f>
        <v>473000</v>
      </c>
      <c r="D14" s="319">
        <f>'3. sz. melléklet'!L12</f>
        <v>473000</v>
      </c>
      <c r="E14" s="332">
        <f>'3. sz. melléklet'!M12</f>
        <v>486700</v>
      </c>
      <c r="F14" s="257"/>
      <c r="G14" s="302"/>
      <c r="H14" s="316"/>
      <c r="I14" s="322"/>
      <c r="J14" s="316"/>
    </row>
    <row r="15" spans="1:10" ht="12.75" customHeight="1" x14ac:dyDescent="0.2">
      <c r="A15" s="299"/>
      <c r="B15" s="305" t="s">
        <v>77</v>
      </c>
      <c r="C15" s="325">
        <f>'3. sz. melléklet'!K15</f>
        <v>1634500</v>
      </c>
      <c r="D15" s="319">
        <f>'3. sz. melléklet'!L15</f>
        <v>1633000</v>
      </c>
      <c r="E15" s="332">
        <f>'3. sz. melléklet'!M15</f>
        <v>1705596</v>
      </c>
      <c r="F15" s="256" t="s">
        <v>13</v>
      </c>
      <c r="G15" s="302"/>
      <c r="H15" s="314">
        <f>'4.sz. melléklet'!M9</f>
        <v>77825</v>
      </c>
      <c r="I15" s="320">
        <f>'4.sz. melléklet'!N9</f>
        <v>70325</v>
      </c>
      <c r="J15" s="314">
        <f>'4.sz. melléklet'!O9</f>
        <v>68061</v>
      </c>
    </row>
    <row r="16" spans="1:10" ht="12.75" customHeight="1" x14ac:dyDescent="0.2">
      <c r="A16" s="297"/>
      <c r="B16" s="327" t="s">
        <v>14</v>
      </c>
      <c r="C16" s="325">
        <f>'3. sz. melléklet'!K20</f>
        <v>5000</v>
      </c>
      <c r="D16" s="319">
        <f>'3. sz. melléklet'!L20</f>
        <v>5000</v>
      </c>
      <c r="E16" s="332">
        <f>'3. sz. melléklet'!M20</f>
        <v>5000</v>
      </c>
      <c r="F16" s="256" t="s">
        <v>15</v>
      </c>
      <c r="G16" s="302"/>
      <c r="H16" s="314">
        <f>SUM(H17:H20)</f>
        <v>1076465</v>
      </c>
      <c r="I16" s="320">
        <f>'4.sz. melléklet'!N10</f>
        <v>1011082</v>
      </c>
      <c r="J16" s="314">
        <f>'4.sz. melléklet'!O10</f>
        <v>1034209</v>
      </c>
    </row>
    <row r="17" spans="1:10" ht="12.75" customHeight="1" x14ac:dyDescent="0.2">
      <c r="A17" s="297"/>
      <c r="B17" s="327"/>
      <c r="C17" s="325"/>
      <c r="D17" s="319"/>
      <c r="E17" s="331"/>
      <c r="F17" s="256"/>
      <c r="G17" s="302" t="s">
        <v>330</v>
      </c>
      <c r="H17" s="317">
        <f>'4.sz. melléklet'!M11</f>
        <v>18000</v>
      </c>
      <c r="I17" s="323">
        <f>'4.sz. melléklet'!N11</f>
        <v>15213</v>
      </c>
      <c r="J17" s="317">
        <f>'4.sz. melléklet'!O11</f>
        <v>15136</v>
      </c>
    </row>
    <row r="18" spans="1:10" ht="12.75" customHeight="1" x14ac:dyDescent="0.2">
      <c r="A18" s="297"/>
      <c r="B18" s="327" t="s">
        <v>614</v>
      </c>
      <c r="C18" s="325">
        <f>'3. sz. melléklet'!K21</f>
        <v>1900</v>
      </c>
      <c r="D18" s="319">
        <f>'3. sz. melléklet'!L21</f>
        <v>1990</v>
      </c>
      <c r="E18" s="332">
        <f>'3. sz. melléklet'!M21</f>
        <v>1990</v>
      </c>
      <c r="F18" s="257"/>
      <c r="G18" s="302" t="s">
        <v>17</v>
      </c>
      <c r="H18" s="317">
        <f>'4.sz. melléklet'!M12</f>
        <v>32000</v>
      </c>
      <c r="I18" s="323">
        <f>'4.sz. melléklet'!N12</f>
        <v>32000</v>
      </c>
      <c r="J18" s="317">
        <f>'4.sz. melléklet'!O12</f>
        <v>48160</v>
      </c>
    </row>
    <row r="19" spans="1:10" ht="12.75" customHeight="1" x14ac:dyDescent="0.2">
      <c r="A19" s="297"/>
      <c r="B19" s="327" t="s">
        <v>609</v>
      </c>
      <c r="C19" s="325"/>
      <c r="D19" s="319">
        <f>'3. sz. melléklet'!L22</f>
        <v>1500</v>
      </c>
      <c r="E19" s="332">
        <f>'3. sz. melléklet'!M22</f>
        <v>1500</v>
      </c>
      <c r="F19" s="257"/>
      <c r="G19" s="302" t="s">
        <v>18</v>
      </c>
      <c r="H19" s="317">
        <f>'4.sz. melléklet'!M13</f>
        <v>917165</v>
      </c>
      <c r="I19" s="323">
        <f>'4.sz. melléklet'!N13</f>
        <v>921522</v>
      </c>
      <c r="J19" s="317">
        <f>'4.sz. melléklet'!O13</f>
        <v>966282</v>
      </c>
    </row>
    <row r="20" spans="1:10" ht="12.75" customHeight="1" x14ac:dyDescent="0.2">
      <c r="A20" s="300" t="s">
        <v>19</v>
      </c>
      <c r="B20" s="305"/>
      <c r="C20" s="321">
        <f>SUM(C21:C28)</f>
        <v>852536</v>
      </c>
      <c r="D20" s="315">
        <f>'3. sz. melléklet'!L23</f>
        <v>1066436</v>
      </c>
      <c r="E20" s="331">
        <f>'3. sz. melléklet'!M23</f>
        <v>1138284</v>
      </c>
      <c r="F20" s="257"/>
      <c r="G20" s="302" t="s">
        <v>20</v>
      </c>
      <c r="H20" s="317">
        <f>'4.sz. melléklet'!M14</f>
        <v>109300</v>
      </c>
      <c r="I20" s="323">
        <f>'4.sz. melléklet'!N14</f>
        <v>42347</v>
      </c>
      <c r="J20" s="317">
        <f>'4.sz. melléklet'!O14</f>
        <v>4631</v>
      </c>
    </row>
    <row r="21" spans="1:10" ht="12.75" customHeight="1" x14ac:dyDescent="0.2">
      <c r="A21" s="298"/>
      <c r="B21" s="302" t="s">
        <v>21</v>
      </c>
      <c r="C21" s="325">
        <f>'3. sz. melléklet'!K24</f>
        <v>390018</v>
      </c>
      <c r="D21" s="319">
        <f>'3. sz. melléklet'!L24</f>
        <v>495067</v>
      </c>
      <c r="E21" s="332">
        <f>'3. sz. melléklet'!M24</f>
        <v>560247</v>
      </c>
      <c r="F21" s="257"/>
      <c r="G21" s="302" t="s">
        <v>22</v>
      </c>
      <c r="H21" s="317">
        <f>'4.sz. melléklet'!M15</f>
        <v>15000</v>
      </c>
      <c r="I21" s="323">
        <f>'4.sz. melléklet'!N15</f>
        <v>13084</v>
      </c>
      <c r="J21" s="317">
        <f>'4.sz. melléklet'!O15</f>
        <v>3715</v>
      </c>
    </row>
    <row r="22" spans="1:10" ht="13.5" customHeight="1" x14ac:dyDescent="0.2">
      <c r="A22" s="298"/>
      <c r="B22" s="302" t="s">
        <v>23</v>
      </c>
      <c r="C22" s="325">
        <f>'3. sz. melléklet'!K25</f>
        <v>65611</v>
      </c>
      <c r="D22" s="319">
        <f>'3. sz. melléklet'!L25</f>
        <v>158158</v>
      </c>
      <c r="E22" s="332">
        <f>'3. sz. melléklet'!M25</f>
        <v>158613</v>
      </c>
      <c r="F22" s="257"/>
      <c r="G22" s="303" t="s">
        <v>346</v>
      </c>
      <c r="H22" s="317">
        <f>'4.sz. melléklet'!M16</f>
        <v>80000</v>
      </c>
      <c r="I22" s="323">
        <f>'4.sz. melléklet'!N16</f>
        <v>14963</v>
      </c>
      <c r="J22" s="317">
        <f>'4.sz. melléklet'!O16</f>
        <v>916</v>
      </c>
    </row>
    <row r="23" spans="1:10" ht="12.75" customHeight="1" x14ac:dyDescent="0.2">
      <c r="A23" s="298"/>
      <c r="B23" s="302" t="s">
        <v>24</v>
      </c>
      <c r="C23" s="325">
        <f>'3. sz. melléklet'!K26</f>
        <v>35656</v>
      </c>
      <c r="D23" s="319">
        <f>'3. sz. melléklet'!L26</f>
        <v>26243</v>
      </c>
      <c r="E23" s="332">
        <f>'3. sz. melléklet'!M26</f>
        <v>26243</v>
      </c>
      <c r="F23" s="257"/>
      <c r="G23" s="302" t="s">
        <v>25</v>
      </c>
      <c r="H23" s="317">
        <f>'4.sz. melléklet'!M17</f>
        <v>14300</v>
      </c>
      <c r="I23" s="323">
        <f>'4.sz. melléklet'!N17</f>
        <v>14300</v>
      </c>
      <c r="J23" s="317">
        <f>'4.sz. melléklet'!O17</f>
        <v>0</v>
      </c>
    </row>
    <row r="24" spans="1:10" ht="14.25" customHeight="1" x14ac:dyDescent="0.2">
      <c r="A24" s="296"/>
      <c r="B24" s="302" t="s">
        <v>26</v>
      </c>
      <c r="C24" s="325">
        <f>'3. sz. melléklet'!K27</f>
        <v>87862</v>
      </c>
      <c r="D24" s="319">
        <f>'3. sz. melléklet'!L27</f>
        <v>87862</v>
      </c>
      <c r="E24" s="332">
        <f>'3. sz. melléklet'!M27</f>
        <v>87862</v>
      </c>
      <c r="F24" s="257"/>
      <c r="G24" s="304"/>
      <c r="H24" s="318"/>
      <c r="I24" s="324"/>
      <c r="J24" s="318"/>
    </row>
    <row r="25" spans="1:10" ht="12.75" customHeight="1" x14ac:dyDescent="0.2">
      <c r="A25" s="298"/>
      <c r="B25" s="302" t="s">
        <v>27</v>
      </c>
      <c r="C25" s="325">
        <f>'3. sz. melléklet'!K28</f>
        <v>83853</v>
      </c>
      <c r="D25" s="319">
        <f>'3. sz. melléklet'!L28</f>
        <v>85109</v>
      </c>
      <c r="E25" s="332">
        <f>'3. sz. melléklet'!M28</f>
        <v>85109</v>
      </c>
      <c r="F25" s="257"/>
      <c r="G25" s="302"/>
      <c r="H25" s="319"/>
      <c r="I25" s="325"/>
      <c r="J25" s="319"/>
    </row>
    <row r="26" spans="1:10" ht="12.75" customHeight="1" x14ac:dyDescent="0.2">
      <c r="A26" s="299"/>
      <c r="B26" s="305" t="s">
        <v>28</v>
      </c>
      <c r="C26" s="325">
        <f>'3. sz. melléklet'!K29</f>
        <v>173801</v>
      </c>
      <c r="D26" s="319">
        <f>'3. sz. melléklet'!L29</f>
        <v>198255</v>
      </c>
      <c r="E26" s="332">
        <f>'3. sz. melléklet'!M29</f>
        <v>204225</v>
      </c>
      <c r="F26" s="256" t="s">
        <v>29</v>
      </c>
      <c r="G26" s="302"/>
      <c r="H26" s="315">
        <f>'4.sz. melléklet'!M18</f>
        <v>291469</v>
      </c>
      <c r="I26" s="321">
        <f>'4.sz. melléklet'!N18</f>
        <v>411887</v>
      </c>
      <c r="J26" s="315">
        <f>'4.sz. melléklet'!O18</f>
        <v>1467567</v>
      </c>
    </row>
    <row r="27" spans="1:10" ht="12.75" customHeight="1" x14ac:dyDescent="0.2">
      <c r="A27" s="298"/>
      <c r="B27" s="328" t="s">
        <v>30</v>
      </c>
      <c r="C27" s="325">
        <f>'3. sz. melléklet'!K30</f>
        <v>15735</v>
      </c>
      <c r="D27" s="319">
        <f>'3. sz. melléklet'!L30</f>
        <v>15735</v>
      </c>
      <c r="E27" s="332">
        <f>'3. sz. melléklet'!M30</f>
        <v>15744</v>
      </c>
      <c r="F27" s="257"/>
      <c r="G27" s="304"/>
      <c r="H27" s="318"/>
      <c r="I27" s="324"/>
      <c r="J27" s="318"/>
    </row>
    <row r="28" spans="1:10" ht="12.75" customHeight="1" x14ac:dyDescent="0.2">
      <c r="A28" s="298"/>
      <c r="B28" s="302" t="s">
        <v>610</v>
      </c>
      <c r="C28" s="325"/>
      <c r="D28" s="319">
        <f>'3. sz. melléklet'!L31</f>
        <v>7</v>
      </c>
      <c r="E28" s="332">
        <f>'3. sz. melléklet'!M31</f>
        <v>241</v>
      </c>
      <c r="F28" s="256" t="s">
        <v>31</v>
      </c>
      <c r="G28" s="302"/>
      <c r="H28" s="314">
        <f>'4.sz. melléklet'!M19</f>
        <v>256799</v>
      </c>
      <c r="I28" s="320">
        <f>'4.sz. melléklet'!N19</f>
        <v>143270</v>
      </c>
      <c r="J28" s="314">
        <f>'4.sz. melléklet'!O19</f>
        <v>327641</v>
      </c>
    </row>
    <row r="29" spans="1:10" ht="12.75" customHeight="1" x14ac:dyDescent="0.2">
      <c r="A29" s="300" t="s">
        <v>32</v>
      </c>
      <c r="B29" s="305"/>
      <c r="C29" s="321">
        <f>SUM(C30:C31)</f>
        <v>3400</v>
      </c>
      <c r="D29" s="315">
        <f>'3. sz. melléklet'!L32</f>
        <v>3470</v>
      </c>
      <c r="E29" s="331">
        <f>'3. sz. melléklet'!M32</f>
        <v>3481</v>
      </c>
      <c r="F29" s="258"/>
      <c r="G29" s="302"/>
      <c r="H29" s="317"/>
      <c r="I29" s="323"/>
      <c r="J29" s="317"/>
    </row>
    <row r="30" spans="1:10" ht="12.75" customHeight="1" x14ac:dyDescent="0.2">
      <c r="A30" s="300"/>
      <c r="B30" s="302" t="s">
        <v>471</v>
      </c>
      <c r="C30" s="325">
        <f>'3. sz. melléklet'!K34</f>
        <v>2000</v>
      </c>
      <c r="D30" s="319">
        <f>'3. sz. melléklet'!L34</f>
        <v>2070</v>
      </c>
      <c r="E30" s="332">
        <f>'3. sz. melléklet'!M34</f>
        <v>2070</v>
      </c>
      <c r="F30" s="256" t="s">
        <v>33</v>
      </c>
      <c r="G30" s="302"/>
      <c r="H30" s="315">
        <f>'4.sz. melléklet'!M20</f>
        <v>71814</v>
      </c>
      <c r="I30" s="321">
        <f>'4.sz. melléklet'!N20</f>
        <v>19799</v>
      </c>
      <c r="J30" s="315">
        <f>'4.sz. melléklet'!O20</f>
        <v>49899</v>
      </c>
    </row>
    <row r="31" spans="1:10" ht="12.75" customHeight="1" x14ac:dyDescent="0.2">
      <c r="A31" s="300"/>
      <c r="B31" s="329" t="s">
        <v>329</v>
      </c>
      <c r="C31" s="325">
        <f>'3. sz. melléklet'!K33</f>
        <v>1400</v>
      </c>
      <c r="D31" s="319">
        <f>'3. sz. melléklet'!L33</f>
        <v>1400</v>
      </c>
      <c r="E31" s="332">
        <f>'3. sz. melléklet'!M33</f>
        <v>1411</v>
      </c>
      <c r="F31" s="256"/>
      <c r="G31" s="302" t="s">
        <v>17</v>
      </c>
      <c r="H31" s="319">
        <f>'4.sz. melléklet'!M21</f>
        <v>1200</v>
      </c>
      <c r="I31" s="325">
        <f>'4.sz. melléklet'!N21</f>
        <v>2700</v>
      </c>
      <c r="J31" s="319">
        <f>'4.sz. melléklet'!O21</f>
        <v>2700</v>
      </c>
    </row>
    <row r="32" spans="1:10" ht="12.75" customHeight="1" x14ac:dyDescent="0.2">
      <c r="A32" s="300" t="s">
        <v>34</v>
      </c>
      <c r="B32" s="302"/>
      <c r="C32" s="321">
        <f>SUM(C33)</f>
        <v>73119</v>
      </c>
      <c r="D32" s="315">
        <f>'3. sz. melléklet'!L35</f>
        <v>77019</v>
      </c>
      <c r="E32" s="331">
        <f>'3. sz. melléklet'!M35</f>
        <v>129449</v>
      </c>
      <c r="F32" s="256"/>
      <c r="G32" s="302" t="s">
        <v>35</v>
      </c>
      <c r="H32" s="317">
        <f>'4.sz. melléklet'!M22</f>
        <v>15614</v>
      </c>
      <c r="I32" s="323">
        <f>'4.sz. melléklet'!N22</f>
        <v>12099</v>
      </c>
      <c r="J32" s="317">
        <f>'4.sz. melléklet'!O22</f>
        <v>12199</v>
      </c>
    </row>
    <row r="33" spans="1:10" ht="12.75" customHeight="1" x14ac:dyDescent="0.2">
      <c r="A33" s="300"/>
      <c r="B33" s="302" t="s">
        <v>17</v>
      </c>
      <c r="C33" s="325">
        <f>'3. sz. melléklet'!K36</f>
        <v>73119</v>
      </c>
      <c r="D33" s="319">
        <f>'3. sz. melléklet'!L36</f>
        <v>74019</v>
      </c>
      <c r="E33" s="332">
        <f>'3. sz. melléklet'!M36</f>
        <v>126449</v>
      </c>
      <c r="F33" s="256"/>
      <c r="G33" s="305" t="s">
        <v>36</v>
      </c>
      <c r="H33" s="317">
        <f>'4.sz. melléklet'!M23</f>
        <v>55000</v>
      </c>
      <c r="I33" s="323">
        <f>'4.sz. melléklet'!N23</f>
        <v>5000</v>
      </c>
      <c r="J33" s="317">
        <f>'4.sz. melléklet'!O23</f>
        <v>35000</v>
      </c>
    </row>
    <row r="34" spans="1:10" ht="12.75" customHeight="1" x14ac:dyDescent="0.2">
      <c r="A34" s="300"/>
      <c r="B34" s="305" t="s">
        <v>337</v>
      </c>
      <c r="C34" s="325"/>
      <c r="D34" s="319">
        <v>3000</v>
      </c>
      <c r="E34" s="332">
        <v>3000</v>
      </c>
      <c r="F34" s="256"/>
      <c r="G34" s="306" t="s">
        <v>913</v>
      </c>
      <c r="H34" s="317">
        <f>'4.sz. melléklet'!M24</f>
        <v>50000</v>
      </c>
      <c r="I34" s="323">
        <f>'4.sz. melléklet'!N24</f>
        <v>0</v>
      </c>
      <c r="J34" s="317">
        <f>'4.sz. melléklet'!O24</f>
        <v>30000</v>
      </c>
    </row>
    <row r="35" spans="1:10" ht="13.5" customHeight="1" x14ac:dyDescent="0.2">
      <c r="A35" s="300"/>
      <c r="B35" s="305"/>
      <c r="C35" s="325"/>
      <c r="D35" s="319"/>
      <c r="E35" s="331"/>
      <c r="F35" s="257"/>
      <c r="G35" s="306" t="s">
        <v>472</v>
      </c>
      <c r="H35" s="317">
        <f>'4.sz. melléklet'!M25</f>
        <v>5000</v>
      </c>
      <c r="I35" s="323">
        <f>'4.sz. melléklet'!N25</f>
        <v>5000</v>
      </c>
      <c r="J35" s="317">
        <f>'4.sz. melléklet'!O25</f>
        <v>5000</v>
      </c>
    </row>
    <row r="36" spans="1:10" ht="12.75" customHeight="1" x14ac:dyDescent="0.2">
      <c r="A36" s="1349" t="s">
        <v>85</v>
      </c>
      <c r="B36" s="1351"/>
      <c r="C36" s="321">
        <f>SUM(C37:C38)</f>
        <v>20130</v>
      </c>
      <c r="D36" s="315">
        <f>'3. sz. melléklet'!L38</f>
        <v>20230</v>
      </c>
      <c r="E36" s="331">
        <f>'3. sz. melléklet'!M38</f>
        <v>21030</v>
      </c>
      <c r="F36" s="257"/>
      <c r="G36" s="302"/>
      <c r="H36" s="318"/>
      <c r="I36" s="324"/>
      <c r="J36" s="318"/>
    </row>
    <row r="37" spans="1:10" ht="12.75" customHeight="1" x14ac:dyDescent="0.2">
      <c r="A37" s="298"/>
      <c r="B37" s="302" t="s">
        <v>17</v>
      </c>
      <c r="C37" s="325">
        <f>'3. sz. melléklet'!K39</f>
        <v>1496</v>
      </c>
      <c r="D37" s="319">
        <f>'3. sz. melléklet'!L39</f>
        <v>1596</v>
      </c>
      <c r="E37" s="332">
        <f>'3. sz. melléklet'!M39</f>
        <v>1596</v>
      </c>
      <c r="F37" s="256"/>
      <c r="G37" s="302"/>
      <c r="H37" s="315"/>
      <c r="I37" s="321"/>
      <c r="J37" s="315"/>
    </row>
    <row r="38" spans="1:10" ht="12.75" customHeight="1" thickBot="1" x14ac:dyDescent="0.25">
      <c r="A38" s="344"/>
      <c r="B38" s="338" t="s">
        <v>337</v>
      </c>
      <c r="C38" s="335">
        <f>'3. sz. melléklet'!K40</f>
        <v>18634</v>
      </c>
      <c r="D38" s="336">
        <f>'3. sz. melléklet'!L40</f>
        <v>18634</v>
      </c>
      <c r="E38" s="345">
        <f>'3. sz. melléklet'!M40</f>
        <v>19434</v>
      </c>
      <c r="F38" s="346"/>
      <c r="G38" s="338"/>
      <c r="H38" s="347"/>
      <c r="I38" s="348"/>
      <c r="J38" s="347"/>
    </row>
    <row r="39" spans="1:10" ht="16.5" customHeight="1" thickBot="1" x14ac:dyDescent="0.3">
      <c r="A39" s="357" t="s">
        <v>37</v>
      </c>
      <c r="B39" s="358"/>
      <c r="C39" s="340">
        <f>(C70+C8+C10+C13+C20+C29+C32+C36+C6)</f>
        <v>4376660</v>
      </c>
      <c r="D39" s="313">
        <f>'3. sz. melléklet'!L41</f>
        <v>4610518</v>
      </c>
      <c r="E39" s="341">
        <f>'3. sz. melléklet'!M41</f>
        <v>6047333</v>
      </c>
      <c r="F39" s="359" t="s">
        <v>38</v>
      </c>
      <c r="G39" s="360"/>
      <c r="H39" s="312">
        <f>(H6+H9+H13+H15+H16+H26+H28+H30)</f>
        <v>4470111</v>
      </c>
      <c r="I39" s="339">
        <f>'4.sz. melléklet'!N26</f>
        <v>4495157</v>
      </c>
      <c r="J39" s="312">
        <f>'4.sz. melléklet'!O26</f>
        <v>5941784</v>
      </c>
    </row>
    <row r="40" spans="1:10" ht="12.75" customHeight="1" x14ac:dyDescent="0.2">
      <c r="A40" s="349"/>
      <c r="B40" s="350"/>
      <c r="C40" s="351"/>
      <c r="D40" s="352"/>
      <c r="E40" s="353"/>
      <c r="F40" s="114"/>
      <c r="G40" s="354"/>
      <c r="H40" s="355"/>
      <c r="I40" s="356"/>
      <c r="J40" s="355"/>
    </row>
    <row r="41" spans="1:10" ht="13.5" customHeight="1" x14ac:dyDescent="0.2">
      <c r="A41" s="301" t="s">
        <v>39</v>
      </c>
      <c r="B41" s="310"/>
      <c r="C41" s="321">
        <f>C39-H39</f>
        <v>-93451</v>
      </c>
      <c r="D41" s="315">
        <f>D39-I39</f>
        <v>115361</v>
      </c>
      <c r="E41" s="331">
        <f>E39-J39</f>
        <v>105549</v>
      </c>
      <c r="F41" s="1354" t="s">
        <v>40</v>
      </c>
      <c r="G41" s="1351"/>
      <c r="H41" s="315">
        <f>'4.sz. melléklet'!M27</f>
        <v>106549</v>
      </c>
      <c r="I41" s="321">
        <f>'4.sz. melléklet'!N27</f>
        <v>115361</v>
      </c>
      <c r="J41" s="315">
        <f>'4.sz. melléklet'!O27</f>
        <v>687942</v>
      </c>
    </row>
    <row r="42" spans="1:10" ht="13.5" customHeight="1" x14ac:dyDescent="0.2">
      <c r="A42" s="301"/>
      <c r="B42" s="310"/>
      <c r="C42" s="321"/>
      <c r="D42" s="315"/>
      <c r="E42" s="331"/>
      <c r="F42" s="1354" t="s">
        <v>326</v>
      </c>
      <c r="G42" s="1351"/>
      <c r="H42" s="315">
        <f>'4.sz. melléklet'!M28</f>
        <v>25000</v>
      </c>
      <c r="I42" s="321">
        <f>'4.sz. melléklet'!N28</f>
        <v>38000</v>
      </c>
      <c r="J42" s="315">
        <f>'4.sz. melléklet'!O28</f>
        <v>40010</v>
      </c>
    </row>
    <row r="43" spans="1:10" ht="22.5" customHeight="1" x14ac:dyDescent="0.2">
      <c r="A43" s="1363" t="s">
        <v>727</v>
      </c>
      <c r="B43" s="1364"/>
      <c r="C43" s="325"/>
      <c r="D43" s="319"/>
      <c r="E43" s="331">
        <v>572581</v>
      </c>
      <c r="F43" s="257"/>
      <c r="G43" s="308" t="s">
        <v>41</v>
      </c>
      <c r="H43" s="318"/>
      <c r="I43" s="324"/>
      <c r="J43" s="318"/>
    </row>
    <row r="44" spans="1:10" ht="12.75" customHeight="1" x14ac:dyDescent="0.2">
      <c r="A44" s="1355" t="s">
        <v>502</v>
      </c>
      <c r="B44" s="1356"/>
      <c r="C44" s="321">
        <f>'3. sz. melléklet'!K43</f>
        <v>25000</v>
      </c>
      <c r="D44" s="315">
        <f>'3. sz. melléklet'!L43</f>
        <v>38000</v>
      </c>
      <c r="E44" s="331">
        <f>'3. sz. melléklet'!M43</f>
        <v>40010</v>
      </c>
      <c r="F44" s="256"/>
      <c r="G44" s="307"/>
      <c r="H44" s="314"/>
      <c r="I44" s="320"/>
      <c r="J44" s="314"/>
    </row>
    <row r="45" spans="1:10" ht="12.75" customHeight="1" x14ac:dyDescent="0.25">
      <c r="A45" s="1355" t="s">
        <v>505</v>
      </c>
      <c r="B45" s="1356"/>
      <c r="C45" s="321">
        <f>'3. sz. melléklet'!K44</f>
        <v>200000</v>
      </c>
      <c r="D45" s="315">
        <f>'3. sz. melléklet'!L44</f>
        <v>0</v>
      </c>
      <c r="E45" s="331">
        <f>'3. sz. melléklet'!M44</f>
        <v>9812</v>
      </c>
      <c r="F45" s="259"/>
      <c r="G45" s="307"/>
      <c r="H45" s="314"/>
      <c r="I45" s="320"/>
      <c r="J45" s="314"/>
    </row>
    <row r="46" spans="1:10" ht="12.75" customHeight="1" x14ac:dyDescent="0.2">
      <c r="A46" s="300"/>
      <c r="B46" s="302"/>
      <c r="C46" s="321"/>
      <c r="D46" s="315"/>
      <c r="E46" s="331"/>
      <c r="F46" s="256"/>
      <c r="G46" s="309"/>
      <c r="H46" s="315"/>
      <c r="I46" s="321"/>
      <c r="J46" s="315"/>
    </row>
    <row r="47" spans="1:10" ht="12.75" customHeight="1" x14ac:dyDescent="0.2">
      <c r="A47" s="1357" t="s">
        <v>43</v>
      </c>
      <c r="B47" s="1358"/>
      <c r="C47" s="321">
        <f>'3. sz. melléklet'!K45</f>
        <v>1525601</v>
      </c>
      <c r="D47" s="315">
        <f>'3. sz. melléklet'!L45</f>
        <v>1586393</v>
      </c>
      <c r="E47" s="331">
        <f>'3. sz. melléklet'!M45</f>
        <v>1591204</v>
      </c>
      <c r="F47" s="256" t="s">
        <v>44</v>
      </c>
      <c r="G47" s="307"/>
      <c r="H47" s="314">
        <f>'4.sz. melléklet'!M29</f>
        <v>1525601</v>
      </c>
      <c r="I47" s="320">
        <f>'4.sz. melléklet'!N29</f>
        <v>1586393</v>
      </c>
      <c r="J47" s="314">
        <f>'4.sz. melléklet'!O29</f>
        <v>1591204</v>
      </c>
    </row>
    <row r="48" spans="1:10" ht="12.75" customHeight="1" x14ac:dyDescent="0.2">
      <c r="A48" s="1357" t="s">
        <v>617</v>
      </c>
      <c r="B48" s="1358"/>
      <c r="C48" s="321"/>
      <c r="D48" s="315">
        <f>'3. sz. melléklet'!L46</f>
        <v>2388559</v>
      </c>
      <c r="E48" s="331">
        <f>'3. sz. melléklet'!M46</f>
        <v>2388559</v>
      </c>
      <c r="F48" s="1354" t="s">
        <v>615</v>
      </c>
      <c r="G48" s="1351"/>
      <c r="H48" s="314"/>
      <c r="I48" s="320">
        <f>'4.sz. melléklet'!N30</f>
        <v>2388559</v>
      </c>
      <c r="J48" s="314">
        <f>'4.sz. melléklet'!O30</f>
        <v>2388559</v>
      </c>
    </row>
    <row r="49" spans="1:10" ht="12.75" customHeight="1" thickBot="1" x14ac:dyDescent="0.25">
      <c r="A49" s="1361" t="s">
        <v>613</v>
      </c>
      <c r="B49" s="1362"/>
      <c r="C49" s="348"/>
      <c r="D49" s="347">
        <f>'3. sz. melléklet'!L47</f>
        <v>80000</v>
      </c>
      <c r="E49" s="337">
        <f>'3. sz. melléklet'!M47</f>
        <v>80000</v>
      </c>
      <c r="F49" s="361" t="s">
        <v>612</v>
      </c>
      <c r="G49" s="362"/>
      <c r="H49" s="363"/>
      <c r="I49" s="364">
        <f>'4.sz. melléklet'!N31</f>
        <v>80000</v>
      </c>
      <c r="J49" s="363">
        <f>'4.sz. melléklet'!O31</f>
        <v>80000</v>
      </c>
    </row>
    <row r="50" spans="1:10" ht="15.75" customHeight="1" thickBot="1" x14ac:dyDescent="0.25">
      <c r="A50" s="1359" t="s">
        <v>45</v>
      </c>
      <c r="B50" s="1360"/>
      <c r="C50" s="340">
        <f>SUM(C44:C49)</f>
        <v>1750601</v>
      </c>
      <c r="D50" s="313">
        <f>SUM(D44:D49)</f>
        <v>4092952</v>
      </c>
      <c r="E50" s="341">
        <f>SUM(E43:E49)</f>
        <v>4682166</v>
      </c>
      <c r="F50" s="359" t="s">
        <v>46</v>
      </c>
      <c r="G50" s="372"/>
      <c r="H50" s="313">
        <f>'4.sz. melléklet'!M32</f>
        <v>1657150</v>
      </c>
      <c r="I50" s="340">
        <f>'4.sz. melléklet'!N32</f>
        <v>4208313</v>
      </c>
      <c r="J50" s="313">
        <f>'4.sz. melléklet'!O32</f>
        <v>4787715</v>
      </c>
    </row>
    <row r="51" spans="1:10" ht="12.75" customHeight="1" thickBot="1" x14ac:dyDescent="0.25">
      <c r="A51" s="1352"/>
      <c r="B51" s="1353"/>
      <c r="C51" s="365"/>
      <c r="D51" s="366"/>
      <c r="E51" s="367"/>
      <c r="F51" s="368"/>
      <c r="G51" s="369"/>
      <c r="H51" s="370"/>
      <c r="I51" s="371"/>
      <c r="J51" s="370"/>
    </row>
    <row r="52" spans="1:10" ht="15" customHeight="1" thickBot="1" x14ac:dyDescent="0.25">
      <c r="A52" s="1148" t="s">
        <v>47</v>
      </c>
      <c r="B52" s="1149"/>
      <c r="C52" s="340">
        <f>'3. sz. melléklet'!K49</f>
        <v>6127261</v>
      </c>
      <c r="D52" s="313">
        <f>'3. sz. melléklet'!L49</f>
        <v>8703470</v>
      </c>
      <c r="E52" s="341">
        <f>'3. sz. melléklet'!M49</f>
        <v>10729499</v>
      </c>
      <c r="F52" s="342" t="s">
        <v>48</v>
      </c>
      <c r="G52" s="343"/>
      <c r="H52" s="313">
        <f>'4.sz. melléklet'!M33</f>
        <v>6127261</v>
      </c>
      <c r="I52" s="340">
        <f>'4.sz. melléklet'!N33</f>
        <v>8703470</v>
      </c>
      <c r="J52" s="313">
        <f>'4.sz. melléklet'!O33</f>
        <v>10729499</v>
      </c>
    </row>
    <row r="54" spans="1:10" s="88" customFormat="1" ht="12.75" customHeight="1" x14ac:dyDescent="0.2">
      <c r="C54" s="89"/>
      <c r="D54" s="89"/>
      <c r="E54" s="89"/>
      <c r="H54" s="89"/>
    </row>
    <row r="57" spans="1:10" ht="13.5" customHeight="1" x14ac:dyDescent="0.2"/>
    <row r="63" spans="1:10" ht="15" customHeight="1" x14ac:dyDescent="0.2"/>
    <row r="64" spans="1:10" ht="15" customHeight="1" x14ac:dyDescent="0.2"/>
    <row r="66" ht="19.5" customHeight="1" x14ac:dyDescent="0.2"/>
    <row r="67" ht="15" customHeight="1" x14ac:dyDescent="0.2"/>
    <row r="68" ht="15" customHeight="1" x14ac:dyDescent="0.2"/>
    <row r="69" ht="15" customHeight="1" x14ac:dyDescent="0.2"/>
    <row r="70" ht="27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sheetProtection selectLockedCells="1" selectUnlockedCells="1"/>
  <mergeCells count="19">
    <mergeCell ref="A10:B10"/>
    <mergeCell ref="A8:B8"/>
    <mergeCell ref="A51:B51"/>
    <mergeCell ref="A36:B36"/>
    <mergeCell ref="F41:G41"/>
    <mergeCell ref="A44:B44"/>
    <mergeCell ref="A45:B45"/>
    <mergeCell ref="A47:B47"/>
    <mergeCell ref="A50:B50"/>
    <mergeCell ref="F42:G42"/>
    <mergeCell ref="F48:G48"/>
    <mergeCell ref="A48:B48"/>
    <mergeCell ref="A49:B49"/>
    <mergeCell ref="A43:B43"/>
    <mergeCell ref="A5:B5"/>
    <mergeCell ref="F5:G5"/>
    <mergeCell ref="A4:E4"/>
    <mergeCell ref="F4:J4"/>
    <mergeCell ref="A2:J2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59" firstPageNumber="0" fitToHeight="0" orientation="landscape" horizontalDpi="300" verticalDpi="300" r:id="rId1"/>
  <headerFooter alignWithMargins="0">
    <oddHeader xml:space="preserve">&amp;L1. melléklet a 20/2017.(IX.29.) önkormányzati rendelethez
1. melléklet a 24/2016.(XII.16.) önkormányzati rendelethez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E30"/>
  <sheetViews>
    <sheetView view="pageBreakPreview" zoomScale="90" zoomScaleNormal="79" zoomScaleSheetLayoutView="90" workbookViewId="0">
      <selection activeCell="G10" sqref="G10"/>
    </sheetView>
  </sheetViews>
  <sheetFormatPr defaultRowHeight="12.75" x14ac:dyDescent="0.2"/>
  <cols>
    <col min="1" max="1" width="78.7109375" customWidth="1"/>
    <col min="2" max="2" width="13.85546875" customWidth="1"/>
    <col min="3" max="3" width="13.85546875" hidden="1" customWidth="1"/>
    <col min="4" max="4" width="14" customWidth="1"/>
    <col min="5" max="5" width="13.42578125" customWidth="1"/>
  </cols>
  <sheetData>
    <row r="3" spans="1:5" ht="36" customHeight="1" x14ac:dyDescent="0.25">
      <c r="A3" s="1439" t="s">
        <v>377</v>
      </c>
      <c r="B3" s="1439"/>
      <c r="C3" s="1439"/>
      <c r="D3" s="1439"/>
      <c r="E3" s="1439"/>
    </row>
    <row r="4" spans="1:5" ht="16.5" customHeight="1" thickBot="1" x14ac:dyDescent="0.3">
      <c r="A4" s="187"/>
      <c r="B4" s="187"/>
      <c r="C4" s="187"/>
    </row>
    <row r="5" spans="1:5" ht="18" customHeight="1" thickBot="1" x14ac:dyDescent="0.25">
      <c r="A5" s="553" t="s">
        <v>2</v>
      </c>
      <c r="B5" s="554" t="s">
        <v>3</v>
      </c>
      <c r="C5" s="556" t="s">
        <v>574</v>
      </c>
      <c r="D5" s="561" t="s">
        <v>567</v>
      </c>
      <c r="E5" s="555" t="s">
        <v>619</v>
      </c>
    </row>
    <row r="6" spans="1:5" ht="15.75" x14ac:dyDescent="0.2">
      <c r="A6" s="550" t="s">
        <v>378</v>
      </c>
      <c r="B6" s="551">
        <v>300</v>
      </c>
      <c r="C6" s="557"/>
      <c r="D6" s="562">
        <f>B6+C6</f>
        <v>300</v>
      </c>
      <c r="E6" s="552">
        <v>300</v>
      </c>
    </row>
    <row r="7" spans="1:5" ht="15.75" x14ac:dyDescent="0.2">
      <c r="A7" s="544" t="s">
        <v>379</v>
      </c>
      <c r="B7" s="547">
        <v>17000</v>
      </c>
      <c r="C7" s="558">
        <f>-5000-2000</f>
        <v>-7000</v>
      </c>
      <c r="D7" s="563">
        <v>17000</v>
      </c>
      <c r="E7" s="540">
        <v>14736</v>
      </c>
    </row>
    <row r="8" spans="1:5" ht="15.75" x14ac:dyDescent="0.2">
      <c r="A8" s="544" t="s">
        <v>477</v>
      </c>
      <c r="B8" s="547">
        <v>3000</v>
      </c>
      <c r="C8" s="558">
        <v>-1500</v>
      </c>
      <c r="D8" s="563">
        <f t="shared" ref="D8:D12" si="0">B8+C8</f>
        <v>1500</v>
      </c>
      <c r="E8" s="540">
        <v>1500</v>
      </c>
    </row>
    <row r="9" spans="1:5" ht="15.75" x14ac:dyDescent="0.2">
      <c r="A9" s="543" t="s">
        <v>380</v>
      </c>
      <c r="B9" s="547">
        <v>125</v>
      </c>
      <c r="C9" s="558"/>
      <c r="D9" s="563">
        <f t="shared" si="0"/>
        <v>125</v>
      </c>
      <c r="E9" s="540">
        <v>125</v>
      </c>
    </row>
    <row r="10" spans="1:5" ht="31.5" x14ac:dyDescent="0.2">
      <c r="A10" s="543" t="s">
        <v>381</v>
      </c>
      <c r="B10" s="547">
        <v>2500</v>
      </c>
      <c r="C10" s="558"/>
      <c r="D10" s="563">
        <f t="shared" si="0"/>
        <v>2500</v>
      </c>
      <c r="E10" s="540">
        <v>2500</v>
      </c>
    </row>
    <row r="11" spans="1:5" ht="15.75" x14ac:dyDescent="0.2">
      <c r="A11" s="543" t="s">
        <v>382</v>
      </c>
      <c r="B11" s="547">
        <v>3400</v>
      </c>
      <c r="C11" s="558"/>
      <c r="D11" s="563">
        <f t="shared" si="0"/>
        <v>3400</v>
      </c>
      <c r="E11" s="540">
        <v>3400</v>
      </c>
    </row>
    <row r="12" spans="1:5" ht="31.5" x14ac:dyDescent="0.2">
      <c r="A12" s="543" t="s">
        <v>383</v>
      </c>
      <c r="B12" s="547">
        <v>13000</v>
      </c>
      <c r="C12" s="558"/>
      <c r="D12" s="563">
        <f t="shared" si="0"/>
        <v>13000</v>
      </c>
      <c r="E12" s="540">
        <v>13000</v>
      </c>
    </row>
    <row r="13" spans="1:5" ht="15.75" x14ac:dyDescent="0.2">
      <c r="A13" s="545" t="s">
        <v>110</v>
      </c>
      <c r="B13" s="548">
        <f>SUM(B6:B12)</f>
        <v>39325</v>
      </c>
      <c r="C13" s="559">
        <f>SUM(C6:C12)</f>
        <v>-8500</v>
      </c>
      <c r="D13" s="564">
        <f>SUM(D6:D12)</f>
        <v>37825</v>
      </c>
      <c r="E13" s="541">
        <f>SUM(E6:E12)</f>
        <v>35561</v>
      </c>
    </row>
    <row r="14" spans="1:5" ht="15.75" x14ac:dyDescent="0.2">
      <c r="A14" s="546"/>
      <c r="B14" s="549"/>
      <c r="C14" s="560"/>
      <c r="D14" s="565"/>
      <c r="E14" s="542"/>
    </row>
    <row r="15" spans="1:5" ht="15.75" x14ac:dyDescent="0.2">
      <c r="A15" s="543" t="s">
        <v>384</v>
      </c>
      <c r="B15" s="547">
        <v>1500</v>
      </c>
      <c r="C15" s="558"/>
      <c r="D15" s="563">
        <f>B15+C15</f>
        <v>1500</v>
      </c>
      <c r="E15" s="540">
        <v>1500</v>
      </c>
    </row>
    <row r="16" spans="1:5" ht="15.75" x14ac:dyDescent="0.2">
      <c r="A16" s="543" t="s">
        <v>111</v>
      </c>
      <c r="B16" s="547">
        <v>2000</v>
      </c>
      <c r="C16" s="558"/>
      <c r="D16" s="563">
        <f t="shared" ref="D16:D18" si="1">B16+C16</f>
        <v>2000</v>
      </c>
      <c r="E16" s="540">
        <v>2000</v>
      </c>
    </row>
    <row r="17" spans="1:5" s="37" customFormat="1" ht="16.5" customHeight="1" x14ac:dyDescent="0.2">
      <c r="A17" s="543" t="s">
        <v>112</v>
      </c>
      <c r="B17" s="547">
        <v>29000</v>
      </c>
      <c r="C17" s="558"/>
      <c r="D17" s="563">
        <f t="shared" si="1"/>
        <v>29000</v>
      </c>
      <c r="E17" s="540">
        <v>29000</v>
      </c>
    </row>
    <row r="18" spans="1:5" ht="15.75" x14ac:dyDescent="0.2">
      <c r="A18" s="543" t="s">
        <v>328</v>
      </c>
      <c r="B18" s="547">
        <v>6000</v>
      </c>
      <c r="C18" s="558">
        <v>-6000</v>
      </c>
      <c r="D18" s="563">
        <f t="shared" si="1"/>
        <v>0</v>
      </c>
      <c r="E18" s="540"/>
    </row>
    <row r="19" spans="1:5" ht="15.75" x14ac:dyDescent="0.2">
      <c r="A19" s="545" t="s">
        <v>113</v>
      </c>
      <c r="B19" s="548">
        <f>SUM(B15:B18)</f>
        <v>38500</v>
      </c>
      <c r="C19" s="559">
        <f>SUM(C15:C18)</f>
        <v>-6000</v>
      </c>
      <c r="D19" s="564">
        <f>SUM(D15:D18)</f>
        <v>32500</v>
      </c>
      <c r="E19" s="541">
        <f>SUM(E15:E18)</f>
        <v>32500</v>
      </c>
    </row>
    <row r="20" spans="1:5" ht="16.5" thickBot="1" x14ac:dyDescent="0.25">
      <c r="A20" s="566"/>
      <c r="B20" s="567"/>
      <c r="C20" s="568"/>
      <c r="D20" s="569"/>
      <c r="E20" s="570"/>
    </row>
    <row r="21" spans="1:5" ht="16.5" thickBot="1" x14ac:dyDescent="0.25">
      <c r="A21" s="571" t="s">
        <v>114</v>
      </c>
      <c r="B21" s="572">
        <f>B13+B19</f>
        <v>77825</v>
      </c>
      <c r="C21" s="573">
        <f>C13+C19</f>
        <v>-14500</v>
      </c>
      <c r="D21" s="574">
        <f>D13+D19</f>
        <v>70325</v>
      </c>
      <c r="E21" s="575">
        <f>E13+E19</f>
        <v>68061</v>
      </c>
    </row>
    <row r="22" spans="1:5" ht="15.75" customHeight="1" x14ac:dyDescent="0.25">
      <c r="A22" s="98"/>
      <c r="B22" s="99"/>
    </row>
    <row r="23" spans="1:5" s="37" customFormat="1" ht="15.75" x14ac:dyDescent="0.25">
      <c r="A23" s="96"/>
      <c r="B23" s="97"/>
    </row>
    <row r="24" spans="1:5" ht="15.75" customHeight="1" x14ac:dyDescent="0.2"/>
    <row r="25" spans="1:5" s="37" customFormat="1" x14ac:dyDescent="0.2"/>
    <row r="28" spans="1:5" ht="14.25" customHeight="1" x14ac:dyDescent="0.2"/>
    <row r="29" spans="1:5" ht="37.5" customHeight="1" x14ac:dyDescent="0.2"/>
    <row r="30" spans="1:5" ht="16.5" customHeight="1" x14ac:dyDescent="0.2"/>
  </sheetData>
  <sheetProtection selectLockedCells="1" selectUnlockedCells="1"/>
  <mergeCells count="1">
    <mergeCell ref="A3:E3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72" firstPageNumber="0" orientation="portrait" horizontalDpi="300" verticalDpi="300" r:id="rId1"/>
  <headerFooter alignWithMargins="0">
    <oddHeader xml:space="preserve">&amp;L9. melléklet a 20/2017.(IX.29.) önkormányzati rendelethez
9. melléklet a 24/2016.(XII.16.)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H65589"/>
  <sheetViews>
    <sheetView view="pageBreakPreview" topLeftCell="B52" zoomScaleNormal="79" zoomScaleSheetLayoutView="100" workbookViewId="0">
      <selection activeCell="F15" sqref="F15"/>
    </sheetView>
  </sheetViews>
  <sheetFormatPr defaultRowHeight="12.75" zeroHeight="1" x14ac:dyDescent="0.2"/>
  <cols>
    <col min="1" max="1" width="0" style="38" hidden="1" customWidth="1"/>
    <col min="2" max="2" width="97.140625" style="39" customWidth="1"/>
    <col min="3" max="3" width="12.28515625" style="34" customWidth="1"/>
    <col min="4" max="4" width="0.140625" style="40" customWidth="1"/>
    <col min="5" max="5" width="13.42578125" style="40" customWidth="1"/>
    <col min="6" max="6" width="12.140625" style="40" customWidth="1"/>
    <col min="7" max="16384" width="9.140625" style="40"/>
  </cols>
  <sheetData>
    <row r="1" spans="1:34" ht="28.5" customHeight="1" x14ac:dyDescent="0.2">
      <c r="B1" s="1440" t="s">
        <v>385</v>
      </c>
      <c r="C1" s="1440"/>
      <c r="D1" s="1440"/>
      <c r="E1" s="1440"/>
      <c r="F1" s="1440"/>
    </row>
    <row r="2" spans="1:34" ht="15" customHeight="1" thickBot="1" x14ac:dyDescent="0.25">
      <c r="B2" s="185"/>
      <c r="C2" s="185"/>
      <c r="D2" s="188"/>
    </row>
    <row r="3" spans="1:34" ht="13.5" customHeight="1" thickBot="1" x14ac:dyDescent="0.25">
      <c r="A3" s="41"/>
      <c r="B3" s="612" t="s">
        <v>497</v>
      </c>
      <c r="C3" s="631" t="s">
        <v>3</v>
      </c>
      <c r="D3" s="632" t="s">
        <v>574</v>
      </c>
      <c r="E3" s="577" t="s">
        <v>567</v>
      </c>
      <c r="F3" s="577" t="s">
        <v>619</v>
      </c>
    </row>
    <row r="4" spans="1:34" ht="17.25" customHeight="1" x14ac:dyDescent="0.2">
      <c r="B4" s="627" t="s">
        <v>2</v>
      </c>
      <c r="C4" s="628"/>
      <c r="D4" s="629"/>
      <c r="E4" s="630"/>
      <c r="F4" s="630"/>
    </row>
    <row r="5" spans="1:34" ht="15" x14ac:dyDescent="0.2">
      <c r="B5" s="607"/>
      <c r="C5" s="616"/>
      <c r="D5" s="617"/>
      <c r="E5" s="618"/>
      <c r="F5" s="618"/>
    </row>
    <row r="6" spans="1:34" ht="12" customHeight="1" x14ac:dyDescent="0.2">
      <c r="B6" s="606" t="s">
        <v>115</v>
      </c>
      <c r="C6" s="613">
        <f>SUM(C7:C10)</f>
        <v>343135</v>
      </c>
      <c r="D6" s="614">
        <f>SUM(D7:D10)</f>
        <v>14719</v>
      </c>
      <c r="E6" s="615">
        <f>SUM(E7:E10)</f>
        <v>357854</v>
      </c>
      <c r="F6" s="615">
        <f>SUM(F7:F12)</f>
        <v>378452</v>
      </c>
    </row>
    <row r="7" spans="1:34" s="43" customFormat="1" ht="15" x14ac:dyDescent="0.2">
      <c r="A7" s="42"/>
      <c r="B7" s="607" t="s">
        <v>386</v>
      </c>
      <c r="C7" s="616">
        <v>334135</v>
      </c>
      <c r="D7" s="617">
        <f>829+11225-87+3153</f>
        <v>15120</v>
      </c>
      <c r="E7" s="618">
        <f>C7+D7</f>
        <v>349255</v>
      </c>
      <c r="F7" s="618">
        <v>369003</v>
      </c>
    </row>
    <row r="8" spans="1:34" s="44" customFormat="1" ht="15" x14ac:dyDescent="0.2">
      <c r="A8" s="41" t="s">
        <v>98</v>
      </c>
      <c r="B8" s="607" t="s">
        <v>118</v>
      </c>
      <c r="C8" s="616">
        <v>4000</v>
      </c>
      <c r="D8" s="617">
        <v>-440</v>
      </c>
      <c r="E8" s="618">
        <f t="shared" ref="E8:E10" si="0">C8+D8</f>
        <v>3560</v>
      </c>
      <c r="F8" s="618">
        <v>3560</v>
      </c>
    </row>
    <row r="9" spans="1:34" ht="15" x14ac:dyDescent="0.2">
      <c r="A9" s="41" t="s">
        <v>116</v>
      </c>
      <c r="B9" s="608" t="s">
        <v>119</v>
      </c>
      <c r="C9" s="616">
        <v>5000</v>
      </c>
      <c r="D9" s="617">
        <v>-1000</v>
      </c>
      <c r="E9" s="618">
        <f t="shared" si="0"/>
        <v>4000</v>
      </c>
      <c r="F9" s="618">
        <v>4000</v>
      </c>
    </row>
    <row r="10" spans="1:34" ht="30" x14ac:dyDescent="0.2">
      <c r="A10" s="41" t="s">
        <v>117</v>
      </c>
      <c r="B10" s="608" t="s">
        <v>600</v>
      </c>
      <c r="C10" s="616"/>
      <c r="D10" s="617">
        <v>1039</v>
      </c>
      <c r="E10" s="618">
        <f t="shared" si="0"/>
        <v>1039</v>
      </c>
      <c r="F10" s="618">
        <v>1039</v>
      </c>
    </row>
    <row r="11" spans="1:34" ht="15" x14ac:dyDescent="0.2">
      <c r="A11" s="41"/>
      <c r="B11" s="608" t="s">
        <v>331</v>
      </c>
      <c r="C11" s="853"/>
      <c r="D11" s="854"/>
      <c r="E11" s="855"/>
      <c r="F11" s="855">
        <v>400</v>
      </c>
    </row>
    <row r="12" spans="1:34" ht="15" x14ac:dyDescent="0.2">
      <c r="A12" s="41"/>
      <c r="B12" s="607" t="s">
        <v>332</v>
      </c>
      <c r="C12" s="853"/>
      <c r="D12" s="854"/>
      <c r="E12" s="855"/>
      <c r="F12" s="855">
        <v>450</v>
      </c>
    </row>
    <row r="13" spans="1:34" ht="12.75" customHeight="1" x14ac:dyDescent="0.2">
      <c r="B13" s="607"/>
      <c r="C13" s="616"/>
      <c r="D13" s="617"/>
      <c r="E13" s="618"/>
      <c r="F13" s="61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12.75" customHeight="1" x14ac:dyDescent="0.2">
      <c r="B14" s="606" t="s">
        <v>120</v>
      </c>
      <c r="C14" s="613">
        <f>SUM(C15:C59)</f>
        <v>574030</v>
      </c>
      <c r="D14" s="614">
        <f>SUM(D15:D59)</f>
        <v>-10362</v>
      </c>
      <c r="E14" s="615">
        <f>SUM(E15:E59)</f>
        <v>563668</v>
      </c>
      <c r="F14" s="615">
        <f>SUM(F15:F70)</f>
        <v>587830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ht="12.75" customHeight="1" x14ac:dyDescent="0.2">
      <c r="B15" s="608" t="s">
        <v>387</v>
      </c>
      <c r="C15" s="616">
        <v>15000</v>
      </c>
      <c r="D15" s="617"/>
      <c r="E15" s="618">
        <f>C15+D15</f>
        <v>15000</v>
      </c>
      <c r="F15" s="618">
        <v>15000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12.75" customHeight="1" x14ac:dyDescent="0.2">
      <c r="B16" s="607" t="s">
        <v>388</v>
      </c>
      <c r="C16" s="616">
        <v>7000</v>
      </c>
      <c r="D16" s="617"/>
      <c r="E16" s="618">
        <f t="shared" ref="E16:E59" si="1">C16+D16</f>
        <v>7000</v>
      </c>
      <c r="F16" s="618">
        <v>7000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12" customHeight="1" x14ac:dyDescent="0.2">
      <c r="B17" s="607" t="s">
        <v>122</v>
      </c>
      <c r="C17" s="616">
        <v>186620</v>
      </c>
      <c r="D17" s="617"/>
      <c r="E17" s="618">
        <f t="shared" si="1"/>
        <v>186620</v>
      </c>
      <c r="F17" s="618">
        <v>187620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ht="12.75" customHeight="1" x14ac:dyDescent="0.2">
      <c r="B18" s="607" t="s">
        <v>389</v>
      </c>
      <c r="C18" s="616">
        <v>68750</v>
      </c>
      <c r="D18" s="617"/>
      <c r="E18" s="618">
        <f t="shared" si="1"/>
        <v>68750</v>
      </c>
      <c r="F18" s="618">
        <v>86150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1:34" s="43" customFormat="1" ht="15" x14ac:dyDescent="0.2">
      <c r="A19" s="42"/>
      <c r="B19" s="607" t="s">
        <v>390</v>
      </c>
      <c r="C19" s="616">
        <v>36250</v>
      </c>
      <c r="D19" s="617"/>
      <c r="E19" s="618">
        <f t="shared" si="1"/>
        <v>36250</v>
      </c>
      <c r="F19" s="618">
        <v>36250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46" customFormat="1" ht="15" x14ac:dyDescent="0.2">
      <c r="A20" s="45" t="s">
        <v>121</v>
      </c>
      <c r="B20" s="607" t="s">
        <v>391</v>
      </c>
      <c r="C20" s="616">
        <v>660</v>
      </c>
      <c r="D20" s="617"/>
      <c r="E20" s="618">
        <f t="shared" si="1"/>
        <v>660</v>
      </c>
      <c r="F20" s="618">
        <v>660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spans="1:34" ht="15" x14ac:dyDescent="0.2">
      <c r="A21" s="41" t="s">
        <v>121</v>
      </c>
      <c r="B21" s="607" t="s">
        <v>392</v>
      </c>
      <c r="C21" s="616">
        <v>19500</v>
      </c>
      <c r="D21" s="617"/>
      <c r="E21" s="618">
        <f t="shared" si="1"/>
        <v>19500</v>
      </c>
      <c r="F21" s="618">
        <v>19500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1:34" ht="15" x14ac:dyDescent="0.2">
      <c r="A22" s="41" t="s">
        <v>100</v>
      </c>
      <c r="B22" s="607" t="s">
        <v>393</v>
      </c>
      <c r="C22" s="616">
        <v>15150</v>
      </c>
      <c r="D22" s="617"/>
      <c r="E22" s="618">
        <f t="shared" si="1"/>
        <v>15150</v>
      </c>
      <c r="F22" s="618">
        <v>15150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</row>
    <row r="23" spans="1:34" ht="15" x14ac:dyDescent="0.2">
      <c r="A23" s="41" t="s">
        <v>123</v>
      </c>
      <c r="B23" s="608" t="s">
        <v>394</v>
      </c>
      <c r="C23" s="616">
        <v>64000</v>
      </c>
      <c r="D23" s="617"/>
      <c r="E23" s="618">
        <f t="shared" si="1"/>
        <v>64000</v>
      </c>
      <c r="F23" s="618">
        <v>64500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1:34" ht="15" x14ac:dyDescent="0.2">
      <c r="A24" s="41" t="s">
        <v>123</v>
      </c>
      <c r="B24" s="608" t="s">
        <v>124</v>
      </c>
      <c r="C24" s="616">
        <v>45000</v>
      </c>
      <c r="D24" s="617">
        <v>-3778</v>
      </c>
      <c r="E24" s="618">
        <f t="shared" si="1"/>
        <v>41222</v>
      </c>
      <c r="F24" s="618">
        <v>41222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1:34" ht="15" x14ac:dyDescent="0.2">
      <c r="A25" s="41" t="s">
        <v>123</v>
      </c>
      <c r="B25" s="608" t="s">
        <v>331</v>
      </c>
      <c r="C25" s="616">
        <v>3000</v>
      </c>
      <c r="D25" s="617"/>
      <c r="E25" s="618">
        <f t="shared" si="1"/>
        <v>3000</v>
      </c>
      <c r="F25" s="618">
        <v>2000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</row>
    <row r="26" spans="1:34" s="46" customFormat="1" ht="14.25" customHeight="1" x14ac:dyDescent="0.2">
      <c r="A26" s="45" t="s">
        <v>121</v>
      </c>
      <c r="B26" s="607" t="s">
        <v>332</v>
      </c>
      <c r="C26" s="616">
        <v>5500</v>
      </c>
      <c r="D26" s="617"/>
      <c r="E26" s="618">
        <f t="shared" si="1"/>
        <v>5500</v>
      </c>
      <c r="F26" s="618">
        <v>4850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1:34" s="46" customFormat="1" ht="15" x14ac:dyDescent="0.2">
      <c r="A27" s="45" t="s">
        <v>121</v>
      </c>
      <c r="B27" s="608" t="s">
        <v>395</v>
      </c>
      <c r="C27" s="616">
        <v>4000</v>
      </c>
      <c r="D27" s="617"/>
      <c r="E27" s="618">
        <f t="shared" si="1"/>
        <v>4000</v>
      </c>
      <c r="F27" s="618">
        <v>2107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</row>
    <row r="28" spans="1:34" ht="15" x14ac:dyDescent="0.2">
      <c r="A28" s="41" t="s">
        <v>121</v>
      </c>
      <c r="B28" s="607" t="s">
        <v>396</v>
      </c>
      <c r="C28" s="616">
        <v>1975</v>
      </c>
      <c r="D28" s="617"/>
      <c r="E28" s="618">
        <f t="shared" si="1"/>
        <v>1975</v>
      </c>
      <c r="F28" s="618">
        <v>1975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4" s="46" customFormat="1" ht="15" x14ac:dyDescent="0.2">
      <c r="A29" s="45" t="s">
        <v>106</v>
      </c>
      <c r="B29" s="607" t="s">
        <v>397</v>
      </c>
      <c r="C29" s="616">
        <v>8400</v>
      </c>
      <c r="D29" s="617">
        <v>-700</v>
      </c>
      <c r="E29" s="618">
        <f t="shared" si="1"/>
        <v>7700</v>
      </c>
      <c r="F29" s="618">
        <v>7700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ht="15" x14ac:dyDescent="0.2">
      <c r="A30" s="41" t="s">
        <v>121</v>
      </c>
      <c r="B30" s="607" t="s">
        <v>398</v>
      </c>
      <c r="C30" s="616">
        <v>5500</v>
      </c>
      <c r="D30" s="617"/>
      <c r="E30" s="618">
        <f t="shared" si="1"/>
        <v>5500</v>
      </c>
      <c r="F30" s="618">
        <v>5500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34" ht="15" x14ac:dyDescent="0.2">
      <c r="A31" s="41" t="s">
        <v>121</v>
      </c>
      <c r="B31" s="607" t="s">
        <v>399</v>
      </c>
      <c r="C31" s="616">
        <v>3000</v>
      </c>
      <c r="D31" s="617"/>
      <c r="E31" s="618">
        <f t="shared" si="1"/>
        <v>3000</v>
      </c>
      <c r="F31" s="618">
        <v>3000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34" ht="13.5" customHeight="1" x14ac:dyDescent="0.2">
      <c r="A32" s="41" t="s">
        <v>125</v>
      </c>
      <c r="B32" s="607" t="s">
        <v>400</v>
      </c>
      <c r="C32" s="616">
        <v>1000</v>
      </c>
      <c r="D32" s="617"/>
      <c r="E32" s="618">
        <f t="shared" si="1"/>
        <v>1000</v>
      </c>
      <c r="F32" s="618">
        <v>1000</v>
      </c>
    </row>
    <row r="33" spans="1:6" ht="15" x14ac:dyDescent="0.2">
      <c r="A33" s="41"/>
      <c r="B33" s="607" t="s">
        <v>126</v>
      </c>
      <c r="C33" s="616">
        <v>500</v>
      </c>
      <c r="D33" s="617"/>
      <c r="E33" s="618">
        <f t="shared" si="1"/>
        <v>500</v>
      </c>
      <c r="F33" s="618">
        <v>500</v>
      </c>
    </row>
    <row r="34" spans="1:6" ht="14.25" customHeight="1" x14ac:dyDescent="0.2">
      <c r="A34" s="41" t="s">
        <v>121</v>
      </c>
      <c r="B34" s="607" t="s">
        <v>401</v>
      </c>
      <c r="C34" s="616">
        <v>8385</v>
      </c>
      <c r="D34" s="617"/>
      <c r="E34" s="618">
        <f t="shared" si="1"/>
        <v>8385</v>
      </c>
      <c r="F34" s="618">
        <v>8385</v>
      </c>
    </row>
    <row r="35" spans="1:6" ht="15" x14ac:dyDescent="0.2">
      <c r="A35" s="41" t="s">
        <v>121</v>
      </c>
      <c r="B35" s="607" t="s">
        <v>127</v>
      </c>
      <c r="C35" s="616">
        <v>1000</v>
      </c>
      <c r="D35" s="617"/>
      <c r="E35" s="618">
        <f t="shared" si="1"/>
        <v>1000</v>
      </c>
      <c r="F35" s="618">
        <v>1000</v>
      </c>
    </row>
    <row r="36" spans="1:6" ht="15" x14ac:dyDescent="0.2">
      <c r="A36" s="41" t="s">
        <v>121</v>
      </c>
      <c r="B36" s="607" t="s">
        <v>128</v>
      </c>
      <c r="C36" s="616">
        <v>300</v>
      </c>
      <c r="D36" s="617"/>
      <c r="E36" s="618">
        <f t="shared" si="1"/>
        <v>300</v>
      </c>
      <c r="F36" s="618">
        <v>300</v>
      </c>
    </row>
    <row r="37" spans="1:6" ht="15" x14ac:dyDescent="0.2">
      <c r="A37" s="41" t="s">
        <v>121</v>
      </c>
      <c r="B37" s="607" t="s">
        <v>129</v>
      </c>
      <c r="C37" s="616">
        <v>300</v>
      </c>
      <c r="D37" s="617"/>
      <c r="E37" s="618">
        <f t="shared" si="1"/>
        <v>300</v>
      </c>
      <c r="F37" s="618">
        <v>300</v>
      </c>
    </row>
    <row r="38" spans="1:6" ht="15" x14ac:dyDescent="0.2">
      <c r="A38" s="41" t="s">
        <v>121</v>
      </c>
      <c r="B38" s="607" t="s">
        <v>130</v>
      </c>
      <c r="C38" s="616">
        <v>500</v>
      </c>
      <c r="D38" s="617"/>
      <c r="E38" s="618">
        <f t="shared" si="1"/>
        <v>500</v>
      </c>
      <c r="F38" s="618">
        <v>500</v>
      </c>
    </row>
    <row r="39" spans="1:6" ht="15" x14ac:dyDescent="0.2">
      <c r="A39" s="41" t="s">
        <v>121</v>
      </c>
      <c r="B39" s="607" t="s">
        <v>131</v>
      </c>
      <c r="C39" s="616">
        <v>500</v>
      </c>
      <c r="D39" s="617"/>
      <c r="E39" s="618">
        <f t="shared" si="1"/>
        <v>500</v>
      </c>
      <c r="F39" s="618">
        <v>500</v>
      </c>
    </row>
    <row r="40" spans="1:6" ht="15" x14ac:dyDescent="0.2">
      <c r="A40" s="41" t="s">
        <v>121</v>
      </c>
      <c r="B40" s="607" t="s">
        <v>132</v>
      </c>
      <c r="C40" s="616">
        <v>2500</v>
      </c>
      <c r="D40" s="617"/>
      <c r="E40" s="618">
        <f t="shared" si="1"/>
        <v>2500</v>
      </c>
      <c r="F40" s="618">
        <v>2500</v>
      </c>
    </row>
    <row r="41" spans="1:6" ht="15" x14ac:dyDescent="0.2">
      <c r="A41" s="41" t="s">
        <v>121</v>
      </c>
      <c r="B41" s="607" t="s">
        <v>402</v>
      </c>
      <c r="C41" s="616">
        <v>660</v>
      </c>
      <c r="D41" s="617"/>
      <c r="E41" s="618">
        <f t="shared" si="1"/>
        <v>660</v>
      </c>
      <c r="F41" s="618">
        <v>660</v>
      </c>
    </row>
    <row r="42" spans="1:6" ht="15" x14ac:dyDescent="0.2">
      <c r="A42" s="41" t="s">
        <v>121</v>
      </c>
      <c r="B42" s="607" t="s">
        <v>403</v>
      </c>
      <c r="C42" s="616">
        <v>300</v>
      </c>
      <c r="D42" s="617"/>
      <c r="E42" s="618">
        <f t="shared" si="1"/>
        <v>300</v>
      </c>
      <c r="F42" s="618">
        <v>300</v>
      </c>
    </row>
    <row r="43" spans="1:6" ht="15" x14ac:dyDescent="0.2">
      <c r="A43" s="41" t="s">
        <v>121</v>
      </c>
      <c r="B43" s="607" t="s">
        <v>404</v>
      </c>
      <c r="C43" s="616">
        <v>14000</v>
      </c>
      <c r="D43" s="617"/>
      <c r="E43" s="618">
        <f t="shared" si="1"/>
        <v>14000</v>
      </c>
      <c r="F43" s="618">
        <v>14000</v>
      </c>
    </row>
    <row r="44" spans="1:6" ht="15" x14ac:dyDescent="0.2">
      <c r="A44" s="41" t="s">
        <v>121</v>
      </c>
      <c r="B44" s="607" t="s">
        <v>405</v>
      </c>
      <c r="C44" s="616">
        <v>14000</v>
      </c>
      <c r="D44" s="617">
        <v>-5045</v>
      </c>
      <c r="E44" s="618">
        <f t="shared" si="1"/>
        <v>8955</v>
      </c>
      <c r="F44" s="618">
        <v>8955</v>
      </c>
    </row>
    <row r="45" spans="1:6" ht="15" x14ac:dyDescent="0.2">
      <c r="A45" s="41" t="s">
        <v>121</v>
      </c>
      <c r="B45" s="608" t="s">
        <v>406</v>
      </c>
      <c r="C45" s="616">
        <v>300</v>
      </c>
      <c r="D45" s="617">
        <v>2700</v>
      </c>
      <c r="E45" s="618">
        <f t="shared" si="1"/>
        <v>3000</v>
      </c>
      <c r="F45" s="618">
        <v>3000</v>
      </c>
    </row>
    <row r="46" spans="1:6" ht="15" x14ac:dyDescent="0.2">
      <c r="A46" s="41" t="s">
        <v>121</v>
      </c>
      <c r="B46" s="608" t="s">
        <v>407</v>
      </c>
      <c r="C46" s="616">
        <v>2500</v>
      </c>
      <c r="D46" s="617"/>
      <c r="E46" s="618">
        <f t="shared" si="1"/>
        <v>2500</v>
      </c>
      <c r="F46" s="618">
        <v>2500</v>
      </c>
    </row>
    <row r="47" spans="1:6" ht="12.75" customHeight="1" x14ac:dyDescent="0.2">
      <c r="A47" s="41" t="s">
        <v>125</v>
      </c>
      <c r="B47" s="608" t="s">
        <v>408</v>
      </c>
      <c r="C47" s="616">
        <v>500</v>
      </c>
      <c r="D47" s="617"/>
      <c r="E47" s="618">
        <f t="shared" si="1"/>
        <v>500</v>
      </c>
      <c r="F47" s="618">
        <v>500</v>
      </c>
    </row>
    <row r="48" spans="1:6" ht="15" x14ac:dyDescent="0.2">
      <c r="A48" s="41" t="s">
        <v>125</v>
      </c>
      <c r="B48" s="607" t="s">
        <v>409</v>
      </c>
      <c r="C48" s="616">
        <v>20000</v>
      </c>
      <c r="D48" s="617"/>
      <c r="E48" s="618">
        <f t="shared" si="1"/>
        <v>20000</v>
      </c>
      <c r="F48" s="618">
        <v>20000</v>
      </c>
    </row>
    <row r="49" spans="1:33" ht="15" x14ac:dyDescent="0.2">
      <c r="A49" s="41" t="s">
        <v>125</v>
      </c>
      <c r="B49" s="607" t="s">
        <v>410</v>
      </c>
      <c r="C49" s="616">
        <v>600</v>
      </c>
      <c r="D49" s="617"/>
      <c r="E49" s="618">
        <f t="shared" si="1"/>
        <v>600</v>
      </c>
      <c r="F49" s="618">
        <v>600</v>
      </c>
    </row>
    <row r="50" spans="1:33" s="47" customFormat="1" ht="15" x14ac:dyDescent="0.2">
      <c r="A50" s="45" t="s">
        <v>121</v>
      </c>
      <c r="B50" s="608" t="s">
        <v>411</v>
      </c>
      <c r="C50" s="616">
        <v>2380</v>
      </c>
      <c r="D50" s="617"/>
      <c r="E50" s="618">
        <f t="shared" si="1"/>
        <v>2380</v>
      </c>
      <c r="F50" s="618">
        <v>2380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</row>
    <row r="51" spans="1:33" s="47" customFormat="1" ht="15" x14ac:dyDescent="0.2">
      <c r="A51" s="45" t="s">
        <v>121</v>
      </c>
      <c r="B51" s="608" t="s">
        <v>412</v>
      </c>
      <c r="C51" s="616">
        <v>100</v>
      </c>
      <c r="D51" s="617"/>
      <c r="E51" s="618">
        <f t="shared" si="1"/>
        <v>100</v>
      </c>
      <c r="F51" s="618">
        <v>100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</row>
    <row r="52" spans="1:33" ht="15" x14ac:dyDescent="0.2">
      <c r="A52" s="41" t="s">
        <v>121</v>
      </c>
      <c r="B52" s="608" t="s">
        <v>413</v>
      </c>
      <c r="C52" s="616">
        <v>100</v>
      </c>
      <c r="D52" s="617"/>
      <c r="E52" s="618">
        <f t="shared" si="1"/>
        <v>100</v>
      </c>
      <c r="F52" s="618">
        <v>100</v>
      </c>
    </row>
    <row r="53" spans="1:33" ht="15" x14ac:dyDescent="0.2">
      <c r="A53" s="41" t="s">
        <v>121</v>
      </c>
      <c r="B53" s="608" t="s">
        <v>414</v>
      </c>
      <c r="C53" s="616">
        <v>100</v>
      </c>
      <c r="D53" s="617"/>
      <c r="E53" s="618">
        <f t="shared" si="1"/>
        <v>100</v>
      </c>
      <c r="F53" s="618">
        <v>100</v>
      </c>
    </row>
    <row r="54" spans="1:33" ht="15" x14ac:dyDescent="0.2">
      <c r="A54" s="41"/>
      <c r="B54" s="608" t="s">
        <v>415</v>
      </c>
      <c r="C54" s="616">
        <v>1000</v>
      </c>
      <c r="D54" s="617"/>
      <c r="E54" s="618">
        <f t="shared" si="1"/>
        <v>1000</v>
      </c>
      <c r="F54" s="618">
        <v>1000</v>
      </c>
    </row>
    <row r="55" spans="1:33" ht="15" x14ac:dyDescent="0.2">
      <c r="A55" s="41"/>
      <c r="B55" s="608" t="s">
        <v>416</v>
      </c>
      <c r="C55" s="616">
        <v>200</v>
      </c>
      <c r="D55" s="617"/>
      <c r="E55" s="618">
        <f t="shared" si="1"/>
        <v>200</v>
      </c>
      <c r="F55" s="618">
        <v>200</v>
      </c>
    </row>
    <row r="56" spans="1:33" s="46" customFormat="1" ht="15" x14ac:dyDescent="0.2">
      <c r="A56" s="45" t="s">
        <v>117</v>
      </c>
      <c r="B56" s="608" t="s">
        <v>496</v>
      </c>
      <c r="C56" s="616">
        <v>7000</v>
      </c>
      <c r="D56" s="617">
        <f>-2700-1039-1000</f>
        <v>-4739</v>
      </c>
      <c r="E56" s="618">
        <f t="shared" si="1"/>
        <v>2261</v>
      </c>
      <c r="F56" s="618">
        <v>2261</v>
      </c>
    </row>
    <row r="57" spans="1:33" s="46" customFormat="1" ht="15" x14ac:dyDescent="0.2">
      <c r="A57" s="45"/>
      <c r="B57" s="608" t="s">
        <v>486</v>
      </c>
      <c r="C57" s="616">
        <v>6000</v>
      </c>
      <c r="D57" s="617"/>
      <c r="E57" s="618">
        <f t="shared" si="1"/>
        <v>6000</v>
      </c>
      <c r="F57" s="618">
        <v>6000</v>
      </c>
    </row>
    <row r="58" spans="1:33" s="46" customFormat="1" ht="15" x14ac:dyDescent="0.2">
      <c r="A58" s="45"/>
      <c r="B58" s="608" t="s">
        <v>601</v>
      </c>
      <c r="C58" s="616"/>
      <c r="D58" s="617">
        <v>1000</v>
      </c>
      <c r="E58" s="618">
        <f t="shared" si="1"/>
        <v>1000</v>
      </c>
      <c r="F58" s="618">
        <v>1000</v>
      </c>
    </row>
    <row r="59" spans="1:33" s="46" customFormat="1" ht="15" x14ac:dyDescent="0.2">
      <c r="A59" s="45"/>
      <c r="B59" s="608" t="s">
        <v>602</v>
      </c>
      <c r="C59" s="616"/>
      <c r="D59" s="617">
        <v>200</v>
      </c>
      <c r="E59" s="618">
        <f t="shared" si="1"/>
        <v>200</v>
      </c>
      <c r="F59" s="618">
        <v>200</v>
      </c>
    </row>
    <row r="60" spans="1:33" s="46" customFormat="1" ht="15" x14ac:dyDescent="0.2">
      <c r="A60" s="45"/>
      <c r="B60" s="852" t="s">
        <v>710</v>
      </c>
      <c r="C60" s="853"/>
      <c r="D60" s="854"/>
      <c r="E60" s="855"/>
      <c r="F60" s="855">
        <v>251</v>
      </c>
    </row>
    <row r="61" spans="1:33" s="46" customFormat="1" ht="15" x14ac:dyDescent="0.2">
      <c r="A61" s="45"/>
      <c r="B61" s="857" t="s">
        <v>711</v>
      </c>
      <c r="C61" s="853"/>
      <c r="D61" s="854"/>
      <c r="E61" s="855"/>
      <c r="F61" s="855">
        <v>220</v>
      </c>
    </row>
    <row r="62" spans="1:33" s="46" customFormat="1" ht="15" x14ac:dyDescent="0.2">
      <c r="A62" s="45"/>
      <c r="B62" s="857" t="s">
        <v>717</v>
      </c>
      <c r="C62" s="853"/>
      <c r="D62" s="854"/>
      <c r="E62" s="855"/>
      <c r="F62" s="855">
        <v>5600</v>
      </c>
    </row>
    <row r="63" spans="1:33" s="46" customFormat="1" ht="15" x14ac:dyDescent="0.2">
      <c r="A63" s="45"/>
      <c r="B63" s="857" t="s">
        <v>718</v>
      </c>
      <c r="C63" s="853"/>
      <c r="D63" s="854"/>
      <c r="E63" s="855"/>
      <c r="F63" s="855">
        <v>1000</v>
      </c>
    </row>
    <row r="64" spans="1:33" s="46" customFormat="1" ht="15" x14ac:dyDescent="0.2">
      <c r="A64" s="45"/>
      <c r="B64" s="858" t="s">
        <v>712</v>
      </c>
      <c r="C64" s="853"/>
      <c r="D64" s="854"/>
      <c r="E64" s="855"/>
      <c r="F64" s="855"/>
    </row>
    <row r="65" spans="1:6" s="46" customFormat="1" ht="15" x14ac:dyDescent="0.2">
      <c r="A65" s="45"/>
      <c r="B65" s="857" t="s">
        <v>713</v>
      </c>
      <c r="C65" s="853"/>
      <c r="D65" s="854"/>
      <c r="E65" s="855"/>
      <c r="F65" s="855">
        <v>250</v>
      </c>
    </row>
    <row r="66" spans="1:6" s="46" customFormat="1" ht="15" x14ac:dyDescent="0.2">
      <c r="A66" s="45"/>
      <c r="B66" s="857" t="s">
        <v>714</v>
      </c>
      <c r="C66" s="853"/>
      <c r="D66" s="854"/>
      <c r="E66" s="855"/>
      <c r="F66" s="855">
        <v>250</v>
      </c>
    </row>
    <row r="67" spans="1:6" s="46" customFormat="1" ht="15" x14ac:dyDescent="0.2">
      <c r="A67" s="45"/>
      <c r="B67" s="857" t="s">
        <v>715</v>
      </c>
      <c r="C67" s="853"/>
      <c r="D67" s="854"/>
      <c r="E67" s="855"/>
      <c r="F67" s="855">
        <v>424</v>
      </c>
    </row>
    <row r="68" spans="1:6" s="46" customFormat="1" ht="15" x14ac:dyDescent="0.2">
      <c r="A68" s="45"/>
      <c r="B68" s="857" t="s">
        <v>716</v>
      </c>
      <c r="C68" s="853"/>
      <c r="D68" s="854"/>
      <c r="E68" s="855"/>
      <c r="F68" s="855">
        <v>200</v>
      </c>
    </row>
    <row r="69" spans="1:6" s="46" customFormat="1" ht="15" x14ac:dyDescent="0.2">
      <c r="A69" s="45"/>
      <c r="B69" s="607" t="s">
        <v>855</v>
      </c>
      <c r="C69" s="616"/>
      <c r="D69" s="617"/>
      <c r="E69" s="618"/>
      <c r="F69" s="618">
        <v>110</v>
      </c>
    </row>
    <row r="70" spans="1:6" s="46" customFormat="1" ht="15" x14ac:dyDescent="0.2">
      <c r="A70" s="45"/>
      <c r="B70" s="1031" t="s">
        <v>856</v>
      </c>
      <c r="C70" s="1032"/>
      <c r="D70" s="1033"/>
      <c r="E70" s="1034"/>
      <c r="F70" s="1034">
        <v>500</v>
      </c>
    </row>
    <row r="71" spans="1:6" s="46" customFormat="1" ht="13.5" customHeight="1" x14ac:dyDescent="0.2">
      <c r="A71" s="45"/>
      <c r="B71" s="609" t="s">
        <v>417</v>
      </c>
      <c r="C71" s="619">
        <f>C6+C14</f>
        <v>917165</v>
      </c>
      <c r="D71" s="620">
        <f>D6+D14</f>
        <v>4357</v>
      </c>
      <c r="E71" s="621">
        <f>E6+E14</f>
        <v>921522</v>
      </c>
      <c r="F71" s="621">
        <f>F6+F14</f>
        <v>966282</v>
      </c>
    </row>
    <row r="72" spans="1:6" s="46" customFormat="1" ht="15" customHeight="1" x14ac:dyDescent="0.2">
      <c r="A72" s="45"/>
      <c r="B72" s="607"/>
      <c r="C72" s="616"/>
      <c r="D72" s="617"/>
      <c r="E72" s="618"/>
      <c r="F72" s="618"/>
    </row>
    <row r="73" spans="1:6" s="46" customFormat="1" ht="14.25" x14ac:dyDescent="0.2">
      <c r="A73" s="45"/>
      <c r="B73" s="606" t="s">
        <v>133</v>
      </c>
      <c r="C73" s="613">
        <f>SUM(C74:C75)</f>
        <v>32000</v>
      </c>
      <c r="D73" s="614">
        <f t="shared" ref="D73:E73" si="2">SUM(D74:D75)</f>
        <v>0</v>
      </c>
      <c r="E73" s="615">
        <f t="shared" si="2"/>
        <v>32000</v>
      </c>
      <c r="F73" s="615">
        <f>SUM(F74:F76)</f>
        <v>48160</v>
      </c>
    </row>
    <row r="74" spans="1:6" s="46" customFormat="1" ht="15" x14ac:dyDescent="0.2">
      <c r="A74" s="45"/>
      <c r="B74" s="607" t="s">
        <v>134</v>
      </c>
      <c r="C74" s="616">
        <v>2000</v>
      </c>
      <c r="D74" s="617"/>
      <c r="E74" s="618">
        <f>C74+D74</f>
        <v>2000</v>
      </c>
      <c r="F74" s="618">
        <v>2000</v>
      </c>
    </row>
    <row r="75" spans="1:6" s="46" customFormat="1" ht="15" x14ac:dyDescent="0.2">
      <c r="A75" s="45"/>
      <c r="B75" s="607" t="s">
        <v>418</v>
      </c>
      <c r="C75" s="616">
        <v>30000</v>
      </c>
      <c r="D75" s="617"/>
      <c r="E75" s="618">
        <f>C75+D75</f>
        <v>30000</v>
      </c>
      <c r="F75" s="618">
        <v>30000</v>
      </c>
    </row>
    <row r="76" spans="1:6" s="46" customFormat="1" ht="15" x14ac:dyDescent="0.2">
      <c r="A76" s="45"/>
      <c r="B76" s="856" t="s">
        <v>709</v>
      </c>
      <c r="C76" s="853"/>
      <c r="D76" s="854"/>
      <c r="E76" s="855"/>
      <c r="F76" s="855">
        <v>16160</v>
      </c>
    </row>
    <row r="77" spans="1:6" s="46" customFormat="1" ht="15" x14ac:dyDescent="0.2">
      <c r="A77" s="45"/>
      <c r="B77" s="607"/>
      <c r="C77" s="616"/>
      <c r="D77" s="617"/>
      <c r="E77" s="618"/>
      <c r="F77" s="618"/>
    </row>
    <row r="78" spans="1:6" s="46" customFormat="1" ht="15" x14ac:dyDescent="0.2">
      <c r="A78" s="45"/>
      <c r="B78" s="609" t="s">
        <v>135</v>
      </c>
      <c r="C78" s="619">
        <f>C73</f>
        <v>32000</v>
      </c>
      <c r="D78" s="620">
        <f t="shared" ref="D78:E78" si="3">D73</f>
        <v>0</v>
      </c>
      <c r="E78" s="621">
        <f t="shared" si="3"/>
        <v>32000</v>
      </c>
      <c r="F78" s="621">
        <f>F73</f>
        <v>48160</v>
      </c>
    </row>
    <row r="79" spans="1:6" s="46" customFormat="1" ht="15" x14ac:dyDescent="0.2">
      <c r="A79" s="45"/>
      <c r="B79" s="607"/>
      <c r="C79" s="616"/>
      <c r="D79" s="617"/>
      <c r="E79" s="618"/>
      <c r="F79" s="618"/>
    </row>
    <row r="80" spans="1:6" s="46" customFormat="1" ht="14.25" x14ac:dyDescent="0.2">
      <c r="A80" s="45"/>
      <c r="B80" s="610" t="s">
        <v>136</v>
      </c>
      <c r="C80" s="622">
        <f>C71+C78</f>
        <v>949165</v>
      </c>
      <c r="D80" s="623">
        <f t="shared" ref="D80:E80" si="4">D71+D78</f>
        <v>4357</v>
      </c>
      <c r="E80" s="624">
        <f t="shared" si="4"/>
        <v>953522</v>
      </c>
      <c r="F80" s="624">
        <f>F71+F78</f>
        <v>1014442</v>
      </c>
    </row>
    <row r="81" spans="1:6" s="46" customFormat="1" ht="15" x14ac:dyDescent="0.2">
      <c r="A81" s="45"/>
      <c r="B81" s="607"/>
      <c r="C81" s="616"/>
      <c r="D81" s="617"/>
      <c r="E81" s="618"/>
      <c r="F81" s="618"/>
    </row>
    <row r="82" spans="1:6" ht="15.75" customHeight="1" x14ac:dyDescent="0.2">
      <c r="A82" s="41"/>
      <c r="B82" s="606" t="s">
        <v>137</v>
      </c>
      <c r="C82" s="613">
        <f>SUM(C83:C88)</f>
        <v>15614</v>
      </c>
      <c r="D82" s="614">
        <f>SUM(D83:D88)</f>
        <v>-3515</v>
      </c>
      <c r="E82" s="615">
        <f>SUM(E83:E88)</f>
        <v>12099</v>
      </c>
      <c r="F82" s="615">
        <f>SUM(F83:F90)</f>
        <v>12199</v>
      </c>
    </row>
    <row r="83" spans="1:6" s="49" customFormat="1" ht="15" x14ac:dyDescent="0.2">
      <c r="A83" s="48"/>
      <c r="B83" s="607" t="s">
        <v>487</v>
      </c>
      <c r="C83" s="616">
        <v>2500</v>
      </c>
      <c r="D83" s="617"/>
      <c r="E83" s="618">
        <f>C83+D83</f>
        <v>2500</v>
      </c>
      <c r="F83" s="618">
        <v>2500</v>
      </c>
    </row>
    <row r="84" spans="1:6" ht="16.5" customHeight="1" x14ac:dyDescent="0.2">
      <c r="B84" s="607" t="s">
        <v>138</v>
      </c>
      <c r="C84" s="616">
        <v>2314</v>
      </c>
      <c r="D84" s="617"/>
      <c r="E84" s="618">
        <f t="shared" ref="E84:E88" si="5">C84+D84</f>
        <v>2314</v>
      </c>
      <c r="F84" s="618">
        <v>2314</v>
      </c>
    </row>
    <row r="85" spans="1:6" ht="15" x14ac:dyDescent="0.2">
      <c r="B85" s="607" t="s">
        <v>139</v>
      </c>
      <c r="C85" s="616">
        <v>3500</v>
      </c>
      <c r="D85" s="617"/>
      <c r="E85" s="618">
        <f t="shared" si="5"/>
        <v>3500</v>
      </c>
      <c r="F85" s="618">
        <v>3500</v>
      </c>
    </row>
    <row r="86" spans="1:6" s="44" customFormat="1" ht="15" x14ac:dyDescent="0.2">
      <c r="A86" s="41"/>
      <c r="B86" s="608" t="s">
        <v>469</v>
      </c>
      <c r="C86" s="616">
        <v>6000</v>
      </c>
      <c r="D86" s="617">
        <v>-3515</v>
      </c>
      <c r="E86" s="618">
        <f t="shared" si="5"/>
        <v>2485</v>
      </c>
      <c r="F86" s="618">
        <v>2485</v>
      </c>
    </row>
    <row r="87" spans="1:6" ht="14.25" customHeight="1" x14ac:dyDescent="0.2">
      <c r="B87" s="607" t="s">
        <v>419</v>
      </c>
      <c r="C87" s="616">
        <v>300</v>
      </c>
      <c r="D87" s="617"/>
      <c r="E87" s="618">
        <f t="shared" si="5"/>
        <v>300</v>
      </c>
      <c r="F87" s="618">
        <v>300</v>
      </c>
    </row>
    <row r="88" spans="1:6" s="43" customFormat="1" ht="15" x14ac:dyDescent="0.2">
      <c r="A88" s="42"/>
      <c r="B88" s="607" t="s">
        <v>420</v>
      </c>
      <c r="C88" s="616">
        <v>1000</v>
      </c>
      <c r="D88" s="617"/>
      <c r="E88" s="618">
        <f t="shared" si="5"/>
        <v>1000</v>
      </c>
      <c r="F88" s="618">
        <v>1000</v>
      </c>
    </row>
    <row r="89" spans="1:6" s="43" customFormat="1" ht="15" x14ac:dyDescent="0.2">
      <c r="A89" s="42"/>
      <c r="B89" s="859" t="s">
        <v>712</v>
      </c>
      <c r="C89" s="853"/>
      <c r="D89" s="854"/>
      <c r="E89" s="855"/>
      <c r="F89" s="855"/>
    </row>
    <row r="90" spans="1:6" s="43" customFormat="1" ht="15" x14ac:dyDescent="0.2">
      <c r="A90" s="42"/>
      <c r="B90" s="856" t="s">
        <v>720</v>
      </c>
      <c r="C90" s="853"/>
      <c r="D90" s="854"/>
      <c r="E90" s="855"/>
      <c r="F90" s="855">
        <v>100</v>
      </c>
    </row>
    <row r="91" spans="1:6" ht="15" x14ac:dyDescent="0.2">
      <c r="A91" s="41" t="s">
        <v>121</v>
      </c>
      <c r="B91" s="607"/>
      <c r="C91" s="616"/>
      <c r="D91" s="617"/>
      <c r="E91" s="618"/>
      <c r="F91" s="618"/>
    </row>
    <row r="92" spans="1:6" ht="15" customHeight="1" x14ac:dyDescent="0.2">
      <c r="B92" s="609" t="s">
        <v>421</v>
      </c>
      <c r="C92" s="619">
        <f>C82</f>
        <v>15614</v>
      </c>
      <c r="D92" s="620">
        <f t="shared" ref="D92:E92" si="6">D82</f>
        <v>-3515</v>
      </c>
      <c r="E92" s="621">
        <f t="shared" si="6"/>
        <v>12099</v>
      </c>
      <c r="F92" s="621">
        <f>F82</f>
        <v>12199</v>
      </c>
    </row>
    <row r="93" spans="1:6" s="49" customFormat="1" ht="15" x14ac:dyDescent="0.2">
      <c r="A93" s="48"/>
      <c r="B93" s="609"/>
      <c r="C93" s="619"/>
      <c r="D93" s="620"/>
      <c r="E93" s="621"/>
      <c r="F93" s="621"/>
    </row>
    <row r="94" spans="1:6" ht="12.75" customHeight="1" x14ac:dyDescent="0.2">
      <c r="B94" s="606" t="s">
        <v>603</v>
      </c>
      <c r="C94" s="613">
        <f>SUM(C95)</f>
        <v>0</v>
      </c>
      <c r="D94" s="614">
        <f t="shared" ref="D94:E94" si="7">SUM(D95)</f>
        <v>1500</v>
      </c>
      <c r="E94" s="615">
        <f t="shared" si="7"/>
        <v>1500</v>
      </c>
      <c r="F94" s="615">
        <f>SUM(F95)</f>
        <v>1500</v>
      </c>
    </row>
    <row r="95" spans="1:6" s="51" customFormat="1" ht="15" x14ac:dyDescent="0.2">
      <c r="A95" s="50"/>
      <c r="B95" s="607" t="s">
        <v>604</v>
      </c>
      <c r="C95" s="616"/>
      <c r="D95" s="617">
        <v>1500</v>
      </c>
      <c r="E95" s="618">
        <f>C95+D95</f>
        <v>1500</v>
      </c>
      <c r="F95" s="618">
        <v>1500</v>
      </c>
    </row>
    <row r="96" spans="1:6" ht="14.25" customHeight="1" x14ac:dyDescent="0.2">
      <c r="B96" s="606"/>
      <c r="C96" s="613"/>
      <c r="D96" s="614"/>
      <c r="E96" s="615"/>
      <c r="F96" s="615"/>
    </row>
    <row r="97" spans="1:6" s="43" customFormat="1" ht="14.25" x14ac:dyDescent="0.2">
      <c r="A97" s="42"/>
      <c r="B97" s="610" t="s">
        <v>140</v>
      </c>
      <c r="C97" s="622">
        <f>C92+C94</f>
        <v>15614</v>
      </c>
      <c r="D97" s="623">
        <f>D92+D94</f>
        <v>-2015</v>
      </c>
      <c r="E97" s="624">
        <f t="shared" ref="E97" si="8">E92+E94</f>
        <v>13599</v>
      </c>
      <c r="F97" s="624">
        <f>F92+F94</f>
        <v>13699</v>
      </c>
    </row>
    <row r="98" spans="1:6" s="43" customFormat="1" ht="15" thickBot="1" x14ac:dyDescent="0.25">
      <c r="A98" s="42"/>
      <c r="B98" s="611"/>
      <c r="C98" s="625"/>
      <c r="D98" s="602"/>
      <c r="E98" s="603"/>
      <c r="F98" s="603"/>
    </row>
    <row r="99" spans="1:6" s="43" customFormat="1" ht="29.25" thickBot="1" x14ac:dyDescent="0.25">
      <c r="A99" s="42"/>
      <c r="B99" s="612" t="s">
        <v>141</v>
      </c>
      <c r="C99" s="626">
        <f>C80+C97</f>
        <v>964779</v>
      </c>
      <c r="D99" s="604">
        <f>D80+D97</f>
        <v>2342</v>
      </c>
      <c r="E99" s="605">
        <f>E80+E97</f>
        <v>967121</v>
      </c>
      <c r="F99" s="605">
        <f>F80+F97</f>
        <v>1028141</v>
      </c>
    </row>
    <row r="100" spans="1:6" ht="14.25" x14ac:dyDescent="0.2">
      <c r="A100" s="41"/>
      <c r="B100" s="100"/>
      <c r="C100" s="101"/>
      <c r="D100" s="101"/>
      <c r="E100" s="101"/>
      <c r="F100" s="101"/>
    </row>
    <row r="101" spans="1:6" ht="13.5" customHeight="1" x14ac:dyDescent="0.2">
      <c r="B101" s="100"/>
      <c r="C101" s="101"/>
      <c r="D101" s="101"/>
      <c r="E101" s="101"/>
      <c r="F101" s="101"/>
    </row>
    <row r="102" spans="1:6" s="43" customFormat="1" ht="12" customHeight="1" thickBot="1" x14ac:dyDescent="0.25">
      <c r="A102" s="42"/>
      <c r="B102" s="100"/>
      <c r="C102" s="101"/>
      <c r="D102" s="101"/>
      <c r="E102" s="101"/>
      <c r="F102" s="101"/>
    </row>
    <row r="103" spans="1:6" ht="15" thickBot="1" x14ac:dyDescent="0.25">
      <c r="A103" s="41" t="s">
        <v>121</v>
      </c>
      <c r="B103" s="578" t="s">
        <v>142</v>
      </c>
      <c r="C103" s="585" t="s">
        <v>3</v>
      </c>
      <c r="D103" s="580" t="s">
        <v>574</v>
      </c>
      <c r="E103" s="577" t="s">
        <v>567</v>
      </c>
      <c r="F103" s="577" t="s">
        <v>619</v>
      </c>
    </row>
    <row r="104" spans="1:6" ht="14.25" x14ac:dyDescent="0.2">
      <c r="A104" s="41" t="s">
        <v>121</v>
      </c>
      <c r="B104" s="579" t="s">
        <v>2</v>
      </c>
      <c r="C104" s="586"/>
      <c r="D104" s="581"/>
      <c r="E104" s="576"/>
      <c r="F104" s="576"/>
    </row>
    <row r="105" spans="1:6" ht="14.25" x14ac:dyDescent="0.2">
      <c r="A105" s="41" t="s">
        <v>121</v>
      </c>
      <c r="B105" s="590"/>
      <c r="C105" s="587"/>
      <c r="D105" s="582"/>
      <c r="E105" s="591"/>
      <c r="F105" s="591"/>
    </row>
    <row r="106" spans="1:6" ht="14.25" x14ac:dyDescent="0.2">
      <c r="A106" s="41" t="s">
        <v>121</v>
      </c>
      <c r="B106" s="590" t="s">
        <v>143</v>
      </c>
      <c r="C106" s="588">
        <f>SUM(C107:C108)</f>
        <v>1200</v>
      </c>
      <c r="D106" s="583">
        <f t="shared" ref="D106:E106" si="9">SUM(D107:D108)</f>
        <v>0</v>
      </c>
      <c r="E106" s="592">
        <f t="shared" si="9"/>
        <v>1200</v>
      </c>
      <c r="F106" s="592">
        <f t="shared" ref="F106" si="10">SUM(F107:F108)</f>
        <v>1200</v>
      </c>
    </row>
    <row r="107" spans="1:6" ht="15" x14ac:dyDescent="0.25">
      <c r="A107" s="41" t="s">
        <v>121</v>
      </c>
      <c r="B107" s="593" t="s">
        <v>144</v>
      </c>
      <c r="C107" s="589">
        <v>1200</v>
      </c>
      <c r="D107" s="584"/>
      <c r="E107" s="594">
        <f>C107+D107</f>
        <v>1200</v>
      </c>
      <c r="F107" s="594">
        <v>1200</v>
      </c>
    </row>
    <row r="108" spans="1:6" s="46" customFormat="1" ht="14.25" customHeight="1" thickBot="1" x14ac:dyDescent="0.3">
      <c r="A108" s="45" t="s">
        <v>100</v>
      </c>
      <c r="B108" s="595"/>
      <c r="C108" s="596"/>
      <c r="D108" s="597"/>
      <c r="E108" s="598"/>
      <c r="F108" s="598"/>
    </row>
    <row r="109" spans="1:6" ht="29.25" thickBot="1" x14ac:dyDescent="0.25">
      <c r="A109" s="41" t="s">
        <v>121</v>
      </c>
      <c r="B109" s="578" t="s">
        <v>145</v>
      </c>
      <c r="C109" s="599">
        <f>SUM(C106)</f>
        <v>1200</v>
      </c>
      <c r="D109" s="600">
        <f t="shared" ref="D109:E109" si="11">SUM(D106)</f>
        <v>0</v>
      </c>
      <c r="E109" s="601">
        <f t="shared" si="11"/>
        <v>1200</v>
      </c>
      <c r="F109" s="601">
        <f t="shared" ref="F109" si="12">SUM(F106)</f>
        <v>1200</v>
      </c>
    </row>
    <row r="110" spans="1:6" x14ac:dyDescent="0.2">
      <c r="A110" s="41" t="s">
        <v>121</v>
      </c>
    </row>
    <row r="111" spans="1:6" x14ac:dyDescent="0.2">
      <c r="A111" s="41" t="s">
        <v>121</v>
      </c>
    </row>
    <row r="112" spans="1:6" x14ac:dyDescent="0.2">
      <c r="A112" s="41" t="s">
        <v>121</v>
      </c>
    </row>
    <row r="113" spans="1:1" x14ac:dyDescent="0.2">
      <c r="A113" s="41"/>
    </row>
    <row r="114" spans="1:1" x14ac:dyDescent="0.2">
      <c r="A114" s="41"/>
    </row>
    <row r="115" spans="1:1" x14ac:dyDescent="0.2"/>
    <row r="116" spans="1:1" x14ac:dyDescent="0.2"/>
    <row r="117" spans="1:1" x14ac:dyDescent="0.2"/>
    <row r="118" spans="1:1" x14ac:dyDescent="0.2"/>
    <row r="119" spans="1:1" s="49" customFormat="1" x14ac:dyDescent="0.2">
      <c r="A119" s="48"/>
    </row>
    <row r="120" spans="1:1" s="43" customFormat="1" x14ac:dyDescent="0.2">
      <c r="A120" s="42"/>
    </row>
    <row r="121" spans="1:1" s="43" customFormat="1" x14ac:dyDescent="0.2">
      <c r="A121" s="42"/>
    </row>
    <row r="122" spans="1:1" s="44" customFormat="1" x14ac:dyDescent="0.2">
      <c r="A122" s="41"/>
    </row>
    <row r="123" spans="1:1" s="51" customFormat="1" x14ac:dyDescent="0.2">
      <c r="A123" s="50"/>
    </row>
    <row r="124" spans="1:1" s="43" customFormat="1" ht="33.75" customHeight="1" x14ac:dyDescent="0.2">
      <c r="A124" s="42"/>
    </row>
    <row r="125" spans="1:1" s="53" customFormat="1" ht="36.75" customHeight="1" x14ac:dyDescent="0.2">
      <c r="A125" s="52"/>
    </row>
    <row r="126" spans="1:1" ht="15.75" customHeight="1" x14ac:dyDescent="0.2"/>
    <row r="127" spans="1:1" x14ac:dyDescent="0.2"/>
    <row r="128" spans="1:1" x14ac:dyDescent="0.2"/>
    <row r="129" spans="1:1" x14ac:dyDescent="0.2"/>
    <row r="130" spans="1:1" x14ac:dyDescent="0.2"/>
    <row r="131" spans="1:1" x14ac:dyDescent="0.2"/>
    <row r="132" spans="1:1" ht="30.75" customHeight="1" x14ac:dyDescent="0.2"/>
    <row r="133" spans="1:1" ht="30.75" hidden="1" customHeight="1" x14ac:dyDescent="0.2"/>
    <row r="134" spans="1:1" ht="10.5" hidden="1" customHeight="1" x14ac:dyDescent="0.2">
      <c r="A134" s="50"/>
    </row>
    <row r="135" spans="1:1" hidden="1" x14ac:dyDescent="0.2">
      <c r="A135" s="41"/>
    </row>
    <row r="136" spans="1:1" hidden="1" x14ac:dyDescent="0.2">
      <c r="A136" s="41"/>
    </row>
    <row r="137" spans="1:1" hidden="1" x14ac:dyDescent="0.2">
      <c r="A137" s="41"/>
    </row>
    <row r="138" spans="1:1" hidden="1" x14ac:dyDescent="0.2">
      <c r="A138" s="41"/>
    </row>
    <row r="139" spans="1:1" hidden="1" x14ac:dyDescent="0.2">
      <c r="A139" s="41"/>
    </row>
    <row r="140" spans="1:1" hidden="1" x14ac:dyDescent="0.2">
      <c r="A140" s="41"/>
    </row>
    <row r="141" spans="1:1" hidden="1" x14ac:dyDescent="0.2">
      <c r="A141" s="41"/>
    </row>
    <row r="142" spans="1:1" hidden="1" x14ac:dyDescent="0.2">
      <c r="A142" s="41"/>
    </row>
    <row r="143" spans="1:1" hidden="1" x14ac:dyDescent="0.2">
      <c r="A143" s="41"/>
    </row>
    <row r="144" spans="1:1" hidden="1" x14ac:dyDescent="0.2"/>
    <row r="145" spans="1:1" hidden="1" x14ac:dyDescent="0.2"/>
    <row r="146" spans="1:1" hidden="1" x14ac:dyDescent="0.2">
      <c r="A146" s="50"/>
    </row>
    <row r="147" spans="1:1" hidden="1" x14ac:dyDescent="0.2">
      <c r="A147" s="41"/>
    </row>
    <row r="148" spans="1:1" hidden="1" x14ac:dyDescent="0.2">
      <c r="A148" s="41"/>
    </row>
    <row r="149" spans="1:1" hidden="1" x14ac:dyDescent="0.2">
      <c r="A149" s="41"/>
    </row>
    <row r="150" spans="1:1" hidden="1" x14ac:dyDescent="0.2">
      <c r="A150" s="41"/>
    </row>
    <row r="151" spans="1:1" hidden="1" x14ac:dyDescent="0.2"/>
    <row r="152" spans="1:1" hidden="1" x14ac:dyDescent="0.2"/>
    <row r="153" spans="1:1" hidden="1" x14ac:dyDescent="0.2">
      <c r="A153" s="42" t="s">
        <v>146</v>
      </c>
    </row>
    <row r="154" spans="1:1" hidden="1" x14ac:dyDescent="0.2">
      <c r="A154" s="38" t="s">
        <v>98</v>
      </c>
    </row>
    <row r="155" spans="1:1" hidden="1" x14ac:dyDescent="0.2">
      <c r="A155" s="38" t="s">
        <v>116</v>
      </c>
    </row>
    <row r="156" spans="1:1" hidden="1" x14ac:dyDescent="0.2">
      <c r="A156" s="38" t="s">
        <v>117</v>
      </c>
    </row>
    <row r="157" spans="1:1" hidden="1" x14ac:dyDescent="0.2">
      <c r="A157" s="38" t="s">
        <v>99</v>
      </c>
    </row>
    <row r="158" spans="1:1" hidden="1" x14ac:dyDescent="0.2">
      <c r="A158" s="38" t="s">
        <v>121</v>
      </c>
    </row>
    <row r="159" spans="1:1" hidden="1" x14ac:dyDescent="0.2">
      <c r="A159" s="38" t="s">
        <v>100</v>
      </c>
    </row>
    <row r="160" spans="1:1" hidden="1" x14ac:dyDescent="0.2">
      <c r="A160" s="38" t="s">
        <v>123</v>
      </c>
    </row>
    <row r="161" spans="1:1" hidden="1" x14ac:dyDescent="0.2">
      <c r="A161" s="38" t="s">
        <v>106</v>
      </c>
    </row>
    <row r="162" spans="1:1" hidden="1" x14ac:dyDescent="0.2">
      <c r="A162" s="38" t="s">
        <v>125</v>
      </c>
    </row>
    <row r="163" spans="1:1" hidden="1" x14ac:dyDescent="0.2">
      <c r="A163" s="42" t="s">
        <v>147</v>
      </c>
    </row>
    <row r="164" spans="1:1" hidden="1" x14ac:dyDescent="0.2"/>
    <row r="165" spans="1:1" hidden="1" x14ac:dyDescent="0.2">
      <c r="A165" s="42" t="s">
        <v>148</v>
      </c>
    </row>
    <row r="166" spans="1:1" hidden="1" x14ac:dyDescent="0.2">
      <c r="A166" s="38" t="s">
        <v>121</v>
      </c>
    </row>
    <row r="167" spans="1:1" hidden="1" x14ac:dyDescent="0.2"/>
    <row r="168" spans="1:1" hidden="1" x14ac:dyDescent="0.2">
      <c r="A168" s="42" t="s">
        <v>149</v>
      </c>
    </row>
    <row r="169" spans="1:1" hidden="1" x14ac:dyDescent="0.2">
      <c r="A169" s="38" t="s">
        <v>121</v>
      </c>
    </row>
    <row r="170" spans="1:1" hidden="1" x14ac:dyDescent="0.2">
      <c r="A170" s="38" t="s">
        <v>100</v>
      </c>
    </row>
    <row r="171" spans="1:1" hidden="1" x14ac:dyDescent="0.2">
      <c r="A171" s="42" t="s">
        <v>150</v>
      </c>
    </row>
    <row r="172" spans="1:1" hidden="1" x14ac:dyDescent="0.2"/>
    <row r="173" spans="1:1" hidden="1" x14ac:dyDescent="0.2"/>
    <row r="174" spans="1:1" x14ac:dyDescent="0.2"/>
    <row r="175" spans="1:1" x14ac:dyDescent="0.2"/>
    <row r="176" spans="1:1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  <row r="65567" x14ac:dyDescent="0.2"/>
    <row r="65568" x14ac:dyDescent="0.2"/>
    <row r="65569" x14ac:dyDescent="0.2"/>
    <row r="65570" x14ac:dyDescent="0.2"/>
    <row r="65571" x14ac:dyDescent="0.2"/>
    <row r="65572" x14ac:dyDescent="0.2"/>
    <row r="65573" x14ac:dyDescent="0.2"/>
    <row r="65574" x14ac:dyDescent="0.2"/>
    <row r="65575" x14ac:dyDescent="0.2"/>
    <row r="65576" x14ac:dyDescent="0.2"/>
    <row r="65577" x14ac:dyDescent="0.2"/>
    <row r="65578" x14ac:dyDescent="0.2"/>
    <row r="65579" x14ac:dyDescent="0.2"/>
    <row r="65580" x14ac:dyDescent="0.2"/>
    <row r="65581" x14ac:dyDescent="0.2"/>
    <row r="65582" x14ac:dyDescent="0.2"/>
    <row r="65583" x14ac:dyDescent="0.2"/>
    <row r="65584" x14ac:dyDescent="0.2"/>
    <row r="65585" x14ac:dyDescent="0.2"/>
    <row r="65586" x14ac:dyDescent="0.2"/>
    <row r="65587" x14ac:dyDescent="0.2"/>
    <row r="65588" x14ac:dyDescent="0.2"/>
    <row r="65589" x14ac:dyDescent="0.2"/>
  </sheetData>
  <mergeCells count="1">
    <mergeCell ref="B1:F1"/>
  </mergeCells>
  <printOptions horizontalCentered="1"/>
  <pageMargins left="0.47244094488188981" right="0.47244094488188981" top="1.1417322834645669" bottom="0.78740157480314965" header="0.51181102362204722" footer="0.51181102362204722"/>
  <pageSetup paperSize="9" scale="70" firstPageNumber="0" fitToHeight="0" orientation="portrait" horizontalDpi="300" verticalDpi="300" r:id="rId1"/>
  <headerFooter alignWithMargins="0">
    <oddHeader xml:space="preserve">&amp;L&amp;12 10. melléklet a 20/2017.(IX.29.) önkormányzati rendelethez
10. melléklet a 24/2016.(XII.16.) önkormányzati rendelethez
</oddHeader>
  </headerFooter>
  <rowBreaks count="1" manualBreakCount="1">
    <brk id="63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98"/>
  <sheetViews>
    <sheetView view="pageBreakPreview" topLeftCell="A61" zoomScale="90" zoomScaleNormal="79" zoomScaleSheetLayoutView="90" workbookViewId="0">
      <selection activeCell="F72" sqref="F72"/>
    </sheetView>
  </sheetViews>
  <sheetFormatPr defaultRowHeight="12.75" x14ac:dyDescent="0.2"/>
  <cols>
    <col min="1" max="1" width="80" style="39" customWidth="1"/>
    <col min="2" max="2" width="13.7109375" style="54" customWidth="1"/>
    <col min="3" max="3" width="20.140625" style="54" hidden="1" customWidth="1"/>
    <col min="4" max="4" width="14.28515625" style="40" hidden="1" customWidth="1"/>
    <col min="5" max="5" width="13" style="40" customWidth="1"/>
    <col min="6" max="6" width="12.140625" style="40" customWidth="1"/>
    <col min="7" max="16384" width="9.140625" style="40"/>
  </cols>
  <sheetData>
    <row r="1" spans="1:6" ht="14.25" customHeight="1" x14ac:dyDescent="0.2">
      <c r="A1" s="1441" t="s">
        <v>422</v>
      </c>
      <c r="B1" s="1441"/>
      <c r="C1" s="1441"/>
      <c r="D1" s="1441"/>
      <c r="E1" s="1441"/>
      <c r="F1" s="1441"/>
    </row>
    <row r="2" spans="1:6" ht="14.25" customHeight="1" x14ac:dyDescent="0.2">
      <c r="A2" s="1441"/>
      <c r="B2" s="1441"/>
      <c r="C2" s="1441"/>
      <c r="D2" s="1441"/>
      <c r="E2" s="1441"/>
      <c r="F2" s="1441"/>
    </row>
    <row r="3" spans="1:6" ht="14.25" customHeight="1" thickBot="1" x14ac:dyDescent="0.25">
      <c r="A3" s="186"/>
      <c r="B3" s="186"/>
      <c r="C3" s="186"/>
      <c r="D3" s="186"/>
    </row>
    <row r="4" spans="1:6" ht="15" thickBot="1" x14ac:dyDescent="0.25">
      <c r="A4" s="878" t="s">
        <v>497</v>
      </c>
      <c r="B4" s="894" t="s">
        <v>3</v>
      </c>
      <c r="C4" s="886"/>
      <c r="D4" s="864" t="s">
        <v>574</v>
      </c>
      <c r="E4" s="872" t="s">
        <v>567</v>
      </c>
      <c r="F4" s="872" t="s">
        <v>619</v>
      </c>
    </row>
    <row r="5" spans="1:6" ht="14.25" x14ac:dyDescent="0.2">
      <c r="A5" s="879" t="s">
        <v>2</v>
      </c>
      <c r="B5" s="873"/>
      <c r="C5" s="887"/>
      <c r="D5" s="865"/>
      <c r="E5" s="873"/>
      <c r="F5" s="873"/>
    </row>
    <row r="6" spans="1:6" ht="15" x14ac:dyDescent="0.2">
      <c r="A6" s="860"/>
      <c r="B6" s="862"/>
      <c r="C6" s="888"/>
      <c r="D6" s="861"/>
      <c r="E6" s="862"/>
      <c r="F6" s="862"/>
    </row>
    <row r="7" spans="1:6" ht="14.25" x14ac:dyDescent="0.2">
      <c r="A7" s="880" t="s">
        <v>151</v>
      </c>
      <c r="B7" s="874">
        <f>SUM(B8:B22)</f>
        <v>150251</v>
      </c>
      <c r="C7" s="889">
        <f t="shared" ref="C7:D7" si="0">SUM(C8:C22)</f>
        <v>0</v>
      </c>
      <c r="D7" s="866">
        <f t="shared" si="0"/>
        <v>0</v>
      </c>
      <c r="E7" s="874">
        <f>SUM(E8:E22)</f>
        <v>150251</v>
      </c>
      <c r="F7" s="874">
        <f>SUM(F8:F28)</f>
        <v>500488</v>
      </c>
    </row>
    <row r="8" spans="1:6" ht="30" x14ac:dyDescent="0.2">
      <c r="A8" s="860" t="s">
        <v>423</v>
      </c>
      <c r="B8" s="862">
        <v>9881</v>
      </c>
      <c r="C8" s="890"/>
      <c r="D8" s="861"/>
      <c r="E8" s="862">
        <f>B8+D8</f>
        <v>9881</v>
      </c>
      <c r="F8" s="862">
        <v>9881</v>
      </c>
    </row>
    <row r="9" spans="1:6" s="43" customFormat="1" ht="15" x14ac:dyDescent="0.2">
      <c r="A9" s="860" t="s">
        <v>721</v>
      </c>
      <c r="B9" s="862">
        <v>128050</v>
      </c>
      <c r="C9" s="888"/>
      <c r="D9" s="861"/>
      <c r="E9" s="862">
        <f t="shared" ref="E9:E22" si="1">B9+D9</f>
        <v>128050</v>
      </c>
      <c r="F9" s="862">
        <v>128050</v>
      </c>
    </row>
    <row r="10" spans="1:6" s="44" customFormat="1" ht="15" x14ac:dyDescent="0.2">
      <c r="A10" s="860" t="s">
        <v>397</v>
      </c>
      <c r="B10" s="862">
        <v>7000</v>
      </c>
      <c r="C10" s="888"/>
      <c r="D10" s="861"/>
      <c r="E10" s="862">
        <f t="shared" si="1"/>
        <v>7000</v>
      </c>
      <c r="F10" s="862">
        <v>7000</v>
      </c>
    </row>
    <row r="11" spans="1:6" s="44" customFormat="1" ht="15" hidden="1" x14ac:dyDescent="0.2">
      <c r="A11" s="860" t="s">
        <v>424</v>
      </c>
      <c r="B11" s="862">
        <v>0</v>
      </c>
      <c r="C11" s="888"/>
      <c r="D11" s="861"/>
      <c r="E11" s="862">
        <f t="shared" si="1"/>
        <v>0</v>
      </c>
      <c r="F11" s="862"/>
    </row>
    <row r="12" spans="1:6" ht="36.75" hidden="1" customHeight="1" x14ac:dyDescent="0.2">
      <c r="A12" s="860" t="s">
        <v>488</v>
      </c>
      <c r="B12" s="862">
        <v>0</v>
      </c>
      <c r="C12" s="888"/>
      <c r="D12" s="861"/>
      <c r="E12" s="862">
        <f t="shared" si="1"/>
        <v>0</v>
      </c>
      <c r="F12" s="862"/>
    </row>
    <row r="13" spans="1:6" ht="15" hidden="1" x14ac:dyDescent="0.2">
      <c r="A13" s="860" t="s">
        <v>425</v>
      </c>
      <c r="B13" s="862">
        <v>0</v>
      </c>
      <c r="C13" s="888"/>
      <c r="D13" s="861"/>
      <c r="E13" s="862">
        <f t="shared" si="1"/>
        <v>0</v>
      </c>
      <c r="F13" s="862"/>
    </row>
    <row r="14" spans="1:6" ht="30" hidden="1" x14ac:dyDescent="0.2">
      <c r="A14" s="860" t="s">
        <v>489</v>
      </c>
      <c r="B14" s="862">
        <v>0</v>
      </c>
      <c r="C14" s="888"/>
      <c r="D14" s="861"/>
      <c r="E14" s="862">
        <f t="shared" si="1"/>
        <v>0</v>
      </c>
      <c r="F14" s="862"/>
    </row>
    <row r="15" spans="1:6" ht="30" hidden="1" x14ac:dyDescent="0.2">
      <c r="A15" s="860" t="s">
        <v>426</v>
      </c>
      <c r="B15" s="862">
        <v>0</v>
      </c>
      <c r="C15" s="888"/>
      <c r="D15" s="861"/>
      <c r="E15" s="862">
        <f t="shared" si="1"/>
        <v>0</v>
      </c>
      <c r="F15" s="862"/>
    </row>
    <row r="16" spans="1:6" ht="15" hidden="1" x14ac:dyDescent="0.2">
      <c r="A16" s="860" t="s">
        <v>427</v>
      </c>
      <c r="B16" s="862">
        <v>0</v>
      </c>
      <c r="C16" s="888"/>
      <c r="D16" s="861"/>
      <c r="E16" s="862">
        <f t="shared" si="1"/>
        <v>0</v>
      </c>
      <c r="F16" s="862"/>
    </row>
    <row r="17" spans="1:6" ht="15" hidden="1" x14ac:dyDescent="0.2">
      <c r="A17" s="860" t="s">
        <v>428</v>
      </c>
      <c r="B17" s="862">
        <v>0</v>
      </c>
      <c r="C17" s="888"/>
      <c r="D17" s="861"/>
      <c r="E17" s="862">
        <f t="shared" si="1"/>
        <v>0</v>
      </c>
      <c r="F17" s="862"/>
    </row>
    <row r="18" spans="1:6" ht="15" hidden="1" x14ac:dyDescent="0.2">
      <c r="A18" s="860" t="s">
        <v>429</v>
      </c>
      <c r="B18" s="862">
        <v>0</v>
      </c>
      <c r="C18" s="888"/>
      <c r="D18" s="861"/>
      <c r="E18" s="862">
        <f t="shared" si="1"/>
        <v>0</v>
      </c>
      <c r="F18" s="862"/>
    </row>
    <row r="19" spans="1:6" ht="15" x14ac:dyDescent="0.2">
      <c r="A19" s="860" t="s">
        <v>499</v>
      </c>
      <c r="B19" s="862">
        <v>5320</v>
      </c>
      <c r="C19" s="888"/>
      <c r="D19" s="861"/>
      <c r="E19" s="862">
        <f t="shared" si="1"/>
        <v>5320</v>
      </c>
      <c r="F19" s="862">
        <v>5320</v>
      </c>
    </row>
    <row r="20" spans="1:6" ht="15" hidden="1" x14ac:dyDescent="0.2">
      <c r="A20" s="860" t="s">
        <v>430</v>
      </c>
      <c r="B20" s="862">
        <v>0</v>
      </c>
      <c r="C20" s="888"/>
      <c r="D20" s="861"/>
      <c r="E20" s="862">
        <f t="shared" si="1"/>
        <v>0</v>
      </c>
      <c r="F20" s="862"/>
    </row>
    <row r="21" spans="1:6" ht="15" hidden="1" x14ac:dyDescent="0.2">
      <c r="A21" s="860" t="s">
        <v>431</v>
      </c>
      <c r="B21" s="862">
        <v>0</v>
      </c>
      <c r="C21" s="888"/>
      <c r="D21" s="861"/>
      <c r="E21" s="862">
        <f t="shared" si="1"/>
        <v>0</v>
      </c>
      <c r="F21" s="862"/>
    </row>
    <row r="22" spans="1:6" ht="15" hidden="1" x14ac:dyDescent="0.2">
      <c r="A22" s="860" t="s">
        <v>432</v>
      </c>
      <c r="B22" s="862">
        <v>0</v>
      </c>
      <c r="C22" s="888"/>
      <c r="D22" s="861"/>
      <c r="E22" s="862">
        <f t="shared" si="1"/>
        <v>0</v>
      </c>
      <c r="F22" s="862"/>
    </row>
    <row r="23" spans="1:6" ht="30" x14ac:dyDescent="0.2">
      <c r="A23" s="860" t="s">
        <v>722</v>
      </c>
      <c r="B23" s="862"/>
      <c r="C23" s="888"/>
      <c r="D23" s="861"/>
      <c r="E23" s="862"/>
      <c r="F23" s="862">
        <v>135795</v>
      </c>
    </row>
    <row r="24" spans="1:6" ht="15" x14ac:dyDescent="0.2">
      <c r="A24" s="860" t="s">
        <v>425</v>
      </c>
      <c r="B24" s="862"/>
      <c r="C24" s="888"/>
      <c r="D24" s="861"/>
      <c r="E24" s="862"/>
      <c r="F24" s="862">
        <v>43075</v>
      </c>
    </row>
    <row r="25" spans="1:6" ht="45" x14ac:dyDescent="0.2">
      <c r="A25" s="860" t="s">
        <v>723</v>
      </c>
      <c r="B25" s="862"/>
      <c r="C25" s="888"/>
      <c r="D25" s="861"/>
      <c r="E25" s="862"/>
      <c r="F25" s="862">
        <v>101465</v>
      </c>
    </row>
    <row r="26" spans="1:6" ht="30" x14ac:dyDescent="0.2">
      <c r="A26" s="860" t="s">
        <v>489</v>
      </c>
      <c r="B26" s="862"/>
      <c r="C26" s="888"/>
      <c r="D26" s="861"/>
      <c r="E26" s="862"/>
      <c r="F26" s="862">
        <v>62197</v>
      </c>
    </row>
    <row r="27" spans="1:6" ht="15" x14ac:dyDescent="0.2">
      <c r="A27" s="860" t="s">
        <v>724</v>
      </c>
      <c r="B27" s="862"/>
      <c r="C27" s="888"/>
      <c r="D27" s="861"/>
      <c r="E27" s="862"/>
      <c r="F27" s="862">
        <v>406</v>
      </c>
    </row>
    <row r="28" spans="1:6" ht="30" x14ac:dyDescent="0.25">
      <c r="A28" s="952" t="s">
        <v>911</v>
      </c>
      <c r="B28" s="862"/>
      <c r="C28" s="888"/>
      <c r="D28" s="861"/>
      <c r="E28" s="862"/>
      <c r="F28" s="862">
        <v>7299</v>
      </c>
    </row>
    <row r="29" spans="1:6" ht="30" x14ac:dyDescent="0.2">
      <c r="A29" s="881" t="s">
        <v>433</v>
      </c>
      <c r="B29" s="875">
        <f>B7</f>
        <v>150251</v>
      </c>
      <c r="C29" s="891">
        <f t="shared" ref="C29:D29" si="2">C7</f>
        <v>0</v>
      </c>
      <c r="D29" s="867">
        <f t="shared" si="2"/>
        <v>0</v>
      </c>
      <c r="E29" s="875">
        <f>E7</f>
        <v>150251</v>
      </c>
      <c r="F29" s="875">
        <f>F7</f>
        <v>500488</v>
      </c>
    </row>
    <row r="30" spans="1:6" s="43" customFormat="1" ht="15" x14ac:dyDescent="0.2">
      <c r="A30" s="860"/>
      <c r="B30" s="874"/>
      <c r="C30" s="888"/>
      <c r="D30" s="866"/>
      <c r="E30" s="874"/>
      <c r="F30" s="874"/>
    </row>
    <row r="31" spans="1:6" ht="14.25" x14ac:dyDescent="0.2">
      <c r="A31" s="882" t="s">
        <v>708</v>
      </c>
      <c r="B31" s="874">
        <f>SUM(B32:B32)</f>
        <v>0</v>
      </c>
      <c r="C31" s="889">
        <f>SUM(C32:C32)</f>
        <v>0</v>
      </c>
      <c r="D31" s="866">
        <f>SUM(D32:D32)</f>
        <v>3000</v>
      </c>
      <c r="E31" s="874">
        <f>SUM(E32:E32)</f>
        <v>3000</v>
      </c>
      <c r="F31" s="874">
        <f>SUM(F32:F32)</f>
        <v>3000</v>
      </c>
    </row>
    <row r="32" spans="1:6" ht="45" x14ac:dyDescent="0.2">
      <c r="A32" s="883" t="s">
        <v>605</v>
      </c>
      <c r="B32" s="862"/>
      <c r="C32" s="890"/>
      <c r="D32" s="861">
        <v>3000</v>
      </c>
      <c r="E32" s="862">
        <f>B32+D32</f>
        <v>3000</v>
      </c>
      <c r="F32" s="862">
        <v>3000</v>
      </c>
    </row>
    <row r="33" spans="1:6" s="43" customFormat="1" ht="15" x14ac:dyDescent="0.2">
      <c r="A33" s="860"/>
      <c r="B33" s="874"/>
      <c r="C33" s="888"/>
      <c r="D33" s="866"/>
      <c r="E33" s="874"/>
      <c r="F33" s="874"/>
    </row>
    <row r="34" spans="1:6" s="43" customFormat="1" ht="28.5" x14ac:dyDescent="0.2">
      <c r="A34" s="880" t="s">
        <v>152</v>
      </c>
      <c r="B34" s="874">
        <f>SUM(B35:B37)</f>
        <v>73119</v>
      </c>
      <c r="C34" s="889">
        <f t="shared" ref="C34:D34" si="3">SUM(C35:C37)</f>
        <v>0</v>
      </c>
      <c r="D34" s="866">
        <f t="shared" si="3"/>
        <v>0</v>
      </c>
      <c r="E34" s="874">
        <f>SUM(E35:E37)</f>
        <v>73119</v>
      </c>
      <c r="F34" s="874">
        <f>SUM(F35:F39)</f>
        <v>119279</v>
      </c>
    </row>
    <row r="35" spans="1:6" s="43" customFormat="1" ht="15" x14ac:dyDescent="0.2">
      <c r="A35" s="860" t="s">
        <v>153</v>
      </c>
      <c r="B35" s="862">
        <v>2000</v>
      </c>
      <c r="C35" s="863"/>
      <c r="D35" s="861"/>
      <c r="E35" s="862">
        <f>B35+D35</f>
        <v>2000</v>
      </c>
      <c r="F35" s="862">
        <v>2000</v>
      </c>
    </row>
    <row r="36" spans="1:6" s="43" customFormat="1" ht="15" x14ac:dyDescent="0.2">
      <c r="A36" s="860" t="s">
        <v>470</v>
      </c>
      <c r="B36" s="862">
        <v>63989</v>
      </c>
      <c r="C36" s="863"/>
      <c r="D36" s="861"/>
      <c r="E36" s="862">
        <f t="shared" ref="E36:E37" si="4">B36+D36</f>
        <v>63989</v>
      </c>
      <c r="F36" s="862">
        <v>63989</v>
      </c>
    </row>
    <row r="37" spans="1:6" ht="15.75" customHeight="1" x14ac:dyDescent="0.2">
      <c r="A37" s="860" t="s">
        <v>434</v>
      </c>
      <c r="B37" s="862">
        <v>7130</v>
      </c>
      <c r="C37" s="863"/>
      <c r="D37" s="861"/>
      <c r="E37" s="862">
        <f t="shared" si="4"/>
        <v>7130</v>
      </c>
      <c r="F37" s="862">
        <v>7130</v>
      </c>
    </row>
    <row r="38" spans="1:6" ht="15.75" customHeight="1" x14ac:dyDescent="0.2">
      <c r="A38" s="860" t="s">
        <v>725</v>
      </c>
      <c r="B38" s="862"/>
      <c r="C38" s="863"/>
      <c r="D38" s="861"/>
      <c r="E38" s="862"/>
      <c r="F38" s="862">
        <v>16160</v>
      </c>
    </row>
    <row r="39" spans="1:6" s="43" customFormat="1" ht="15" x14ac:dyDescent="0.2">
      <c r="A39" s="860" t="s">
        <v>912</v>
      </c>
      <c r="B39" s="862"/>
      <c r="C39" s="863"/>
      <c r="D39" s="861"/>
      <c r="E39" s="862"/>
      <c r="F39" s="862">
        <v>30000</v>
      </c>
    </row>
    <row r="40" spans="1:6" s="43" customFormat="1" ht="30" x14ac:dyDescent="0.2">
      <c r="A40" s="881" t="s">
        <v>435</v>
      </c>
      <c r="B40" s="875">
        <f>B34+B31</f>
        <v>73119</v>
      </c>
      <c r="C40" s="891">
        <f>C34+C31</f>
        <v>0</v>
      </c>
      <c r="D40" s="867">
        <f>D34+D31</f>
        <v>3000</v>
      </c>
      <c r="E40" s="875">
        <f>E34+E31</f>
        <v>76119</v>
      </c>
      <c r="F40" s="875">
        <f>F34+F31</f>
        <v>122279</v>
      </c>
    </row>
    <row r="41" spans="1:6" s="43" customFormat="1" ht="15" x14ac:dyDescent="0.2">
      <c r="A41" s="860"/>
      <c r="B41" s="862"/>
      <c r="C41" s="888"/>
      <c r="D41" s="861"/>
      <c r="E41" s="862"/>
      <c r="F41" s="862"/>
    </row>
    <row r="42" spans="1:6" s="43" customFormat="1" ht="14.25" x14ac:dyDescent="0.2">
      <c r="A42" s="880" t="s">
        <v>154</v>
      </c>
      <c r="B42" s="874">
        <f>SUM(B43:B54)</f>
        <v>100000</v>
      </c>
      <c r="C42" s="889">
        <f t="shared" ref="C42:D42" si="5">SUM(C43:C54)</f>
        <v>0</v>
      </c>
      <c r="D42" s="866">
        <f t="shared" si="5"/>
        <v>-100000</v>
      </c>
      <c r="E42" s="874">
        <f>SUM(E43:E54)</f>
        <v>0</v>
      </c>
      <c r="F42" s="874">
        <f>SUM(F43:F59)</f>
        <v>833234</v>
      </c>
    </row>
    <row r="43" spans="1:6" s="43" customFormat="1" ht="45" hidden="1" x14ac:dyDescent="0.2">
      <c r="A43" s="860" t="s">
        <v>488</v>
      </c>
      <c r="B43" s="862">
        <v>0</v>
      </c>
      <c r="C43" s="863"/>
      <c r="D43" s="861"/>
      <c r="E43" s="862">
        <v>0</v>
      </c>
      <c r="F43" s="862"/>
    </row>
    <row r="44" spans="1:6" s="43" customFormat="1" ht="15" hidden="1" x14ac:dyDescent="0.2">
      <c r="A44" s="860" t="s">
        <v>425</v>
      </c>
      <c r="B44" s="862">
        <v>0</v>
      </c>
      <c r="C44" s="863"/>
      <c r="D44" s="861"/>
      <c r="E44" s="862">
        <v>0</v>
      </c>
      <c r="F44" s="862"/>
    </row>
    <row r="45" spans="1:6" s="43" customFormat="1" ht="30" hidden="1" x14ac:dyDescent="0.2">
      <c r="A45" s="860" t="s">
        <v>489</v>
      </c>
      <c r="B45" s="862">
        <v>0</v>
      </c>
      <c r="C45" s="863"/>
      <c r="D45" s="861"/>
      <c r="E45" s="862">
        <v>0</v>
      </c>
      <c r="F45" s="862"/>
    </row>
    <row r="46" spans="1:6" ht="30" hidden="1" x14ac:dyDescent="0.2">
      <c r="A46" s="860" t="s">
        <v>426</v>
      </c>
      <c r="B46" s="862">
        <v>0</v>
      </c>
      <c r="C46" s="863"/>
      <c r="D46" s="861"/>
      <c r="E46" s="862">
        <v>0</v>
      </c>
      <c r="F46" s="862"/>
    </row>
    <row r="47" spans="1:6" s="43" customFormat="1" ht="15" hidden="1" x14ac:dyDescent="0.2">
      <c r="A47" s="860" t="s">
        <v>428</v>
      </c>
      <c r="B47" s="862">
        <v>0</v>
      </c>
      <c r="C47" s="863"/>
      <c r="D47" s="861"/>
      <c r="E47" s="862">
        <v>0</v>
      </c>
      <c r="F47" s="862"/>
    </row>
    <row r="48" spans="1:6" ht="15" x14ac:dyDescent="0.2">
      <c r="A48" s="860" t="s">
        <v>436</v>
      </c>
      <c r="B48" s="862">
        <v>100000</v>
      </c>
      <c r="C48" s="863"/>
      <c r="D48" s="861">
        <v>-100000</v>
      </c>
      <c r="E48" s="862">
        <f>B48+D48</f>
        <v>0</v>
      </c>
      <c r="F48" s="862">
        <v>0</v>
      </c>
    </row>
    <row r="49" spans="1:6" ht="15" hidden="1" x14ac:dyDescent="0.2">
      <c r="A49" s="860" t="s">
        <v>430</v>
      </c>
      <c r="B49" s="862">
        <v>0</v>
      </c>
      <c r="C49" s="863"/>
      <c r="D49" s="861"/>
      <c r="E49" s="862">
        <v>0</v>
      </c>
      <c r="F49" s="862"/>
    </row>
    <row r="50" spans="1:6" s="43" customFormat="1" ht="15" hidden="1" x14ac:dyDescent="0.2">
      <c r="A50" s="860" t="s">
        <v>431</v>
      </c>
      <c r="B50" s="862">
        <v>0</v>
      </c>
      <c r="C50" s="863"/>
      <c r="D50" s="861"/>
      <c r="E50" s="862">
        <v>0</v>
      </c>
      <c r="F50" s="862"/>
    </row>
    <row r="51" spans="1:6" ht="15" hidden="1" x14ac:dyDescent="0.2">
      <c r="A51" s="860" t="s">
        <v>429</v>
      </c>
      <c r="B51" s="862">
        <v>0</v>
      </c>
      <c r="C51" s="863"/>
      <c r="D51" s="861"/>
      <c r="E51" s="862">
        <v>0</v>
      </c>
      <c r="F51" s="862"/>
    </row>
    <row r="52" spans="1:6" s="43" customFormat="1" ht="15" hidden="1" x14ac:dyDescent="0.2">
      <c r="A52" s="860" t="s">
        <v>424</v>
      </c>
      <c r="B52" s="862">
        <v>0</v>
      </c>
      <c r="C52" s="863"/>
      <c r="D52" s="861"/>
      <c r="E52" s="862">
        <v>0</v>
      </c>
      <c r="F52" s="862"/>
    </row>
    <row r="53" spans="1:6" ht="15" hidden="1" x14ac:dyDescent="0.2">
      <c r="A53" s="860" t="s">
        <v>432</v>
      </c>
      <c r="B53" s="862">
        <v>0</v>
      </c>
      <c r="C53" s="863"/>
      <c r="D53" s="861"/>
      <c r="E53" s="862">
        <v>0</v>
      </c>
      <c r="F53" s="862"/>
    </row>
    <row r="54" spans="1:6" ht="15" hidden="1" x14ac:dyDescent="0.2">
      <c r="A54" s="860" t="s">
        <v>427</v>
      </c>
      <c r="B54" s="862">
        <v>0</v>
      </c>
      <c r="C54" s="863"/>
      <c r="D54" s="861"/>
      <c r="E54" s="862">
        <v>0</v>
      </c>
      <c r="F54" s="862"/>
    </row>
    <row r="55" spans="1:6" ht="30" x14ac:dyDescent="0.2">
      <c r="A55" s="884" t="s">
        <v>722</v>
      </c>
      <c r="B55" s="862"/>
      <c r="C55" s="863"/>
      <c r="D55" s="861"/>
      <c r="E55" s="862"/>
      <c r="F55" s="862">
        <v>313150</v>
      </c>
    </row>
    <row r="56" spans="1:6" ht="15" x14ac:dyDescent="0.2">
      <c r="A56" s="884" t="s">
        <v>425</v>
      </c>
      <c r="B56" s="862"/>
      <c r="C56" s="863"/>
      <c r="D56" s="861"/>
      <c r="E56" s="862"/>
      <c r="F56" s="862">
        <v>106925</v>
      </c>
    </row>
    <row r="57" spans="1:6" ht="45" x14ac:dyDescent="0.2">
      <c r="A57" s="884" t="s">
        <v>723</v>
      </c>
      <c r="B57" s="862"/>
      <c r="C57" s="863"/>
      <c r="D57" s="861"/>
      <c r="E57" s="862"/>
      <c r="F57" s="862">
        <v>248535</v>
      </c>
    </row>
    <row r="58" spans="1:6" ht="30" x14ac:dyDescent="0.2">
      <c r="A58" s="884" t="s">
        <v>489</v>
      </c>
      <c r="B58" s="862"/>
      <c r="C58" s="863"/>
      <c r="D58" s="861"/>
      <c r="E58" s="862"/>
      <c r="F58" s="862">
        <v>162923</v>
      </c>
    </row>
    <row r="59" spans="1:6" ht="30" x14ac:dyDescent="0.25">
      <c r="A59" s="952" t="s">
        <v>911</v>
      </c>
      <c r="B59" s="862"/>
      <c r="C59" s="863"/>
      <c r="D59" s="861"/>
      <c r="E59" s="862"/>
      <c r="F59" s="862">
        <v>1701</v>
      </c>
    </row>
    <row r="60" spans="1:6" s="44" customFormat="1" ht="30" x14ac:dyDescent="0.2">
      <c r="A60" s="881" t="s">
        <v>437</v>
      </c>
      <c r="B60" s="875">
        <f>B42</f>
        <v>100000</v>
      </c>
      <c r="C60" s="875">
        <f t="shared" ref="C60:E60" si="6">C42</f>
        <v>0</v>
      </c>
      <c r="D60" s="875">
        <f t="shared" si="6"/>
        <v>-100000</v>
      </c>
      <c r="E60" s="875">
        <f t="shared" si="6"/>
        <v>0</v>
      </c>
      <c r="F60" s="875">
        <f>F42</f>
        <v>833234</v>
      </c>
    </row>
    <row r="61" spans="1:6" s="43" customFormat="1" ht="15" x14ac:dyDescent="0.2">
      <c r="A61" s="44"/>
      <c r="B61" s="895"/>
      <c r="C61" s="871"/>
      <c r="D61" s="868"/>
      <c r="E61" s="862"/>
      <c r="F61" s="862"/>
    </row>
    <row r="62" spans="1:6" s="53" customFormat="1" ht="15.75" customHeight="1" x14ac:dyDescent="0.2">
      <c r="A62" s="880" t="s">
        <v>155</v>
      </c>
      <c r="B62" s="874">
        <f>SUM(B63:B63)</f>
        <v>18634</v>
      </c>
      <c r="C62" s="889">
        <f t="shared" ref="C62:D62" si="7">SUM(C63:C63)</f>
        <v>0</v>
      </c>
      <c r="D62" s="866">
        <f t="shared" si="7"/>
        <v>0</v>
      </c>
      <c r="E62" s="874">
        <f>SUM(E63:E63)</f>
        <v>18634</v>
      </c>
      <c r="F62" s="874">
        <f>SUM(F63:F63)</f>
        <v>18634</v>
      </c>
    </row>
    <row r="63" spans="1:6" ht="15" x14ac:dyDescent="0.2">
      <c r="A63" s="860" t="s">
        <v>438</v>
      </c>
      <c r="B63" s="862">
        <v>18634</v>
      </c>
      <c r="C63" s="888"/>
      <c r="D63" s="861"/>
      <c r="E63" s="862">
        <f>B63+D63</f>
        <v>18634</v>
      </c>
      <c r="F63" s="862">
        <v>18634</v>
      </c>
    </row>
    <row r="64" spans="1:6" ht="15" x14ac:dyDescent="0.2">
      <c r="A64" s="860"/>
      <c r="B64" s="862"/>
      <c r="C64" s="888"/>
      <c r="D64" s="861"/>
      <c r="E64" s="862"/>
      <c r="F64" s="862"/>
    </row>
    <row r="65" spans="1:6" s="51" customFormat="1" ht="28.5" x14ac:dyDescent="0.2">
      <c r="A65" s="880" t="s">
        <v>156</v>
      </c>
      <c r="B65" s="874">
        <f>SUM(B66:C68)</f>
        <v>896</v>
      </c>
      <c r="C65" s="889">
        <f t="shared" ref="C65:E65" si="8">SUM(C66:D68)</f>
        <v>100</v>
      </c>
      <c r="D65" s="866">
        <f t="shared" si="8"/>
        <v>1096</v>
      </c>
      <c r="E65" s="874">
        <f t="shared" si="8"/>
        <v>1992</v>
      </c>
      <c r="F65" s="874">
        <f>SUM(F66:G68)</f>
        <v>996</v>
      </c>
    </row>
    <row r="66" spans="1:6" ht="15" x14ac:dyDescent="0.2">
      <c r="A66" s="860" t="s">
        <v>157</v>
      </c>
      <c r="B66" s="862">
        <v>800</v>
      </c>
      <c r="C66" s="888"/>
      <c r="D66" s="861"/>
      <c r="E66" s="862">
        <f>B66+D66</f>
        <v>800</v>
      </c>
      <c r="F66" s="862">
        <v>800</v>
      </c>
    </row>
    <row r="67" spans="1:6" ht="15" x14ac:dyDescent="0.2">
      <c r="A67" s="860" t="s">
        <v>439</v>
      </c>
      <c r="B67" s="862">
        <v>96</v>
      </c>
      <c r="C67" s="888"/>
      <c r="D67" s="861"/>
      <c r="E67" s="862">
        <f>B67+D67</f>
        <v>96</v>
      </c>
      <c r="F67" s="862">
        <v>96</v>
      </c>
    </row>
    <row r="68" spans="1:6" ht="15" x14ac:dyDescent="0.2">
      <c r="A68" s="860" t="s">
        <v>606</v>
      </c>
      <c r="B68" s="862"/>
      <c r="C68" s="888"/>
      <c r="D68" s="861">
        <v>100</v>
      </c>
      <c r="E68" s="862">
        <f>B68+D68</f>
        <v>100</v>
      </c>
      <c r="F68" s="862">
        <v>100</v>
      </c>
    </row>
    <row r="69" spans="1:6" ht="15" x14ac:dyDescent="0.2">
      <c r="A69" s="860"/>
      <c r="B69" s="862"/>
      <c r="C69" s="888"/>
      <c r="D69" s="861"/>
      <c r="E69" s="862"/>
      <c r="F69" s="862"/>
    </row>
    <row r="70" spans="1:6" ht="30" x14ac:dyDescent="0.2">
      <c r="A70" s="881" t="s">
        <v>440</v>
      </c>
      <c r="B70" s="875">
        <f>B62+B65</f>
        <v>19530</v>
      </c>
      <c r="C70" s="891">
        <f t="shared" ref="C70:D70" si="9">C62+C65</f>
        <v>100</v>
      </c>
      <c r="D70" s="867">
        <f t="shared" si="9"/>
        <v>1096</v>
      </c>
      <c r="E70" s="875">
        <f>E62+E65</f>
        <v>20626</v>
      </c>
      <c r="F70" s="875">
        <f>F62+F65</f>
        <v>19630</v>
      </c>
    </row>
    <row r="71" spans="1:6" ht="15.75" thickBot="1" x14ac:dyDescent="0.25">
      <c r="A71" s="885"/>
      <c r="B71" s="876"/>
      <c r="C71" s="892"/>
      <c r="D71" s="869"/>
      <c r="E71" s="876"/>
      <c r="F71" s="876"/>
    </row>
    <row r="72" spans="1:6" ht="29.25" thickBot="1" x14ac:dyDescent="0.25">
      <c r="A72" s="878" t="s">
        <v>158</v>
      </c>
      <c r="B72" s="877">
        <f>B29+B40+B60+B70</f>
        <v>342900</v>
      </c>
      <c r="C72" s="893">
        <f>C29+C40+B60+C70</f>
        <v>100100</v>
      </c>
      <c r="D72" s="870">
        <f>D29+D40+C60+D70</f>
        <v>4096</v>
      </c>
      <c r="E72" s="877">
        <f>E29+E40+E70</f>
        <v>246996</v>
      </c>
      <c r="F72" s="877">
        <f>SUM(F29+F40+F60+F70)</f>
        <v>1475631</v>
      </c>
    </row>
    <row r="73" spans="1:6" ht="14.25" x14ac:dyDescent="0.2">
      <c r="A73" s="636"/>
      <c r="B73" s="651"/>
      <c r="C73" s="103"/>
      <c r="D73" s="102"/>
      <c r="E73" s="670"/>
      <c r="F73" s="637"/>
    </row>
    <row r="74" spans="1:6" ht="15" thickBot="1" x14ac:dyDescent="0.25">
      <c r="A74" s="638"/>
      <c r="B74" s="651"/>
      <c r="C74" s="104"/>
      <c r="D74" s="102"/>
      <c r="E74" s="670"/>
      <c r="F74" s="637"/>
    </row>
    <row r="75" spans="1:6" ht="15" thickBot="1" x14ac:dyDescent="0.25">
      <c r="A75" s="647" t="s">
        <v>142</v>
      </c>
      <c r="B75" s="680" t="s">
        <v>3</v>
      </c>
      <c r="C75" s="681"/>
      <c r="D75" s="682" t="s">
        <v>574</v>
      </c>
      <c r="E75" s="683" t="s">
        <v>567</v>
      </c>
      <c r="F75" s="684" t="s">
        <v>619</v>
      </c>
    </row>
    <row r="76" spans="1:6" s="51" customFormat="1" ht="14.25" x14ac:dyDescent="0.2">
      <c r="A76" s="674" t="s">
        <v>2</v>
      </c>
      <c r="B76" s="675"/>
      <c r="C76" s="676"/>
      <c r="D76" s="677"/>
      <c r="E76" s="678"/>
      <c r="F76" s="679"/>
    </row>
    <row r="77" spans="1:6" ht="15" x14ac:dyDescent="0.2">
      <c r="A77" s="643"/>
      <c r="B77" s="649"/>
      <c r="C77" s="634"/>
      <c r="D77" s="656"/>
      <c r="E77" s="668"/>
      <c r="F77" s="662"/>
    </row>
    <row r="78" spans="1:6" ht="14.25" x14ac:dyDescent="0.2">
      <c r="A78" s="645" t="s">
        <v>97</v>
      </c>
      <c r="B78" s="652">
        <f>B79</f>
        <v>600</v>
      </c>
      <c r="C78" s="639">
        <f t="shared" ref="C78:D78" si="10">C79</f>
        <v>0</v>
      </c>
      <c r="D78" s="658">
        <f t="shared" si="10"/>
        <v>0</v>
      </c>
      <c r="E78" s="671">
        <f>E79</f>
        <v>600</v>
      </c>
      <c r="F78" s="664">
        <f>F79</f>
        <v>600</v>
      </c>
    </row>
    <row r="79" spans="1:6" ht="28.5" x14ac:dyDescent="0.2">
      <c r="A79" s="642" t="s">
        <v>156</v>
      </c>
      <c r="B79" s="648">
        <f>SUM(B80:B81)</f>
        <v>600</v>
      </c>
      <c r="C79" s="633">
        <f t="shared" ref="C79:E79" si="11">SUM(C80:C81)</f>
        <v>0</v>
      </c>
      <c r="D79" s="655">
        <f t="shared" si="11"/>
        <v>0</v>
      </c>
      <c r="E79" s="667">
        <f t="shared" si="11"/>
        <v>600</v>
      </c>
      <c r="F79" s="661">
        <f>SUM(F80:F81)</f>
        <v>600</v>
      </c>
    </row>
    <row r="80" spans="1:6" ht="15" x14ac:dyDescent="0.2">
      <c r="A80" s="643" t="s">
        <v>159</v>
      </c>
      <c r="B80" s="649">
        <v>600</v>
      </c>
      <c r="C80" s="634"/>
      <c r="D80" s="656"/>
      <c r="E80" s="668">
        <f>B80+D80</f>
        <v>600</v>
      </c>
      <c r="F80" s="662">
        <v>600</v>
      </c>
    </row>
    <row r="81" spans="1:6" ht="15" x14ac:dyDescent="0.2">
      <c r="A81" s="643"/>
      <c r="B81" s="649"/>
      <c r="C81" s="634"/>
      <c r="D81" s="656"/>
      <c r="E81" s="668"/>
      <c r="F81" s="662"/>
    </row>
    <row r="82" spans="1:6" ht="14.25" x14ac:dyDescent="0.2">
      <c r="A82" s="645" t="s">
        <v>160</v>
      </c>
      <c r="B82" s="652">
        <f t="shared" ref="B82:E83" si="12">SUM(B83)</f>
        <v>3706</v>
      </c>
      <c r="C82" s="639">
        <f t="shared" si="12"/>
        <v>0</v>
      </c>
      <c r="D82" s="658">
        <f t="shared" si="12"/>
        <v>0</v>
      </c>
      <c r="E82" s="671">
        <f t="shared" si="12"/>
        <v>3706</v>
      </c>
      <c r="F82" s="664">
        <f>SUM(F83)</f>
        <v>3706</v>
      </c>
    </row>
    <row r="83" spans="1:6" ht="14.25" x14ac:dyDescent="0.2">
      <c r="A83" s="642" t="s">
        <v>151</v>
      </c>
      <c r="B83" s="648">
        <f t="shared" si="12"/>
        <v>3706</v>
      </c>
      <c r="C83" s="633">
        <f t="shared" si="12"/>
        <v>0</v>
      </c>
      <c r="D83" s="655">
        <f t="shared" si="12"/>
        <v>0</v>
      </c>
      <c r="E83" s="667">
        <f t="shared" si="12"/>
        <v>3706</v>
      </c>
      <c r="F83" s="661">
        <f>SUM(F84)</f>
        <v>3706</v>
      </c>
    </row>
    <row r="84" spans="1:6" ht="15" x14ac:dyDescent="0.2">
      <c r="A84" s="643" t="s">
        <v>333</v>
      </c>
      <c r="B84" s="649">
        <v>3706</v>
      </c>
      <c r="C84" s="634"/>
      <c r="D84" s="656"/>
      <c r="E84" s="668">
        <f>B84+D84</f>
        <v>3706</v>
      </c>
      <c r="F84" s="662">
        <v>3706</v>
      </c>
    </row>
    <row r="85" spans="1:6" ht="15" x14ac:dyDescent="0.2">
      <c r="A85" s="643"/>
      <c r="B85" s="649"/>
      <c r="C85" s="634"/>
      <c r="D85" s="656"/>
      <c r="E85" s="668"/>
      <c r="F85" s="662"/>
    </row>
    <row r="86" spans="1:6" s="51" customFormat="1" ht="14.25" x14ac:dyDescent="0.2">
      <c r="A86" s="645" t="s">
        <v>161</v>
      </c>
      <c r="B86" s="652">
        <f t="shared" ref="B86:E87" si="13">SUM(B87)</f>
        <v>8128</v>
      </c>
      <c r="C86" s="639">
        <f t="shared" si="13"/>
        <v>0</v>
      </c>
      <c r="D86" s="658">
        <f t="shared" si="13"/>
        <v>0</v>
      </c>
      <c r="E86" s="671">
        <f t="shared" si="13"/>
        <v>8128</v>
      </c>
      <c r="F86" s="664">
        <f>SUM(F87)</f>
        <v>9428</v>
      </c>
    </row>
    <row r="87" spans="1:6" ht="14.25" x14ac:dyDescent="0.2">
      <c r="A87" s="642" t="s">
        <v>151</v>
      </c>
      <c r="B87" s="648">
        <f t="shared" si="13"/>
        <v>8128</v>
      </c>
      <c r="C87" s="633">
        <f t="shared" si="13"/>
        <v>0</v>
      </c>
      <c r="D87" s="655">
        <f t="shared" si="13"/>
        <v>0</v>
      </c>
      <c r="E87" s="667">
        <f t="shared" si="13"/>
        <v>8128</v>
      </c>
      <c r="F87" s="661">
        <f>SUM(F88)</f>
        <v>9428</v>
      </c>
    </row>
    <row r="88" spans="1:6" s="43" customFormat="1" ht="15" x14ac:dyDescent="0.2">
      <c r="A88" s="643" t="s">
        <v>162</v>
      </c>
      <c r="B88" s="649">
        <v>8128</v>
      </c>
      <c r="C88" s="634"/>
      <c r="D88" s="656"/>
      <c r="E88" s="668">
        <f>B88+D88</f>
        <v>8128</v>
      </c>
      <c r="F88" s="662">
        <v>9428</v>
      </c>
    </row>
    <row r="89" spans="1:6" ht="15" x14ac:dyDescent="0.2">
      <c r="A89" s="643"/>
      <c r="B89" s="649"/>
      <c r="C89" s="634"/>
      <c r="D89" s="656"/>
      <c r="E89" s="668"/>
      <c r="F89" s="662"/>
    </row>
    <row r="90" spans="1:6" ht="14.25" x14ac:dyDescent="0.2">
      <c r="A90" s="645" t="s">
        <v>163</v>
      </c>
      <c r="B90" s="652">
        <f t="shared" ref="B90:E91" si="14">SUM(B91)</f>
        <v>5332</v>
      </c>
      <c r="C90" s="639">
        <f t="shared" si="14"/>
        <v>4072</v>
      </c>
      <c r="D90" s="658">
        <f t="shared" si="14"/>
        <v>2499</v>
      </c>
      <c r="E90" s="671">
        <f t="shared" si="14"/>
        <v>7831</v>
      </c>
      <c r="F90" s="664">
        <f>SUM(F91)</f>
        <v>7831</v>
      </c>
    </row>
    <row r="91" spans="1:6" s="49" customFormat="1" ht="14.25" x14ac:dyDescent="0.2">
      <c r="A91" s="642" t="s">
        <v>151</v>
      </c>
      <c r="B91" s="648">
        <f t="shared" si="14"/>
        <v>5332</v>
      </c>
      <c r="C91" s="633">
        <f t="shared" si="14"/>
        <v>4072</v>
      </c>
      <c r="D91" s="655">
        <f t="shared" si="14"/>
        <v>2499</v>
      </c>
      <c r="E91" s="667">
        <f t="shared" si="14"/>
        <v>7831</v>
      </c>
      <c r="F91" s="661">
        <f>SUM(F92)</f>
        <v>7831</v>
      </c>
    </row>
    <row r="92" spans="1:6" ht="15" x14ac:dyDescent="0.2">
      <c r="A92" s="643" t="s">
        <v>164</v>
      </c>
      <c r="B92" s="649">
        <v>5332</v>
      </c>
      <c r="C92" s="634">
        <v>4072</v>
      </c>
      <c r="D92" s="656">
        <v>2499</v>
      </c>
      <c r="E92" s="668">
        <f>B92+D92</f>
        <v>7831</v>
      </c>
      <c r="F92" s="662">
        <v>7831</v>
      </c>
    </row>
    <row r="93" spans="1:6" s="49" customFormat="1" ht="15" x14ac:dyDescent="0.2">
      <c r="A93" s="643"/>
      <c r="B93" s="649"/>
      <c r="C93" s="634"/>
      <c r="D93" s="656"/>
      <c r="E93" s="668"/>
      <c r="F93" s="662"/>
    </row>
    <row r="94" spans="1:6" ht="15" x14ac:dyDescent="0.2">
      <c r="A94" s="644" t="s">
        <v>165</v>
      </c>
      <c r="B94" s="650">
        <f>B82+B86+B90</f>
        <v>17166</v>
      </c>
      <c r="C94" s="635">
        <f t="shared" ref="C94:E94" si="15">C82+C86+C90</f>
        <v>4072</v>
      </c>
      <c r="D94" s="657">
        <f t="shared" si="15"/>
        <v>2499</v>
      </c>
      <c r="E94" s="669">
        <f t="shared" si="15"/>
        <v>19665</v>
      </c>
      <c r="F94" s="663">
        <f>F82+F86+F90</f>
        <v>20965</v>
      </c>
    </row>
    <row r="95" spans="1:6" ht="15.75" customHeight="1" x14ac:dyDescent="0.2">
      <c r="A95" s="643"/>
      <c r="B95" s="649"/>
      <c r="C95" s="634"/>
      <c r="D95" s="656"/>
      <c r="E95" s="668"/>
      <c r="F95" s="662"/>
    </row>
    <row r="96" spans="1:6" ht="15" x14ac:dyDescent="0.2">
      <c r="A96" s="644" t="s">
        <v>166</v>
      </c>
      <c r="B96" s="650">
        <f>B78</f>
        <v>600</v>
      </c>
      <c r="C96" s="635">
        <f t="shared" ref="C96:E96" si="16">C78</f>
        <v>0</v>
      </c>
      <c r="D96" s="657">
        <f t="shared" si="16"/>
        <v>0</v>
      </c>
      <c r="E96" s="669">
        <f t="shared" si="16"/>
        <v>600</v>
      </c>
      <c r="F96" s="663">
        <f>F78</f>
        <v>600</v>
      </c>
    </row>
    <row r="97" spans="1:6" ht="15.75" thickBot="1" x14ac:dyDescent="0.25">
      <c r="A97" s="646"/>
      <c r="B97" s="653"/>
      <c r="C97" s="640"/>
      <c r="D97" s="659"/>
      <c r="E97" s="672"/>
      <c r="F97" s="665"/>
    </row>
    <row r="98" spans="1:6" ht="43.5" thickBot="1" x14ac:dyDescent="0.25">
      <c r="A98" s="647" t="s">
        <v>167</v>
      </c>
      <c r="B98" s="654">
        <f>SUM(B94,B96)</f>
        <v>17766</v>
      </c>
      <c r="C98" s="641">
        <f t="shared" ref="C98:E98" si="17">SUM(C94,C96)</f>
        <v>4072</v>
      </c>
      <c r="D98" s="660">
        <f t="shared" si="17"/>
        <v>2499</v>
      </c>
      <c r="E98" s="673">
        <f t="shared" si="17"/>
        <v>20265</v>
      </c>
      <c r="F98" s="666">
        <f>SUM(F94,F96)</f>
        <v>21565</v>
      </c>
    </row>
  </sheetData>
  <mergeCells count="1">
    <mergeCell ref="A1:F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78" firstPageNumber="0" fitToHeight="0" orientation="portrait" horizontalDpi="300" verticalDpi="300" r:id="rId1"/>
  <headerFooter alignWithMargins="0">
    <oddHeader xml:space="preserve">&amp;L11. melléklet a 20/2017.(IX.29.)  önkormányzati rendelethez
11. melléklet a 24/2016.(XII.16.)  önkormányzati rendelethez
</oddHeader>
  </headerFooter>
  <colBreaks count="1" manualBreakCount="1">
    <brk id="4" max="9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43"/>
  <sheetViews>
    <sheetView view="pageBreakPreview" topLeftCell="A28" zoomScaleNormal="79" zoomScaleSheetLayoutView="100" workbookViewId="0">
      <selection activeCell="C39" sqref="C39:D39"/>
    </sheetView>
  </sheetViews>
  <sheetFormatPr defaultRowHeight="12.75" x14ac:dyDescent="0.2"/>
  <cols>
    <col min="1" max="1" width="46.85546875" style="55" customWidth="1"/>
    <col min="2" max="2" width="22.5703125" style="55" customWidth="1"/>
    <col min="3" max="3" width="21.140625" style="55" customWidth="1"/>
    <col min="4" max="4" width="20.85546875" style="55" customWidth="1"/>
    <col min="5" max="5" width="4.5703125" style="55" customWidth="1"/>
    <col min="6" max="16384" width="9.140625" style="55"/>
  </cols>
  <sheetData>
    <row r="1" spans="1:4" ht="17.25" customHeight="1" x14ac:dyDescent="0.2">
      <c r="A1" s="1447" t="s">
        <v>168</v>
      </c>
      <c r="B1" s="1447"/>
      <c r="C1" s="1447"/>
      <c r="D1" s="1447"/>
    </row>
    <row r="2" spans="1:4" ht="14.25" customHeight="1" thickBot="1" x14ac:dyDescent="0.3">
      <c r="A2" s="56"/>
      <c r="B2" s="57"/>
    </row>
    <row r="3" spans="1:4" ht="27.75" customHeight="1" thickBot="1" x14ac:dyDescent="0.25">
      <c r="A3" s="1442" t="s">
        <v>169</v>
      </c>
      <c r="B3" s="693" t="s">
        <v>170</v>
      </c>
      <c r="C3" s="701" t="s">
        <v>170</v>
      </c>
      <c r="D3" s="170" t="s">
        <v>170</v>
      </c>
    </row>
    <row r="4" spans="1:4" ht="15" customHeight="1" thickBot="1" x14ac:dyDescent="0.25">
      <c r="A4" s="1443"/>
      <c r="B4" s="694" t="s">
        <v>3</v>
      </c>
      <c r="C4" s="702" t="s">
        <v>567</v>
      </c>
      <c r="D4" s="173" t="s">
        <v>619</v>
      </c>
    </row>
    <row r="5" spans="1:4" ht="15" customHeight="1" x14ac:dyDescent="0.2">
      <c r="A5" s="174" t="s">
        <v>171</v>
      </c>
      <c r="B5" s="695">
        <v>22</v>
      </c>
      <c r="C5" s="703">
        <v>22</v>
      </c>
      <c r="D5" s="703">
        <v>22</v>
      </c>
    </row>
    <row r="6" spans="1:4" ht="15" customHeight="1" x14ac:dyDescent="0.2">
      <c r="A6" s="175" t="s">
        <v>172</v>
      </c>
      <c r="B6" s="696">
        <v>18.75</v>
      </c>
      <c r="C6" s="704">
        <v>18.75</v>
      </c>
      <c r="D6" s="704">
        <v>18.75</v>
      </c>
    </row>
    <row r="7" spans="1:4" ht="15" customHeight="1" x14ac:dyDescent="0.2">
      <c r="A7" s="175" t="s">
        <v>173</v>
      </c>
      <c r="B7" s="696">
        <v>3.5</v>
      </c>
      <c r="C7" s="704">
        <v>3.5</v>
      </c>
      <c r="D7" s="704">
        <v>3.5</v>
      </c>
    </row>
    <row r="8" spans="1:4" s="58" customFormat="1" ht="15" customHeight="1" x14ac:dyDescent="0.2">
      <c r="A8" s="176" t="s">
        <v>174</v>
      </c>
      <c r="B8" s="697">
        <f>SUM(B6:B7)</f>
        <v>22.25</v>
      </c>
      <c r="C8" s="705">
        <f>SUM(C6:C7)</f>
        <v>22.25</v>
      </c>
      <c r="D8" s="705">
        <f>SUM(D6:D7)</f>
        <v>22.25</v>
      </c>
    </row>
    <row r="9" spans="1:4" ht="15" customHeight="1" x14ac:dyDescent="0.2">
      <c r="A9" s="175" t="s">
        <v>175</v>
      </c>
      <c r="B9" s="696">
        <v>23</v>
      </c>
      <c r="C9" s="704">
        <v>23</v>
      </c>
      <c r="D9" s="704">
        <v>23</v>
      </c>
    </row>
    <row r="10" spans="1:4" ht="15" customHeight="1" x14ac:dyDescent="0.2">
      <c r="A10" s="175" t="s">
        <v>176</v>
      </c>
      <c r="B10" s="696">
        <v>13</v>
      </c>
      <c r="C10" s="704">
        <v>13</v>
      </c>
      <c r="D10" s="704">
        <v>13</v>
      </c>
    </row>
    <row r="11" spans="1:4" ht="15" customHeight="1" x14ac:dyDescent="0.2">
      <c r="A11" s="175" t="s">
        <v>177</v>
      </c>
      <c r="B11" s="696">
        <v>18</v>
      </c>
      <c r="C11" s="704">
        <v>18</v>
      </c>
      <c r="D11" s="704">
        <v>18</v>
      </c>
    </row>
    <row r="12" spans="1:4" ht="15" customHeight="1" x14ac:dyDescent="0.2">
      <c r="A12" s="175" t="s">
        <v>178</v>
      </c>
      <c r="B12" s="696">
        <v>7</v>
      </c>
      <c r="C12" s="704">
        <v>7</v>
      </c>
      <c r="D12" s="704">
        <v>7</v>
      </c>
    </row>
    <row r="13" spans="1:4" s="58" customFormat="1" ht="15" customHeight="1" x14ac:dyDescent="0.2">
      <c r="A13" s="176" t="s">
        <v>179</v>
      </c>
      <c r="B13" s="697">
        <f>SUM(B11:B12)</f>
        <v>25</v>
      </c>
      <c r="C13" s="705">
        <f>SUM(C11:C12)</f>
        <v>25</v>
      </c>
      <c r="D13" s="705">
        <f>SUM(D11:D12)</f>
        <v>25</v>
      </c>
    </row>
    <row r="14" spans="1:4" s="58" customFormat="1" ht="15" customHeight="1" x14ac:dyDescent="0.2">
      <c r="A14" s="176" t="s">
        <v>180</v>
      </c>
      <c r="B14" s="697">
        <f>SUM(B5,B8,B9,B10,B13)</f>
        <v>105.25</v>
      </c>
      <c r="C14" s="705">
        <f>SUM(C5,C8,C9,C10,C13)</f>
        <v>105.25</v>
      </c>
      <c r="D14" s="705">
        <f>SUM(D5,D8,D9,D10,D13)</f>
        <v>105.25</v>
      </c>
    </row>
    <row r="15" spans="1:4" ht="15" customHeight="1" x14ac:dyDescent="0.2">
      <c r="A15" s="175" t="s">
        <v>181</v>
      </c>
      <c r="B15" s="696">
        <v>39.5</v>
      </c>
      <c r="C15" s="704">
        <v>39.5</v>
      </c>
      <c r="D15" s="704">
        <v>39.5</v>
      </c>
    </row>
    <row r="16" spans="1:4" ht="15.75" customHeight="1" x14ac:dyDescent="0.2">
      <c r="A16" s="175" t="s">
        <v>182</v>
      </c>
      <c r="B16" s="696">
        <v>9.5</v>
      </c>
      <c r="C16" s="704">
        <v>9.5</v>
      </c>
      <c r="D16" s="704">
        <v>9.5</v>
      </c>
    </row>
    <row r="17" spans="1:4" ht="15" customHeight="1" x14ac:dyDescent="0.2">
      <c r="A17" s="175" t="s">
        <v>183</v>
      </c>
      <c r="B17" s="696">
        <v>14.5</v>
      </c>
      <c r="C17" s="704">
        <v>14.5</v>
      </c>
      <c r="D17" s="704">
        <v>14.5</v>
      </c>
    </row>
    <row r="18" spans="1:4" ht="15" customHeight="1" x14ac:dyDescent="0.2">
      <c r="A18" s="175" t="s">
        <v>184</v>
      </c>
      <c r="B18" s="696">
        <v>11</v>
      </c>
      <c r="C18" s="704">
        <v>10</v>
      </c>
      <c r="D18" s="704">
        <v>10</v>
      </c>
    </row>
    <row r="19" spans="1:4" ht="15" customHeight="1" x14ac:dyDescent="0.2">
      <c r="A19" s="177" t="s">
        <v>103</v>
      </c>
      <c r="B19" s="696">
        <v>42</v>
      </c>
      <c r="C19" s="704">
        <v>42</v>
      </c>
      <c r="D19" s="704">
        <v>42</v>
      </c>
    </row>
    <row r="20" spans="1:4" s="59" customFormat="1" ht="15" customHeight="1" x14ac:dyDescent="0.2">
      <c r="A20" s="178" t="s">
        <v>185</v>
      </c>
      <c r="B20" s="698">
        <f>SUM(B14,B15,B16,B17,B18,B19)</f>
        <v>221.75</v>
      </c>
      <c r="C20" s="706">
        <f>SUM(C14,C15,C16,C17,C18,C19)</f>
        <v>220.75</v>
      </c>
      <c r="D20" s="706">
        <f>SUM(D14,D15,D16,D17,D18,D19)</f>
        <v>220.75</v>
      </c>
    </row>
    <row r="21" spans="1:4" ht="15" customHeight="1" x14ac:dyDescent="0.2">
      <c r="A21" s="179" t="s">
        <v>186</v>
      </c>
      <c r="B21" s="699">
        <f>SUM(B20)</f>
        <v>221.75</v>
      </c>
      <c r="C21" s="707">
        <f>SUM(C20)</f>
        <v>220.75</v>
      </c>
      <c r="D21" s="707">
        <f>SUM(D20)</f>
        <v>220.75</v>
      </c>
    </row>
    <row r="22" spans="1:4" ht="15" customHeight="1" x14ac:dyDescent="0.2">
      <c r="A22" s="175"/>
      <c r="B22" s="696"/>
      <c r="C22" s="704"/>
      <c r="D22" s="704"/>
    </row>
    <row r="23" spans="1:4" ht="15" customHeight="1" x14ac:dyDescent="0.2">
      <c r="A23" s="179" t="s">
        <v>70</v>
      </c>
      <c r="B23" s="696"/>
      <c r="C23" s="704"/>
      <c r="D23" s="704"/>
    </row>
    <row r="24" spans="1:4" ht="15" customHeight="1" x14ac:dyDescent="0.2">
      <c r="A24" s="175" t="s">
        <v>187</v>
      </c>
      <c r="B24" s="700">
        <v>89</v>
      </c>
      <c r="C24" s="708">
        <v>83</v>
      </c>
      <c r="D24" s="708">
        <v>83</v>
      </c>
    </row>
    <row r="25" spans="1:4" ht="15" customHeight="1" x14ac:dyDescent="0.2">
      <c r="A25" s="180" t="s">
        <v>188</v>
      </c>
      <c r="B25" s="696">
        <v>5</v>
      </c>
      <c r="C25" s="704">
        <v>5</v>
      </c>
      <c r="D25" s="704">
        <v>5</v>
      </c>
    </row>
    <row r="26" spans="1:4" ht="15" customHeight="1" x14ac:dyDescent="0.2">
      <c r="A26" s="175" t="s">
        <v>189</v>
      </c>
      <c r="B26" s="696">
        <v>3</v>
      </c>
      <c r="C26" s="704">
        <v>3</v>
      </c>
      <c r="D26" s="704">
        <v>3</v>
      </c>
    </row>
    <row r="27" spans="1:4" ht="15" customHeight="1" x14ac:dyDescent="0.2">
      <c r="A27" s="175" t="s">
        <v>190</v>
      </c>
      <c r="B27" s="696">
        <v>6</v>
      </c>
      <c r="C27" s="704">
        <v>6</v>
      </c>
      <c r="D27" s="704">
        <v>6</v>
      </c>
    </row>
    <row r="28" spans="1:4" ht="15" customHeight="1" x14ac:dyDescent="0.2">
      <c r="A28" s="179" t="s">
        <v>191</v>
      </c>
      <c r="B28" s="699">
        <f>SUM(B24:B27)</f>
        <v>103</v>
      </c>
      <c r="C28" s="707">
        <f>SUM(C24:C27)</f>
        <v>97</v>
      </c>
      <c r="D28" s="707">
        <f>SUM(D24:D27)</f>
        <v>97</v>
      </c>
    </row>
    <row r="29" spans="1:4" ht="15" customHeight="1" x14ac:dyDescent="0.2">
      <c r="A29" s="179"/>
      <c r="B29" s="696"/>
      <c r="C29" s="704"/>
      <c r="D29" s="704"/>
    </row>
    <row r="30" spans="1:4" ht="15" customHeight="1" x14ac:dyDescent="0.2">
      <c r="A30" s="179" t="s">
        <v>192</v>
      </c>
      <c r="B30" s="699">
        <v>2</v>
      </c>
      <c r="C30" s="707">
        <v>2</v>
      </c>
      <c r="D30" s="707">
        <v>2</v>
      </c>
    </row>
    <row r="31" spans="1:4" ht="15" customHeight="1" thickBot="1" x14ac:dyDescent="0.25">
      <c r="A31" s="709"/>
      <c r="B31" s="710"/>
      <c r="C31" s="711"/>
      <c r="D31" s="711"/>
    </row>
    <row r="32" spans="1:4" ht="15" customHeight="1" thickBot="1" x14ac:dyDescent="0.25">
      <c r="A32" s="712" t="s">
        <v>61</v>
      </c>
      <c r="B32" s="713">
        <f>SUM(B21+B28+B30)</f>
        <v>326.75</v>
      </c>
      <c r="C32" s="714">
        <f>SUM(C21+C28+C30)</f>
        <v>319.75</v>
      </c>
      <c r="D32" s="714">
        <f>SUM(D21+D28+D30)</f>
        <v>319.75</v>
      </c>
    </row>
    <row r="33" spans="1:4" ht="18.75" x14ac:dyDescent="0.3">
      <c r="A33" s="60"/>
      <c r="B33" s="61"/>
    </row>
    <row r="34" spans="1:4" ht="15.75" x14ac:dyDescent="0.25">
      <c r="A34" s="62"/>
    </row>
    <row r="35" spans="1:4" x14ac:dyDescent="0.2">
      <c r="A35" s="1446" t="s">
        <v>193</v>
      </c>
      <c r="B35" s="1446"/>
    </row>
    <row r="36" spans="1:4" ht="13.5" thickBot="1" x14ac:dyDescent="0.25"/>
    <row r="37" spans="1:4" ht="13.5" thickBot="1" x14ac:dyDescent="0.25">
      <c r="A37" s="1444" t="s">
        <v>2</v>
      </c>
      <c r="B37" s="685" t="s">
        <v>194</v>
      </c>
      <c r="C37" s="689" t="s">
        <v>565</v>
      </c>
      <c r="D37" s="182" t="s">
        <v>565</v>
      </c>
    </row>
    <row r="38" spans="1:4" ht="15.75" customHeight="1" thickBot="1" x14ac:dyDescent="0.25">
      <c r="A38" s="1445"/>
      <c r="B38" s="686" t="s">
        <v>3</v>
      </c>
      <c r="C38" s="690" t="s">
        <v>567</v>
      </c>
      <c r="D38" s="183" t="s">
        <v>619</v>
      </c>
    </row>
    <row r="39" spans="1:4" x14ac:dyDescent="0.2">
      <c r="A39" s="181" t="s">
        <v>195</v>
      </c>
      <c r="B39" s="687">
        <v>135</v>
      </c>
      <c r="C39" s="691">
        <v>135</v>
      </c>
      <c r="D39" s="691">
        <v>135</v>
      </c>
    </row>
    <row r="40" spans="1:4" s="59" customFormat="1" ht="13.5" thickBot="1" x14ac:dyDescent="0.25">
      <c r="A40" s="171" t="s">
        <v>196</v>
      </c>
      <c r="B40" s="688">
        <f>SUM(B39)</f>
        <v>135</v>
      </c>
      <c r="C40" s="692">
        <f>SUM(C39)</f>
        <v>135</v>
      </c>
      <c r="D40" s="184">
        <f>SUM(D39)</f>
        <v>135</v>
      </c>
    </row>
    <row r="43" spans="1:4" ht="25.5" customHeight="1" x14ac:dyDescent="0.2"/>
  </sheetData>
  <sheetProtection selectLockedCells="1" selectUnlockedCells="1"/>
  <mergeCells count="4">
    <mergeCell ref="A3:A4"/>
    <mergeCell ref="A37:A38"/>
    <mergeCell ref="A35:B35"/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4" firstPageNumber="0" orientation="portrait" horizontalDpi="300" verticalDpi="300" r:id="rId1"/>
  <headerFooter alignWithMargins="0">
    <oddHeader xml:space="preserve">&amp;L12. melléklet a 20/2017.(IX.29.) önkormányzati rendelethez
12. melléklet a 24/2016.(XII.16.)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opLeftCell="D4" zoomScaleNormal="100" workbookViewId="0">
      <selection activeCell="L36" sqref="L36"/>
    </sheetView>
  </sheetViews>
  <sheetFormatPr defaultRowHeight="12.75" x14ac:dyDescent="0.2"/>
  <cols>
    <col min="2" max="2" width="18.85546875" customWidth="1"/>
    <col min="3" max="5" width="14.28515625" customWidth="1"/>
    <col min="6" max="6" width="15" customWidth="1"/>
    <col min="7" max="7" width="15.28515625" customWidth="1"/>
    <col min="8" max="11" width="15.42578125" customWidth="1"/>
    <col min="12" max="12" width="14.140625" customWidth="1"/>
    <col min="13" max="13" width="14.85546875" customWidth="1"/>
    <col min="14" max="14" width="14.5703125" customWidth="1"/>
  </cols>
  <sheetData>
    <row r="2" spans="1:14" x14ac:dyDescent="0.2">
      <c r="A2" s="1448" t="s">
        <v>441</v>
      </c>
      <c r="B2" s="1448"/>
      <c r="C2" s="1448"/>
      <c r="D2" s="1448"/>
      <c r="E2" s="1448"/>
      <c r="F2" s="1448"/>
      <c r="G2" s="1448"/>
      <c r="H2" s="1448"/>
      <c r="I2" s="1448"/>
      <c r="J2" s="1448"/>
      <c r="K2" s="1448"/>
      <c r="L2" s="1448"/>
      <c r="M2" s="1448"/>
      <c r="N2" s="1448"/>
    </row>
    <row r="3" spans="1:14" x14ac:dyDescent="0.2">
      <c r="A3" s="1449" t="s">
        <v>442</v>
      </c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</row>
    <row r="4" spans="1:14" ht="13.5" thickBot="1" x14ac:dyDescent="0.25">
      <c r="A4" s="1456"/>
      <c r="B4" s="1457"/>
      <c r="C4" s="1457"/>
      <c r="D4" s="1457"/>
      <c r="E4" s="1457"/>
      <c r="F4" s="1457"/>
      <c r="G4" s="1457"/>
      <c r="H4" s="1457"/>
      <c r="I4" s="1457"/>
      <c r="J4" s="1457"/>
      <c r="K4" s="1457"/>
      <c r="L4" s="1457"/>
      <c r="M4" s="1458"/>
      <c r="N4" s="254"/>
    </row>
    <row r="5" spans="1:14" ht="12.75" customHeight="1" thickBot="1" x14ac:dyDescent="0.25">
      <c r="A5" s="1459" t="s">
        <v>2</v>
      </c>
      <c r="B5" s="1460"/>
      <c r="C5" s="1450" t="s">
        <v>473</v>
      </c>
      <c r="D5" s="1451"/>
      <c r="E5" s="1452"/>
      <c r="F5" s="1450" t="s">
        <v>474</v>
      </c>
      <c r="G5" s="1451"/>
      <c r="H5" s="1452"/>
      <c r="I5" s="1463" t="s">
        <v>852</v>
      </c>
      <c r="J5" s="1464"/>
      <c r="K5" s="1465"/>
      <c r="L5" s="1450" t="s">
        <v>104</v>
      </c>
      <c r="M5" s="1451"/>
      <c r="N5" s="1453"/>
    </row>
    <row r="6" spans="1:14" ht="12.75" customHeight="1" thickBot="1" x14ac:dyDescent="0.25">
      <c r="A6" s="717"/>
      <c r="B6" s="718"/>
      <c r="C6" s="718" t="s">
        <v>3</v>
      </c>
      <c r="D6" s="718" t="s">
        <v>607</v>
      </c>
      <c r="E6" s="718" t="s">
        <v>619</v>
      </c>
      <c r="F6" s="718" t="s">
        <v>3</v>
      </c>
      <c r="G6" s="718" t="s">
        <v>607</v>
      </c>
      <c r="H6" s="718" t="s">
        <v>619</v>
      </c>
      <c r="I6" s="935" t="s">
        <v>3</v>
      </c>
      <c r="J6" s="935" t="s">
        <v>607</v>
      </c>
      <c r="K6" s="935" t="s">
        <v>619</v>
      </c>
      <c r="L6" s="718" t="s">
        <v>3</v>
      </c>
      <c r="M6" s="719" t="s">
        <v>607</v>
      </c>
      <c r="N6" s="1029" t="s">
        <v>619</v>
      </c>
    </row>
    <row r="7" spans="1:14" x14ac:dyDescent="0.2">
      <c r="A7" s="1461" t="s">
        <v>443</v>
      </c>
      <c r="B7" s="1462"/>
      <c r="C7" s="722">
        <v>131363</v>
      </c>
      <c r="D7" s="728">
        <v>140121</v>
      </c>
      <c r="E7" s="725">
        <v>140121</v>
      </c>
      <c r="F7" s="722">
        <v>572150</v>
      </c>
      <c r="G7" s="728">
        <v>572581</v>
      </c>
      <c r="H7" s="725">
        <v>572581</v>
      </c>
      <c r="I7" s="725"/>
      <c r="J7" s="725"/>
      <c r="K7" s="725">
        <v>572581</v>
      </c>
      <c r="L7" s="734">
        <f t="shared" ref="L7:M8" si="0">C7+F7</f>
        <v>703513</v>
      </c>
      <c r="M7" s="731">
        <f t="shared" si="0"/>
        <v>712702</v>
      </c>
      <c r="N7" s="1030">
        <f>SUM(E7+H7+K7)</f>
        <v>1285283</v>
      </c>
    </row>
    <row r="8" spans="1:14" x14ac:dyDescent="0.2">
      <c r="A8" s="715"/>
      <c r="B8" s="720" t="s">
        <v>444</v>
      </c>
      <c r="C8" s="723">
        <v>35030</v>
      </c>
      <c r="D8" s="729">
        <v>43788</v>
      </c>
      <c r="E8" s="726">
        <v>43788</v>
      </c>
      <c r="F8" s="723">
        <v>71519</v>
      </c>
      <c r="G8" s="729">
        <v>71573</v>
      </c>
      <c r="H8" s="726">
        <v>572581</v>
      </c>
      <c r="I8" s="937"/>
      <c r="J8" s="937"/>
      <c r="K8" s="937">
        <v>71573</v>
      </c>
      <c r="L8" s="735">
        <f t="shared" si="0"/>
        <v>106549</v>
      </c>
      <c r="M8" s="732">
        <f t="shared" si="0"/>
        <v>115361</v>
      </c>
      <c r="N8" s="1030">
        <f t="shared" ref="N8:N30" si="1">SUM(E8+H8+K8)</f>
        <v>687942</v>
      </c>
    </row>
    <row r="9" spans="1:14" x14ac:dyDescent="0.2">
      <c r="A9" s="715"/>
      <c r="B9" s="720" t="s">
        <v>445</v>
      </c>
      <c r="C9" s="723">
        <v>2036</v>
      </c>
      <c r="D9" s="729">
        <v>2256</v>
      </c>
      <c r="E9" s="726">
        <v>2256</v>
      </c>
      <c r="F9" s="723">
        <v>12025</v>
      </c>
      <c r="G9" s="729">
        <v>9954</v>
      </c>
      <c r="H9" s="726">
        <v>4376</v>
      </c>
      <c r="I9" s="937"/>
      <c r="J9" s="937"/>
      <c r="K9" s="937">
        <v>5578</v>
      </c>
      <c r="L9" s="735">
        <f t="shared" ref="L9:L30" si="2">C9+F9</f>
        <v>14061</v>
      </c>
      <c r="M9" s="732">
        <f t="shared" ref="M9:M30" si="3">D9+G9</f>
        <v>12210</v>
      </c>
      <c r="N9" s="1030">
        <f t="shared" si="1"/>
        <v>12210</v>
      </c>
    </row>
    <row r="10" spans="1:14" x14ac:dyDescent="0.2">
      <c r="A10" s="1454" t="s">
        <v>446</v>
      </c>
      <c r="B10" s="1455"/>
      <c r="C10" s="723">
        <f>C7-C8</f>
        <v>96333</v>
      </c>
      <c r="D10" s="729">
        <f>D7-D8</f>
        <v>96333</v>
      </c>
      <c r="E10" s="726">
        <v>96333</v>
      </c>
      <c r="F10" s="723">
        <f t="shared" ref="F10:G10" si="4">F7-F8</f>
        <v>500631</v>
      </c>
      <c r="G10" s="729">
        <f t="shared" si="4"/>
        <v>501008</v>
      </c>
      <c r="H10" s="726"/>
      <c r="I10" s="937"/>
      <c r="J10" s="937"/>
      <c r="K10" s="937">
        <v>501008</v>
      </c>
      <c r="L10" s="735">
        <f t="shared" si="2"/>
        <v>596964</v>
      </c>
      <c r="M10" s="732">
        <f t="shared" si="3"/>
        <v>597341</v>
      </c>
      <c r="N10" s="1030">
        <f t="shared" si="1"/>
        <v>597341</v>
      </c>
    </row>
    <row r="11" spans="1:14" x14ac:dyDescent="0.2">
      <c r="A11" s="715"/>
      <c r="B11" s="720" t="s">
        <v>444</v>
      </c>
      <c r="C11" s="723">
        <v>35030</v>
      </c>
      <c r="D11" s="729">
        <v>35030</v>
      </c>
      <c r="E11" s="726">
        <v>35030</v>
      </c>
      <c r="F11" s="723">
        <v>71519</v>
      </c>
      <c r="G11" s="729">
        <v>71573</v>
      </c>
      <c r="H11" s="726"/>
      <c r="I11" s="937"/>
      <c r="J11" s="937"/>
      <c r="K11" s="937">
        <v>71573</v>
      </c>
      <c r="L11" s="735">
        <f t="shared" si="2"/>
        <v>106549</v>
      </c>
      <c r="M11" s="732">
        <f t="shared" si="3"/>
        <v>106603</v>
      </c>
      <c r="N11" s="1030">
        <f t="shared" si="1"/>
        <v>106603</v>
      </c>
    </row>
    <row r="12" spans="1:14" x14ac:dyDescent="0.2">
      <c r="A12" s="715"/>
      <c r="B12" s="720" t="s">
        <v>445</v>
      </c>
      <c r="C12" s="723">
        <v>1433</v>
      </c>
      <c r="D12" s="729">
        <v>1121</v>
      </c>
      <c r="E12" s="726">
        <v>1121</v>
      </c>
      <c r="F12" s="723">
        <v>10473</v>
      </c>
      <c r="G12" s="729">
        <v>8670</v>
      </c>
      <c r="H12" s="726"/>
      <c r="I12" s="937"/>
      <c r="J12" s="937"/>
      <c r="K12" s="937">
        <v>8670</v>
      </c>
      <c r="L12" s="735">
        <f t="shared" si="2"/>
        <v>11906</v>
      </c>
      <c r="M12" s="732">
        <f t="shared" si="3"/>
        <v>9791</v>
      </c>
      <c r="N12" s="1030">
        <f t="shared" si="1"/>
        <v>9791</v>
      </c>
    </row>
    <row r="13" spans="1:14" x14ac:dyDescent="0.2">
      <c r="A13" s="1454" t="s">
        <v>447</v>
      </c>
      <c r="B13" s="1455"/>
      <c r="C13" s="723">
        <f>C10-C11</f>
        <v>61303</v>
      </c>
      <c r="D13" s="729">
        <f>D10-D11</f>
        <v>61303</v>
      </c>
      <c r="E13" s="726">
        <v>61303</v>
      </c>
      <c r="F13" s="723">
        <f t="shared" ref="F13:G13" si="5">F10-F11</f>
        <v>429112</v>
      </c>
      <c r="G13" s="729">
        <f t="shared" si="5"/>
        <v>429435</v>
      </c>
      <c r="H13" s="726"/>
      <c r="I13" s="937"/>
      <c r="J13" s="937"/>
      <c r="K13" s="937">
        <v>429435</v>
      </c>
      <c r="L13" s="735">
        <f t="shared" si="2"/>
        <v>490415</v>
      </c>
      <c r="M13" s="732">
        <f t="shared" si="3"/>
        <v>490738</v>
      </c>
      <c r="N13" s="1030">
        <f t="shared" si="1"/>
        <v>490738</v>
      </c>
    </row>
    <row r="14" spans="1:14" x14ac:dyDescent="0.2">
      <c r="A14" s="715"/>
      <c r="B14" s="720" t="s">
        <v>444</v>
      </c>
      <c r="C14" s="723">
        <v>35030</v>
      </c>
      <c r="D14" s="729">
        <v>35030</v>
      </c>
      <c r="E14" s="726">
        <v>35030</v>
      </c>
      <c r="F14" s="723">
        <v>71519</v>
      </c>
      <c r="G14" s="729">
        <v>71573</v>
      </c>
      <c r="H14" s="726"/>
      <c r="I14" s="937"/>
      <c r="J14" s="937"/>
      <c r="K14" s="937">
        <v>71573</v>
      </c>
      <c r="L14" s="735">
        <f t="shared" si="2"/>
        <v>106549</v>
      </c>
      <c r="M14" s="732">
        <f t="shared" si="3"/>
        <v>106603</v>
      </c>
      <c r="N14" s="1030">
        <f t="shared" si="1"/>
        <v>106603</v>
      </c>
    </row>
    <row r="15" spans="1:14" x14ac:dyDescent="0.2">
      <c r="A15" s="715"/>
      <c r="B15" s="720" t="s">
        <v>445</v>
      </c>
      <c r="C15" s="723">
        <v>829</v>
      </c>
      <c r="D15" s="729">
        <v>648</v>
      </c>
      <c r="E15" s="726">
        <v>648</v>
      </c>
      <c r="F15" s="723">
        <v>8922</v>
      </c>
      <c r="G15" s="729">
        <v>7387</v>
      </c>
      <c r="H15" s="726"/>
      <c r="I15" s="937"/>
      <c r="J15" s="937"/>
      <c r="K15" s="937">
        <v>7387</v>
      </c>
      <c r="L15" s="735">
        <f t="shared" si="2"/>
        <v>9751</v>
      </c>
      <c r="M15" s="732">
        <f t="shared" si="3"/>
        <v>8035</v>
      </c>
      <c r="N15" s="1030">
        <f t="shared" si="1"/>
        <v>8035</v>
      </c>
    </row>
    <row r="16" spans="1:14" x14ac:dyDescent="0.2">
      <c r="A16" s="1454" t="s">
        <v>448</v>
      </c>
      <c r="B16" s="1455"/>
      <c r="C16" s="723">
        <f>C13-C14</f>
        <v>26273</v>
      </c>
      <c r="D16" s="729">
        <f>D13-D14</f>
        <v>26273</v>
      </c>
      <c r="E16" s="726">
        <v>26273</v>
      </c>
      <c r="F16" s="723">
        <f t="shared" ref="F16:G16" si="6">F13-F14</f>
        <v>357593</v>
      </c>
      <c r="G16" s="729">
        <f t="shared" si="6"/>
        <v>357862</v>
      </c>
      <c r="H16" s="726"/>
      <c r="I16" s="937"/>
      <c r="J16" s="937"/>
      <c r="K16" s="937">
        <v>357862</v>
      </c>
      <c r="L16" s="735">
        <f t="shared" si="2"/>
        <v>383866</v>
      </c>
      <c r="M16" s="732">
        <f t="shared" si="3"/>
        <v>384135</v>
      </c>
      <c r="N16" s="1030">
        <f t="shared" si="1"/>
        <v>384135</v>
      </c>
    </row>
    <row r="17" spans="1:14" x14ac:dyDescent="0.2">
      <c r="A17" s="715"/>
      <c r="B17" s="720" t="s">
        <v>444</v>
      </c>
      <c r="C17" s="723">
        <v>26273</v>
      </c>
      <c r="D17" s="729">
        <v>26273</v>
      </c>
      <c r="E17" s="726">
        <v>26273</v>
      </c>
      <c r="F17" s="723">
        <v>71519</v>
      </c>
      <c r="G17" s="729">
        <v>71573</v>
      </c>
      <c r="H17" s="726"/>
      <c r="I17" s="937"/>
      <c r="J17" s="937"/>
      <c r="K17" s="937">
        <v>71573</v>
      </c>
      <c r="L17" s="735">
        <f t="shared" si="2"/>
        <v>97792</v>
      </c>
      <c r="M17" s="732">
        <f t="shared" si="3"/>
        <v>97846</v>
      </c>
      <c r="N17" s="1030">
        <f t="shared" si="1"/>
        <v>97846</v>
      </c>
    </row>
    <row r="18" spans="1:14" x14ac:dyDescent="0.2">
      <c r="A18" s="715"/>
      <c r="B18" s="720" t="s">
        <v>445</v>
      </c>
      <c r="C18" s="723">
        <v>220</v>
      </c>
      <c r="D18" s="729">
        <v>172</v>
      </c>
      <c r="E18" s="726">
        <v>172</v>
      </c>
      <c r="F18" s="723">
        <v>7370</v>
      </c>
      <c r="G18" s="729">
        <v>6103</v>
      </c>
      <c r="H18" s="726"/>
      <c r="I18" s="937"/>
      <c r="J18" s="937"/>
      <c r="K18" s="937">
        <v>6103</v>
      </c>
      <c r="L18" s="735">
        <f t="shared" si="2"/>
        <v>7590</v>
      </c>
      <c r="M18" s="732">
        <f t="shared" si="3"/>
        <v>6275</v>
      </c>
      <c r="N18" s="1030">
        <f t="shared" si="1"/>
        <v>6275</v>
      </c>
    </row>
    <row r="19" spans="1:14" x14ac:dyDescent="0.2">
      <c r="A19" s="1454" t="s">
        <v>449</v>
      </c>
      <c r="B19" s="1455"/>
      <c r="C19" s="723"/>
      <c r="D19" s="729"/>
      <c r="E19" s="726"/>
      <c r="F19" s="723">
        <f>F16-F17</f>
        <v>286074</v>
      </c>
      <c r="G19" s="729">
        <f>G16-G17</f>
        <v>286289</v>
      </c>
      <c r="H19" s="726"/>
      <c r="I19" s="937"/>
      <c r="J19" s="937"/>
      <c r="K19" s="937">
        <v>286289</v>
      </c>
      <c r="L19" s="735">
        <f t="shared" si="2"/>
        <v>286074</v>
      </c>
      <c r="M19" s="732">
        <f t="shared" si="3"/>
        <v>286289</v>
      </c>
      <c r="N19" s="1030">
        <f t="shared" si="1"/>
        <v>286289</v>
      </c>
    </row>
    <row r="20" spans="1:14" x14ac:dyDescent="0.2">
      <c r="A20" s="715"/>
      <c r="B20" s="720" t="s">
        <v>444</v>
      </c>
      <c r="C20" s="723"/>
      <c r="D20" s="729"/>
      <c r="E20" s="726"/>
      <c r="F20" s="723">
        <v>71519</v>
      </c>
      <c r="G20" s="729">
        <v>71573</v>
      </c>
      <c r="H20" s="726"/>
      <c r="I20" s="937"/>
      <c r="J20" s="937"/>
      <c r="K20" s="937">
        <v>71573</v>
      </c>
      <c r="L20" s="735">
        <f t="shared" si="2"/>
        <v>71519</v>
      </c>
      <c r="M20" s="732">
        <f t="shared" si="3"/>
        <v>71573</v>
      </c>
      <c r="N20" s="1030">
        <f t="shared" si="1"/>
        <v>71573</v>
      </c>
    </row>
    <row r="21" spans="1:14" x14ac:dyDescent="0.2">
      <c r="A21" s="715"/>
      <c r="B21" s="720" t="s">
        <v>445</v>
      </c>
      <c r="C21" s="723"/>
      <c r="D21" s="729"/>
      <c r="E21" s="726"/>
      <c r="F21" s="723">
        <v>5818</v>
      </c>
      <c r="G21" s="729">
        <v>4820</v>
      </c>
      <c r="H21" s="726"/>
      <c r="I21" s="937"/>
      <c r="J21" s="937"/>
      <c r="K21" s="937">
        <v>4820</v>
      </c>
      <c r="L21" s="735">
        <f t="shared" si="2"/>
        <v>5818</v>
      </c>
      <c r="M21" s="732">
        <f t="shared" si="3"/>
        <v>4820</v>
      </c>
      <c r="N21" s="1030">
        <f t="shared" si="1"/>
        <v>4820</v>
      </c>
    </row>
    <row r="22" spans="1:14" x14ac:dyDescent="0.2">
      <c r="A22" s="1454" t="s">
        <v>450</v>
      </c>
      <c r="B22" s="1455"/>
      <c r="C22" s="723"/>
      <c r="D22" s="729"/>
      <c r="E22" s="726"/>
      <c r="F22" s="723">
        <f>F19-F20</f>
        <v>214555</v>
      </c>
      <c r="G22" s="729">
        <f>G19-G20</f>
        <v>214716</v>
      </c>
      <c r="H22" s="726"/>
      <c r="I22" s="937"/>
      <c r="J22" s="937"/>
      <c r="K22" s="937">
        <v>214716</v>
      </c>
      <c r="L22" s="735">
        <f t="shared" si="2"/>
        <v>214555</v>
      </c>
      <c r="M22" s="732">
        <f t="shared" si="3"/>
        <v>214716</v>
      </c>
      <c r="N22" s="1030">
        <f t="shared" si="1"/>
        <v>214716</v>
      </c>
    </row>
    <row r="23" spans="1:14" x14ac:dyDescent="0.2">
      <c r="A23" s="715"/>
      <c r="B23" s="720" t="s">
        <v>444</v>
      </c>
      <c r="C23" s="723"/>
      <c r="D23" s="729"/>
      <c r="E23" s="726"/>
      <c r="F23" s="723">
        <v>71519</v>
      </c>
      <c r="G23" s="729">
        <v>71573</v>
      </c>
      <c r="H23" s="726"/>
      <c r="I23" s="937"/>
      <c r="J23" s="937"/>
      <c r="K23" s="937">
        <v>71573</v>
      </c>
      <c r="L23" s="735">
        <f t="shared" si="2"/>
        <v>71519</v>
      </c>
      <c r="M23" s="732">
        <f t="shared" si="3"/>
        <v>71573</v>
      </c>
      <c r="N23" s="1030">
        <f t="shared" si="1"/>
        <v>71573</v>
      </c>
    </row>
    <row r="24" spans="1:14" x14ac:dyDescent="0.2">
      <c r="A24" s="715"/>
      <c r="B24" s="720" t="s">
        <v>445</v>
      </c>
      <c r="C24" s="723"/>
      <c r="D24" s="729"/>
      <c r="E24" s="726"/>
      <c r="F24" s="723">
        <v>4266</v>
      </c>
      <c r="G24" s="729">
        <v>3536</v>
      </c>
      <c r="H24" s="726"/>
      <c r="I24" s="937"/>
      <c r="J24" s="937"/>
      <c r="K24" s="937">
        <v>3536</v>
      </c>
      <c r="L24" s="735">
        <f t="shared" si="2"/>
        <v>4266</v>
      </c>
      <c r="M24" s="732">
        <f t="shared" si="3"/>
        <v>3536</v>
      </c>
      <c r="N24" s="1030">
        <f t="shared" si="1"/>
        <v>3536</v>
      </c>
    </row>
    <row r="25" spans="1:14" x14ac:dyDescent="0.2">
      <c r="A25" s="1454" t="s">
        <v>451</v>
      </c>
      <c r="B25" s="1455"/>
      <c r="C25" s="723"/>
      <c r="D25" s="729"/>
      <c r="E25" s="726"/>
      <c r="F25" s="723">
        <f>F22-F23</f>
        <v>143036</v>
      </c>
      <c r="G25" s="729">
        <f>G22-G23</f>
        <v>143143</v>
      </c>
      <c r="H25" s="726"/>
      <c r="I25" s="937"/>
      <c r="J25" s="937"/>
      <c r="K25" s="937">
        <v>143143</v>
      </c>
      <c r="L25" s="735">
        <f t="shared" si="2"/>
        <v>143036</v>
      </c>
      <c r="M25" s="732">
        <f t="shared" si="3"/>
        <v>143143</v>
      </c>
      <c r="N25" s="1030">
        <f t="shared" si="1"/>
        <v>143143</v>
      </c>
    </row>
    <row r="26" spans="1:14" x14ac:dyDescent="0.2">
      <c r="A26" s="715"/>
      <c r="B26" s="720" t="s">
        <v>444</v>
      </c>
      <c r="C26" s="723"/>
      <c r="D26" s="729"/>
      <c r="E26" s="726"/>
      <c r="F26" s="723">
        <v>71519</v>
      </c>
      <c r="G26" s="729">
        <v>71573</v>
      </c>
      <c r="H26" s="726"/>
      <c r="I26" s="937"/>
      <c r="J26" s="937"/>
      <c r="K26" s="937">
        <v>71573</v>
      </c>
      <c r="L26" s="735">
        <f t="shared" si="2"/>
        <v>71519</v>
      </c>
      <c r="M26" s="732">
        <f t="shared" si="3"/>
        <v>71573</v>
      </c>
      <c r="N26" s="1030">
        <f t="shared" si="1"/>
        <v>71573</v>
      </c>
    </row>
    <row r="27" spans="1:14" x14ac:dyDescent="0.2">
      <c r="A27" s="715"/>
      <c r="B27" s="720" t="s">
        <v>445</v>
      </c>
      <c r="C27" s="723"/>
      <c r="D27" s="729"/>
      <c r="E27" s="726"/>
      <c r="F27" s="723">
        <v>2714</v>
      </c>
      <c r="G27" s="729">
        <v>2253</v>
      </c>
      <c r="H27" s="726"/>
      <c r="I27" s="937"/>
      <c r="J27" s="937"/>
      <c r="K27" s="937">
        <v>2253</v>
      </c>
      <c r="L27" s="735">
        <f t="shared" si="2"/>
        <v>2714</v>
      </c>
      <c r="M27" s="732">
        <f t="shared" si="3"/>
        <v>2253</v>
      </c>
      <c r="N27" s="1030">
        <f t="shared" si="1"/>
        <v>2253</v>
      </c>
    </row>
    <row r="28" spans="1:14" x14ac:dyDescent="0.2">
      <c r="A28" s="1454" t="s">
        <v>452</v>
      </c>
      <c r="B28" s="1455"/>
      <c r="C28" s="723"/>
      <c r="D28" s="729"/>
      <c r="E28" s="726"/>
      <c r="F28" s="723">
        <f>F25-F26</f>
        <v>71517</v>
      </c>
      <c r="G28" s="729">
        <f>G25-G26</f>
        <v>71570</v>
      </c>
      <c r="H28" s="726"/>
      <c r="I28" s="937"/>
      <c r="J28" s="937"/>
      <c r="K28" s="937">
        <v>71570</v>
      </c>
      <c r="L28" s="735">
        <f t="shared" si="2"/>
        <v>71517</v>
      </c>
      <c r="M28" s="732">
        <f t="shared" si="3"/>
        <v>71570</v>
      </c>
      <c r="N28" s="1030">
        <f t="shared" si="1"/>
        <v>71570</v>
      </c>
    </row>
    <row r="29" spans="1:14" x14ac:dyDescent="0.2">
      <c r="A29" s="715"/>
      <c r="B29" s="720" t="s">
        <v>444</v>
      </c>
      <c r="C29" s="723"/>
      <c r="D29" s="729"/>
      <c r="E29" s="726"/>
      <c r="F29" s="723">
        <v>71517</v>
      </c>
      <c r="G29" s="729">
        <v>71570</v>
      </c>
      <c r="H29" s="726"/>
      <c r="I29" s="937"/>
      <c r="J29" s="937"/>
      <c r="K29" s="937">
        <v>71570</v>
      </c>
      <c r="L29" s="735">
        <f t="shared" si="2"/>
        <v>71517</v>
      </c>
      <c r="M29" s="732">
        <f t="shared" si="3"/>
        <v>71570</v>
      </c>
      <c r="N29" s="1030">
        <f t="shared" si="1"/>
        <v>71570</v>
      </c>
    </row>
    <row r="30" spans="1:14" ht="13.5" thickBot="1" x14ac:dyDescent="0.25">
      <c r="A30" s="716"/>
      <c r="B30" s="721" t="s">
        <v>445</v>
      </c>
      <c r="C30" s="724"/>
      <c r="D30" s="730"/>
      <c r="E30" s="727"/>
      <c r="F30" s="724">
        <v>1163</v>
      </c>
      <c r="G30" s="730">
        <v>970</v>
      </c>
      <c r="H30" s="727"/>
      <c r="I30" s="938"/>
      <c r="J30" s="938"/>
      <c r="K30" s="938">
        <v>970</v>
      </c>
      <c r="L30" s="736">
        <f t="shared" si="2"/>
        <v>1163</v>
      </c>
      <c r="M30" s="733">
        <f t="shared" si="3"/>
        <v>970</v>
      </c>
      <c r="N30" s="1152">
        <f t="shared" si="1"/>
        <v>970</v>
      </c>
    </row>
  </sheetData>
  <mergeCells count="16">
    <mergeCell ref="A2:N2"/>
    <mergeCell ref="A3:N3"/>
    <mergeCell ref="F5:H5"/>
    <mergeCell ref="L5:N5"/>
    <mergeCell ref="A28:B28"/>
    <mergeCell ref="A4:M4"/>
    <mergeCell ref="A5:B5"/>
    <mergeCell ref="A7:B7"/>
    <mergeCell ref="A10:B10"/>
    <mergeCell ref="A13:B13"/>
    <mergeCell ref="A16:B16"/>
    <mergeCell ref="A19:B19"/>
    <mergeCell ref="A22:B22"/>
    <mergeCell ref="A25:B25"/>
    <mergeCell ref="C5:E5"/>
    <mergeCell ref="I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 xml:space="preserve">&amp;L13. melléklet a 20/2017.(IX.29.)  önkormányzati rendelethez
13. melléklet a 24/2016.(XII.16.)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0" zoomScaleNormal="79" zoomScaleSheetLayoutView="90" workbookViewId="0">
      <selection activeCell="D18" sqref="D18"/>
    </sheetView>
  </sheetViews>
  <sheetFormatPr defaultRowHeight="15" x14ac:dyDescent="0.25"/>
  <cols>
    <col min="1" max="1" width="41.140625" style="129" customWidth="1"/>
    <col min="2" max="2" width="11.140625" style="129" customWidth="1"/>
    <col min="3" max="4" width="14" style="129" customWidth="1"/>
    <col min="5" max="5" width="10.5703125" style="129" customWidth="1"/>
    <col min="6" max="6" width="10.85546875" style="129" customWidth="1"/>
    <col min="7" max="7" width="11.28515625" style="129" customWidth="1"/>
    <col min="8" max="8" width="10.42578125" style="129" customWidth="1"/>
    <col min="9" max="9" width="10.85546875" style="129" customWidth="1"/>
    <col min="10" max="10" width="10.42578125" style="129" customWidth="1"/>
    <col min="11" max="11" width="11.140625" style="129" customWidth="1"/>
    <col min="12" max="12" width="13.42578125" style="129" customWidth="1"/>
    <col min="13" max="257" width="9.140625" style="129"/>
    <col min="258" max="258" width="41.140625" style="129" customWidth="1"/>
    <col min="259" max="259" width="10.7109375" style="129" customWidth="1"/>
    <col min="260" max="260" width="11.140625" style="129" customWidth="1"/>
    <col min="261" max="261" width="10.5703125" style="129" customWidth="1"/>
    <col min="262" max="262" width="10.85546875" style="129" customWidth="1"/>
    <col min="263" max="263" width="11.28515625" style="129" customWidth="1"/>
    <col min="264" max="264" width="10.42578125" style="129" customWidth="1"/>
    <col min="265" max="265" width="10.85546875" style="129" customWidth="1"/>
    <col min="266" max="266" width="10.42578125" style="129" customWidth="1"/>
    <col min="267" max="267" width="11.140625" style="129" customWidth="1"/>
    <col min="268" max="268" width="12.140625" style="129" customWidth="1"/>
    <col min="269" max="513" width="9.140625" style="129"/>
    <col min="514" max="514" width="41.140625" style="129" customWidth="1"/>
    <col min="515" max="515" width="10.7109375" style="129" customWidth="1"/>
    <col min="516" max="516" width="11.140625" style="129" customWidth="1"/>
    <col min="517" max="517" width="10.5703125" style="129" customWidth="1"/>
    <col min="518" max="518" width="10.85546875" style="129" customWidth="1"/>
    <col min="519" max="519" width="11.28515625" style="129" customWidth="1"/>
    <col min="520" max="520" width="10.42578125" style="129" customWidth="1"/>
    <col min="521" max="521" width="10.85546875" style="129" customWidth="1"/>
    <col min="522" max="522" width="10.42578125" style="129" customWidth="1"/>
    <col min="523" max="523" width="11.140625" style="129" customWidth="1"/>
    <col min="524" max="524" width="12.140625" style="129" customWidth="1"/>
    <col min="525" max="769" width="9.140625" style="129"/>
    <col min="770" max="770" width="41.140625" style="129" customWidth="1"/>
    <col min="771" max="771" width="10.7109375" style="129" customWidth="1"/>
    <col min="772" max="772" width="11.140625" style="129" customWidth="1"/>
    <col min="773" max="773" width="10.5703125" style="129" customWidth="1"/>
    <col min="774" max="774" width="10.85546875" style="129" customWidth="1"/>
    <col min="775" max="775" width="11.28515625" style="129" customWidth="1"/>
    <col min="776" max="776" width="10.42578125" style="129" customWidth="1"/>
    <col min="777" max="777" width="10.85546875" style="129" customWidth="1"/>
    <col min="778" max="778" width="10.42578125" style="129" customWidth="1"/>
    <col min="779" max="779" width="11.140625" style="129" customWidth="1"/>
    <col min="780" max="780" width="12.140625" style="129" customWidth="1"/>
    <col min="781" max="1025" width="9.140625" style="129"/>
    <col min="1026" max="1026" width="41.140625" style="129" customWidth="1"/>
    <col min="1027" max="1027" width="10.7109375" style="129" customWidth="1"/>
    <col min="1028" max="1028" width="11.140625" style="129" customWidth="1"/>
    <col min="1029" max="1029" width="10.5703125" style="129" customWidth="1"/>
    <col min="1030" max="1030" width="10.85546875" style="129" customWidth="1"/>
    <col min="1031" max="1031" width="11.28515625" style="129" customWidth="1"/>
    <col min="1032" max="1032" width="10.42578125" style="129" customWidth="1"/>
    <col min="1033" max="1033" width="10.85546875" style="129" customWidth="1"/>
    <col min="1034" max="1034" width="10.42578125" style="129" customWidth="1"/>
    <col min="1035" max="1035" width="11.140625" style="129" customWidth="1"/>
    <col min="1036" max="1036" width="12.140625" style="129" customWidth="1"/>
    <col min="1037" max="1281" width="9.140625" style="129"/>
    <col min="1282" max="1282" width="41.140625" style="129" customWidth="1"/>
    <col min="1283" max="1283" width="10.7109375" style="129" customWidth="1"/>
    <col min="1284" max="1284" width="11.140625" style="129" customWidth="1"/>
    <col min="1285" max="1285" width="10.5703125" style="129" customWidth="1"/>
    <col min="1286" max="1286" width="10.85546875" style="129" customWidth="1"/>
    <col min="1287" max="1287" width="11.28515625" style="129" customWidth="1"/>
    <col min="1288" max="1288" width="10.42578125" style="129" customWidth="1"/>
    <col min="1289" max="1289" width="10.85546875" style="129" customWidth="1"/>
    <col min="1290" max="1290" width="10.42578125" style="129" customWidth="1"/>
    <col min="1291" max="1291" width="11.140625" style="129" customWidth="1"/>
    <col min="1292" max="1292" width="12.140625" style="129" customWidth="1"/>
    <col min="1293" max="1537" width="9.140625" style="129"/>
    <col min="1538" max="1538" width="41.140625" style="129" customWidth="1"/>
    <col min="1539" max="1539" width="10.7109375" style="129" customWidth="1"/>
    <col min="1540" max="1540" width="11.140625" style="129" customWidth="1"/>
    <col min="1541" max="1541" width="10.5703125" style="129" customWidth="1"/>
    <col min="1542" max="1542" width="10.85546875" style="129" customWidth="1"/>
    <col min="1543" max="1543" width="11.28515625" style="129" customWidth="1"/>
    <col min="1544" max="1544" width="10.42578125" style="129" customWidth="1"/>
    <col min="1545" max="1545" width="10.85546875" style="129" customWidth="1"/>
    <col min="1546" max="1546" width="10.42578125" style="129" customWidth="1"/>
    <col min="1547" max="1547" width="11.140625" style="129" customWidth="1"/>
    <col min="1548" max="1548" width="12.140625" style="129" customWidth="1"/>
    <col min="1549" max="1793" width="9.140625" style="129"/>
    <col min="1794" max="1794" width="41.140625" style="129" customWidth="1"/>
    <col min="1795" max="1795" width="10.7109375" style="129" customWidth="1"/>
    <col min="1796" max="1796" width="11.140625" style="129" customWidth="1"/>
    <col min="1797" max="1797" width="10.5703125" style="129" customWidth="1"/>
    <col min="1798" max="1798" width="10.85546875" style="129" customWidth="1"/>
    <col min="1799" max="1799" width="11.28515625" style="129" customWidth="1"/>
    <col min="1800" max="1800" width="10.42578125" style="129" customWidth="1"/>
    <col min="1801" max="1801" width="10.85546875" style="129" customWidth="1"/>
    <col min="1802" max="1802" width="10.42578125" style="129" customWidth="1"/>
    <col min="1803" max="1803" width="11.140625" style="129" customWidth="1"/>
    <col min="1804" max="1804" width="12.140625" style="129" customWidth="1"/>
    <col min="1805" max="2049" width="9.140625" style="129"/>
    <col min="2050" max="2050" width="41.140625" style="129" customWidth="1"/>
    <col min="2051" max="2051" width="10.7109375" style="129" customWidth="1"/>
    <col min="2052" max="2052" width="11.140625" style="129" customWidth="1"/>
    <col min="2053" max="2053" width="10.5703125" style="129" customWidth="1"/>
    <col min="2054" max="2054" width="10.85546875" style="129" customWidth="1"/>
    <col min="2055" max="2055" width="11.28515625" style="129" customWidth="1"/>
    <col min="2056" max="2056" width="10.42578125" style="129" customWidth="1"/>
    <col min="2057" max="2057" width="10.85546875" style="129" customWidth="1"/>
    <col min="2058" max="2058" width="10.42578125" style="129" customWidth="1"/>
    <col min="2059" max="2059" width="11.140625" style="129" customWidth="1"/>
    <col min="2060" max="2060" width="12.140625" style="129" customWidth="1"/>
    <col min="2061" max="2305" width="9.140625" style="129"/>
    <col min="2306" max="2306" width="41.140625" style="129" customWidth="1"/>
    <col min="2307" max="2307" width="10.7109375" style="129" customWidth="1"/>
    <col min="2308" max="2308" width="11.140625" style="129" customWidth="1"/>
    <col min="2309" max="2309" width="10.5703125" style="129" customWidth="1"/>
    <col min="2310" max="2310" width="10.85546875" style="129" customWidth="1"/>
    <col min="2311" max="2311" width="11.28515625" style="129" customWidth="1"/>
    <col min="2312" max="2312" width="10.42578125" style="129" customWidth="1"/>
    <col min="2313" max="2313" width="10.85546875" style="129" customWidth="1"/>
    <col min="2314" max="2314" width="10.42578125" style="129" customWidth="1"/>
    <col min="2315" max="2315" width="11.140625" style="129" customWidth="1"/>
    <col min="2316" max="2316" width="12.140625" style="129" customWidth="1"/>
    <col min="2317" max="2561" width="9.140625" style="129"/>
    <col min="2562" max="2562" width="41.140625" style="129" customWidth="1"/>
    <col min="2563" max="2563" width="10.7109375" style="129" customWidth="1"/>
    <col min="2564" max="2564" width="11.140625" style="129" customWidth="1"/>
    <col min="2565" max="2565" width="10.5703125" style="129" customWidth="1"/>
    <col min="2566" max="2566" width="10.85546875" style="129" customWidth="1"/>
    <col min="2567" max="2567" width="11.28515625" style="129" customWidth="1"/>
    <col min="2568" max="2568" width="10.42578125" style="129" customWidth="1"/>
    <col min="2569" max="2569" width="10.85546875" style="129" customWidth="1"/>
    <col min="2570" max="2570" width="10.42578125" style="129" customWidth="1"/>
    <col min="2571" max="2571" width="11.140625" style="129" customWidth="1"/>
    <col min="2572" max="2572" width="12.140625" style="129" customWidth="1"/>
    <col min="2573" max="2817" width="9.140625" style="129"/>
    <col min="2818" max="2818" width="41.140625" style="129" customWidth="1"/>
    <col min="2819" max="2819" width="10.7109375" style="129" customWidth="1"/>
    <col min="2820" max="2820" width="11.140625" style="129" customWidth="1"/>
    <col min="2821" max="2821" width="10.5703125" style="129" customWidth="1"/>
    <col min="2822" max="2822" width="10.85546875" style="129" customWidth="1"/>
    <col min="2823" max="2823" width="11.28515625" style="129" customWidth="1"/>
    <col min="2824" max="2824" width="10.42578125" style="129" customWidth="1"/>
    <col min="2825" max="2825" width="10.85546875" style="129" customWidth="1"/>
    <col min="2826" max="2826" width="10.42578125" style="129" customWidth="1"/>
    <col min="2827" max="2827" width="11.140625" style="129" customWidth="1"/>
    <col min="2828" max="2828" width="12.140625" style="129" customWidth="1"/>
    <col min="2829" max="3073" width="9.140625" style="129"/>
    <col min="3074" max="3074" width="41.140625" style="129" customWidth="1"/>
    <col min="3075" max="3075" width="10.7109375" style="129" customWidth="1"/>
    <col min="3076" max="3076" width="11.140625" style="129" customWidth="1"/>
    <col min="3077" max="3077" width="10.5703125" style="129" customWidth="1"/>
    <col min="3078" max="3078" width="10.85546875" style="129" customWidth="1"/>
    <col min="3079" max="3079" width="11.28515625" style="129" customWidth="1"/>
    <col min="3080" max="3080" width="10.42578125" style="129" customWidth="1"/>
    <col min="3081" max="3081" width="10.85546875" style="129" customWidth="1"/>
    <col min="3082" max="3082" width="10.42578125" style="129" customWidth="1"/>
    <col min="3083" max="3083" width="11.140625" style="129" customWidth="1"/>
    <col min="3084" max="3084" width="12.140625" style="129" customWidth="1"/>
    <col min="3085" max="3329" width="9.140625" style="129"/>
    <col min="3330" max="3330" width="41.140625" style="129" customWidth="1"/>
    <col min="3331" max="3331" width="10.7109375" style="129" customWidth="1"/>
    <col min="3332" max="3332" width="11.140625" style="129" customWidth="1"/>
    <col min="3333" max="3333" width="10.5703125" style="129" customWidth="1"/>
    <col min="3334" max="3334" width="10.85546875" style="129" customWidth="1"/>
    <col min="3335" max="3335" width="11.28515625" style="129" customWidth="1"/>
    <col min="3336" max="3336" width="10.42578125" style="129" customWidth="1"/>
    <col min="3337" max="3337" width="10.85546875" style="129" customWidth="1"/>
    <col min="3338" max="3338" width="10.42578125" style="129" customWidth="1"/>
    <col min="3339" max="3339" width="11.140625" style="129" customWidth="1"/>
    <col min="3340" max="3340" width="12.140625" style="129" customWidth="1"/>
    <col min="3341" max="3585" width="9.140625" style="129"/>
    <col min="3586" max="3586" width="41.140625" style="129" customWidth="1"/>
    <col min="3587" max="3587" width="10.7109375" style="129" customWidth="1"/>
    <col min="3588" max="3588" width="11.140625" style="129" customWidth="1"/>
    <col min="3589" max="3589" width="10.5703125" style="129" customWidth="1"/>
    <col min="3590" max="3590" width="10.85546875" style="129" customWidth="1"/>
    <col min="3591" max="3591" width="11.28515625" style="129" customWidth="1"/>
    <col min="3592" max="3592" width="10.42578125" style="129" customWidth="1"/>
    <col min="3593" max="3593" width="10.85546875" style="129" customWidth="1"/>
    <col min="3594" max="3594" width="10.42578125" style="129" customWidth="1"/>
    <col min="3595" max="3595" width="11.140625" style="129" customWidth="1"/>
    <col min="3596" max="3596" width="12.140625" style="129" customWidth="1"/>
    <col min="3597" max="3841" width="9.140625" style="129"/>
    <col min="3842" max="3842" width="41.140625" style="129" customWidth="1"/>
    <col min="3843" max="3843" width="10.7109375" style="129" customWidth="1"/>
    <col min="3844" max="3844" width="11.140625" style="129" customWidth="1"/>
    <col min="3845" max="3845" width="10.5703125" style="129" customWidth="1"/>
    <col min="3846" max="3846" width="10.85546875" style="129" customWidth="1"/>
    <col min="3847" max="3847" width="11.28515625" style="129" customWidth="1"/>
    <col min="3848" max="3848" width="10.42578125" style="129" customWidth="1"/>
    <col min="3849" max="3849" width="10.85546875" style="129" customWidth="1"/>
    <col min="3850" max="3850" width="10.42578125" style="129" customWidth="1"/>
    <col min="3851" max="3851" width="11.140625" style="129" customWidth="1"/>
    <col min="3852" max="3852" width="12.140625" style="129" customWidth="1"/>
    <col min="3853" max="4097" width="9.140625" style="129"/>
    <col min="4098" max="4098" width="41.140625" style="129" customWidth="1"/>
    <col min="4099" max="4099" width="10.7109375" style="129" customWidth="1"/>
    <col min="4100" max="4100" width="11.140625" style="129" customWidth="1"/>
    <col min="4101" max="4101" width="10.5703125" style="129" customWidth="1"/>
    <col min="4102" max="4102" width="10.85546875" style="129" customWidth="1"/>
    <col min="4103" max="4103" width="11.28515625" style="129" customWidth="1"/>
    <col min="4104" max="4104" width="10.42578125" style="129" customWidth="1"/>
    <col min="4105" max="4105" width="10.85546875" style="129" customWidth="1"/>
    <col min="4106" max="4106" width="10.42578125" style="129" customWidth="1"/>
    <col min="4107" max="4107" width="11.140625" style="129" customWidth="1"/>
    <col min="4108" max="4108" width="12.140625" style="129" customWidth="1"/>
    <col min="4109" max="4353" width="9.140625" style="129"/>
    <col min="4354" max="4354" width="41.140625" style="129" customWidth="1"/>
    <col min="4355" max="4355" width="10.7109375" style="129" customWidth="1"/>
    <col min="4356" max="4356" width="11.140625" style="129" customWidth="1"/>
    <col min="4357" max="4357" width="10.5703125" style="129" customWidth="1"/>
    <col min="4358" max="4358" width="10.85546875" style="129" customWidth="1"/>
    <col min="4359" max="4359" width="11.28515625" style="129" customWidth="1"/>
    <col min="4360" max="4360" width="10.42578125" style="129" customWidth="1"/>
    <col min="4361" max="4361" width="10.85546875" style="129" customWidth="1"/>
    <col min="4362" max="4362" width="10.42578125" style="129" customWidth="1"/>
    <col min="4363" max="4363" width="11.140625" style="129" customWidth="1"/>
    <col min="4364" max="4364" width="12.140625" style="129" customWidth="1"/>
    <col min="4365" max="4609" width="9.140625" style="129"/>
    <col min="4610" max="4610" width="41.140625" style="129" customWidth="1"/>
    <col min="4611" max="4611" width="10.7109375" style="129" customWidth="1"/>
    <col min="4612" max="4612" width="11.140625" style="129" customWidth="1"/>
    <col min="4613" max="4613" width="10.5703125" style="129" customWidth="1"/>
    <col min="4614" max="4614" width="10.85546875" style="129" customWidth="1"/>
    <col min="4615" max="4615" width="11.28515625" style="129" customWidth="1"/>
    <col min="4616" max="4616" width="10.42578125" style="129" customWidth="1"/>
    <col min="4617" max="4617" width="10.85546875" style="129" customWidth="1"/>
    <col min="4618" max="4618" width="10.42578125" style="129" customWidth="1"/>
    <col min="4619" max="4619" width="11.140625" style="129" customWidth="1"/>
    <col min="4620" max="4620" width="12.140625" style="129" customWidth="1"/>
    <col min="4621" max="4865" width="9.140625" style="129"/>
    <col min="4866" max="4866" width="41.140625" style="129" customWidth="1"/>
    <col min="4867" max="4867" width="10.7109375" style="129" customWidth="1"/>
    <col min="4868" max="4868" width="11.140625" style="129" customWidth="1"/>
    <col min="4869" max="4869" width="10.5703125" style="129" customWidth="1"/>
    <col min="4870" max="4870" width="10.85546875" style="129" customWidth="1"/>
    <col min="4871" max="4871" width="11.28515625" style="129" customWidth="1"/>
    <col min="4872" max="4872" width="10.42578125" style="129" customWidth="1"/>
    <col min="4873" max="4873" width="10.85546875" style="129" customWidth="1"/>
    <col min="4874" max="4874" width="10.42578125" style="129" customWidth="1"/>
    <col min="4875" max="4875" width="11.140625" style="129" customWidth="1"/>
    <col min="4876" max="4876" width="12.140625" style="129" customWidth="1"/>
    <col min="4877" max="5121" width="9.140625" style="129"/>
    <col min="5122" max="5122" width="41.140625" style="129" customWidth="1"/>
    <col min="5123" max="5123" width="10.7109375" style="129" customWidth="1"/>
    <col min="5124" max="5124" width="11.140625" style="129" customWidth="1"/>
    <col min="5125" max="5125" width="10.5703125" style="129" customWidth="1"/>
    <col min="5126" max="5126" width="10.85546875" style="129" customWidth="1"/>
    <col min="5127" max="5127" width="11.28515625" style="129" customWidth="1"/>
    <col min="5128" max="5128" width="10.42578125" style="129" customWidth="1"/>
    <col min="5129" max="5129" width="10.85546875" style="129" customWidth="1"/>
    <col min="5130" max="5130" width="10.42578125" style="129" customWidth="1"/>
    <col min="5131" max="5131" width="11.140625" style="129" customWidth="1"/>
    <col min="5132" max="5132" width="12.140625" style="129" customWidth="1"/>
    <col min="5133" max="5377" width="9.140625" style="129"/>
    <col min="5378" max="5378" width="41.140625" style="129" customWidth="1"/>
    <col min="5379" max="5379" width="10.7109375" style="129" customWidth="1"/>
    <col min="5380" max="5380" width="11.140625" style="129" customWidth="1"/>
    <col min="5381" max="5381" width="10.5703125" style="129" customWidth="1"/>
    <col min="5382" max="5382" width="10.85546875" style="129" customWidth="1"/>
    <col min="5383" max="5383" width="11.28515625" style="129" customWidth="1"/>
    <col min="5384" max="5384" width="10.42578125" style="129" customWidth="1"/>
    <col min="5385" max="5385" width="10.85546875" style="129" customWidth="1"/>
    <col min="5386" max="5386" width="10.42578125" style="129" customWidth="1"/>
    <col min="5387" max="5387" width="11.140625" style="129" customWidth="1"/>
    <col min="5388" max="5388" width="12.140625" style="129" customWidth="1"/>
    <col min="5389" max="5633" width="9.140625" style="129"/>
    <col min="5634" max="5634" width="41.140625" style="129" customWidth="1"/>
    <col min="5635" max="5635" width="10.7109375" style="129" customWidth="1"/>
    <col min="5636" max="5636" width="11.140625" style="129" customWidth="1"/>
    <col min="5637" max="5637" width="10.5703125" style="129" customWidth="1"/>
    <col min="5638" max="5638" width="10.85546875" style="129" customWidth="1"/>
    <col min="5639" max="5639" width="11.28515625" style="129" customWidth="1"/>
    <col min="5640" max="5640" width="10.42578125" style="129" customWidth="1"/>
    <col min="5641" max="5641" width="10.85546875" style="129" customWidth="1"/>
    <col min="5642" max="5642" width="10.42578125" style="129" customWidth="1"/>
    <col min="5643" max="5643" width="11.140625" style="129" customWidth="1"/>
    <col min="5644" max="5644" width="12.140625" style="129" customWidth="1"/>
    <col min="5645" max="5889" width="9.140625" style="129"/>
    <col min="5890" max="5890" width="41.140625" style="129" customWidth="1"/>
    <col min="5891" max="5891" width="10.7109375" style="129" customWidth="1"/>
    <col min="5892" max="5892" width="11.140625" style="129" customWidth="1"/>
    <col min="5893" max="5893" width="10.5703125" style="129" customWidth="1"/>
    <col min="5894" max="5894" width="10.85546875" style="129" customWidth="1"/>
    <col min="5895" max="5895" width="11.28515625" style="129" customWidth="1"/>
    <col min="5896" max="5896" width="10.42578125" style="129" customWidth="1"/>
    <col min="5897" max="5897" width="10.85546875" style="129" customWidth="1"/>
    <col min="5898" max="5898" width="10.42578125" style="129" customWidth="1"/>
    <col min="5899" max="5899" width="11.140625" style="129" customWidth="1"/>
    <col min="5900" max="5900" width="12.140625" style="129" customWidth="1"/>
    <col min="5901" max="6145" width="9.140625" style="129"/>
    <col min="6146" max="6146" width="41.140625" style="129" customWidth="1"/>
    <col min="6147" max="6147" width="10.7109375" style="129" customWidth="1"/>
    <col min="6148" max="6148" width="11.140625" style="129" customWidth="1"/>
    <col min="6149" max="6149" width="10.5703125" style="129" customWidth="1"/>
    <col min="6150" max="6150" width="10.85546875" style="129" customWidth="1"/>
    <col min="6151" max="6151" width="11.28515625" style="129" customWidth="1"/>
    <col min="6152" max="6152" width="10.42578125" style="129" customWidth="1"/>
    <col min="6153" max="6153" width="10.85546875" style="129" customWidth="1"/>
    <col min="6154" max="6154" width="10.42578125" style="129" customWidth="1"/>
    <col min="6155" max="6155" width="11.140625" style="129" customWidth="1"/>
    <col min="6156" max="6156" width="12.140625" style="129" customWidth="1"/>
    <col min="6157" max="6401" width="9.140625" style="129"/>
    <col min="6402" max="6402" width="41.140625" style="129" customWidth="1"/>
    <col min="6403" max="6403" width="10.7109375" style="129" customWidth="1"/>
    <col min="6404" max="6404" width="11.140625" style="129" customWidth="1"/>
    <col min="6405" max="6405" width="10.5703125" style="129" customWidth="1"/>
    <col min="6406" max="6406" width="10.85546875" style="129" customWidth="1"/>
    <col min="6407" max="6407" width="11.28515625" style="129" customWidth="1"/>
    <col min="6408" max="6408" width="10.42578125" style="129" customWidth="1"/>
    <col min="6409" max="6409" width="10.85546875" style="129" customWidth="1"/>
    <col min="6410" max="6410" width="10.42578125" style="129" customWidth="1"/>
    <col min="6411" max="6411" width="11.140625" style="129" customWidth="1"/>
    <col min="6412" max="6412" width="12.140625" style="129" customWidth="1"/>
    <col min="6413" max="6657" width="9.140625" style="129"/>
    <col min="6658" max="6658" width="41.140625" style="129" customWidth="1"/>
    <col min="6659" max="6659" width="10.7109375" style="129" customWidth="1"/>
    <col min="6660" max="6660" width="11.140625" style="129" customWidth="1"/>
    <col min="6661" max="6661" width="10.5703125" style="129" customWidth="1"/>
    <col min="6662" max="6662" width="10.85546875" style="129" customWidth="1"/>
    <col min="6663" max="6663" width="11.28515625" style="129" customWidth="1"/>
    <col min="6664" max="6664" width="10.42578125" style="129" customWidth="1"/>
    <col min="6665" max="6665" width="10.85546875" style="129" customWidth="1"/>
    <col min="6666" max="6666" width="10.42578125" style="129" customWidth="1"/>
    <col min="6667" max="6667" width="11.140625" style="129" customWidth="1"/>
    <col min="6668" max="6668" width="12.140625" style="129" customWidth="1"/>
    <col min="6669" max="6913" width="9.140625" style="129"/>
    <col min="6914" max="6914" width="41.140625" style="129" customWidth="1"/>
    <col min="6915" max="6915" width="10.7109375" style="129" customWidth="1"/>
    <col min="6916" max="6916" width="11.140625" style="129" customWidth="1"/>
    <col min="6917" max="6917" width="10.5703125" style="129" customWidth="1"/>
    <col min="6918" max="6918" width="10.85546875" style="129" customWidth="1"/>
    <col min="6919" max="6919" width="11.28515625" style="129" customWidth="1"/>
    <col min="6920" max="6920" width="10.42578125" style="129" customWidth="1"/>
    <col min="6921" max="6921" width="10.85546875" style="129" customWidth="1"/>
    <col min="6922" max="6922" width="10.42578125" style="129" customWidth="1"/>
    <col min="6923" max="6923" width="11.140625" style="129" customWidth="1"/>
    <col min="6924" max="6924" width="12.140625" style="129" customWidth="1"/>
    <col min="6925" max="7169" width="9.140625" style="129"/>
    <col min="7170" max="7170" width="41.140625" style="129" customWidth="1"/>
    <col min="7171" max="7171" width="10.7109375" style="129" customWidth="1"/>
    <col min="7172" max="7172" width="11.140625" style="129" customWidth="1"/>
    <col min="7173" max="7173" width="10.5703125" style="129" customWidth="1"/>
    <col min="7174" max="7174" width="10.85546875" style="129" customWidth="1"/>
    <col min="7175" max="7175" width="11.28515625" style="129" customWidth="1"/>
    <col min="7176" max="7176" width="10.42578125" style="129" customWidth="1"/>
    <col min="7177" max="7177" width="10.85546875" style="129" customWidth="1"/>
    <col min="7178" max="7178" width="10.42578125" style="129" customWidth="1"/>
    <col min="7179" max="7179" width="11.140625" style="129" customWidth="1"/>
    <col min="7180" max="7180" width="12.140625" style="129" customWidth="1"/>
    <col min="7181" max="7425" width="9.140625" style="129"/>
    <col min="7426" max="7426" width="41.140625" style="129" customWidth="1"/>
    <col min="7427" max="7427" width="10.7109375" style="129" customWidth="1"/>
    <col min="7428" max="7428" width="11.140625" style="129" customWidth="1"/>
    <col min="7429" max="7429" width="10.5703125" style="129" customWidth="1"/>
    <col min="7430" max="7430" width="10.85546875" style="129" customWidth="1"/>
    <col min="7431" max="7431" width="11.28515625" style="129" customWidth="1"/>
    <col min="7432" max="7432" width="10.42578125" style="129" customWidth="1"/>
    <col min="7433" max="7433" width="10.85546875" style="129" customWidth="1"/>
    <col min="7434" max="7434" width="10.42578125" style="129" customWidth="1"/>
    <col min="7435" max="7435" width="11.140625" style="129" customWidth="1"/>
    <col min="7436" max="7436" width="12.140625" style="129" customWidth="1"/>
    <col min="7437" max="7681" width="9.140625" style="129"/>
    <col min="7682" max="7682" width="41.140625" style="129" customWidth="1"/>
    <col min="7683" max="7683" width="10.7109375" style="129" customWidth="1"/>
    <col min="7684" max="7684" width="11.140625" style="129" customWidth="1"/>
    <col min="7685" max="7685" width="10.5703125" style="129" customWidth="1"/>
    <col min="7686" max="7686" width="10.85546875" style="129" customWidth="1"/>
    <col min="7687" max="7687" width="11.28515625" style="129" customWidth="1"/>
    <col min="7688" max="7688" width="10.42578125" style="129" customWidth="1"/>
    <col min="7689" max="7689" width="10.85546875" style="129" customWidth="1"/>
    <col min="7690" max="7690" width="10.42578125" style="129" customWidth="1"/>
    <col min="7691" max="7691" width="11.140625" style="129" customWidth="1"/>
    <col min="7692" max="7692" width="12.140625" style="129" customWidth="1"/>
    <col min="7693" max="7937" width="9.140625" style="129"/>
    <col min="7938" max="7938" width="41.140625" style="129" customWidth="1"/>
    <col min="7939" max="7939" width="10.7109375" style="129" customWidth="1"/>
    <col min="7940" max="7940" width="11.140625" style="129" customWidth="1"/>
    <col min="7941" max="7941" width="10.5703125" style="129" customWidth="1"/>
    <col min="7942" max="7942" width="10.85546875" style="129" customWidth="1"/>
    <col min="7943" max="7943" width="11.28515625" style="129" customWidth="1"/>
    <col min="7944" max="7944" width="10.42578125" style="129" customWidth="1"/>
    <col min="7945" max="7945" width="10.85546875" style="129" customWidth="1"/>
    <col min="7946" max="7946" width="10.42578125" style="129" customWidth="1"/>
    <col min="7947" max="7947" width="11.140625" style="129" customWidth="1"/>
    <col min="7948" max="7948" width="12.140625" style="129" customWidth="1"/>
    <col min="7949" max="8193" width="9.140625" style="129"/>
    <col min="8194" max="8194" width="41.140625" style="129" customWidth="1"/>
    <col min="8195" max="8195" width="10.7109375" style="129" customWidth="1"/>
    <col min="8196" max="8196" width="11.140625" style="129" customWidth="1"/>
    <col min="8197" max="8197" width="10.5703125" style="129" customWidth="1"/>
    <col min="8198" max="8198" width="10.85546875" style="129" customWidth="1"/>
    <col min="8199" max="8199" width="11.28515625" style="129" customWidth="1"/>
    <col min="8200" max="8200" width="10.42578125" style="129" customWidth="1"/>
    <col min="8201" max="8201" width="10.85546875" style="129" customWidth="1"/>
    <col min="8202" max="8202" width="10.42578125" style="129" customWidth="1"/>
    <col min="8203" max="8203" width="11.140625" style="129" customWidth="1"/>
    <col min="8204" max="8204" width="12.140625" style="129" customWidth="1"/>
    <col min="8205" max="8449" width="9.140625" style="129"/>
    <col min="8450" max="8450" width="41.140625" style="129" customWidth="1"/>
    <col min="8451" max="8451" width="10.7109375" style="129" customWidth="1"/>
    <col min="8452" max="8452" width="11.140625" style="129" customWidth="1"/>
    <col min="8453" max="8453" width="10.5703125" style="129" customWidth="1"/>
    <col min="8454" max="8454" width="10.85546875" style="129" customWidth="1"/>
    <col min="8455" max="8455" width="11.28515625" style="129" customWidth="1"/>
    <col min="8456" max="8456" width="10.42578125" style="129" customWidth="1"/>
    <col min="8457" max="8457" width="10.85546875" style="129" customWidth="1"/>
    <col min="8458" max="8458" width="10.42578125" style="129" customWidth="1"/>
    <col min="8459" max="8459" width="11.140625" style="129" customWidth="1"/>
    <col min="8460" max="8460" width="12.140625" style="129" customWidth="1"/>
    <col min="8461" max="8705" width="9.140625" style="129"/>
    <col min="8706" max="8706" width="41.140625" style="129" customWidth="1"/>
    <col min="8707" max="8707" width="10.7109375" style="129" customWidth="1"/>
    <col min="8708" max="8708" width="11.140625" style="129" customWidth="1"/>
    <col min="8709" max="8709" width="10.5703125" style="129" customWidth="1"/>
    <col min="8710" max="8710" width="10.85546875" style="129" customWidth="1"/>
    <col min="8711" max="8711" width="11.28515625" style="129" customWidth="1"/>
    <col min="8712" max="8712" width="10.42578125" style="129" customWidth="1"/>
    <col min="8713" max="8713" width="10.85546875" style="129" customWidth="1"/>
    <col min="8714" max="8714" width="10.42578125" style="129" customWidth="1"/>
    <col min="8715" max="8715" width="11.140625" style="129" customWidth="1"/>
    <col min="8716" max="8716" width="12.140625" style="129" customWidth="1"/>
    <col min="8717" max="8961" width="9.140625" style="129"/>
    <col min="8962" max="8962" width="41.140625" style="129" customWidth="1"/>
    <col min="8963" max="8963" width="10.7109375" style="129" customWidth="1"/>
    <col min="8964" max="8964" width="11.140625" style="129" customWidth="1"/>
    <col min="8965" max="8965" width="10.5703125" style="129" customWidth="1"/>
    <col min="8966" max="8966" width="10.85546875" style="129" customWidth="1"/>
    <col min="8967" max="8967" width="11.28515625" style="129" customWidth="1"/>
    <col min="8968" max="8968" width="10.42578125" style="129" customWidth="1"/>
    <col min="8969" max="8969" width="10.85546875" style="129" customWidth="1"/>
    <col min="8970" max="8970" width="10.42578125" style="129" customWidth="1"/>
    <col min="8971" max="8971" width="11.140625" style="129" customWidth="1"/>
    <col min="8972" max="8972" width="12.140625" style="129" customWidth="1"/>
    <col min="8973" max="9217" width="9.140625" style="129"/>
    <col min="9218" max="9218" width="41.140625" style="129" customWidth="1"/>
    <col min="9219" max="9219" width="10.7109375" style="129" customWidth="1"/>
    <col min="9220" max="9220" width="11.140625" style="129" customWidth="1"/>
    <col min="9221" max="9221" width="10.5703125" style="129" customWidth="1"/>
    <col min="9222" max="9222" width="10.85546875" style="129" customWidth="1"/>
    <col min="9223" max="9223" width="11.28515625" style="129" customWidth="1"/>
    <col min="9224" max="9224" width="10.42578125" style="129" customWidth="1"/>
    <col min="9225" max="9225" width="10.85546875" style="129" customWidth="1"/>
    <col min="9226" max="9226" width="10.42578125" style="129" customWidth="1"/>
    <col min="9227" max="9227" width="11.140625" style="129" customWidth="1"/>
    <col min="9228" max="9228" width="12.140625" style="129" customWidth="1"/>
    <col min="9229" max="9473" width="9.140625" style="129"/>
    <col min="9474" max="9474" width="41.140625" style="129" customWidth="1"/>
    <col min="9475" max="9475" width="10.7109375" style="129" customWidth="1"/>
    <col min="9476" max="9476" width="11.140625" style="129" customWidth="1"/>
    <col min="9477" max="9477" width="10.5703125" style="129" customWidth="1"/>
    <col min="9478" max="9478" width="10.85546875" style="129" customWidth="1"/>
    <col min="9479" max="9479" width="11.28515625" style="129" customWidth="1"/>
    <col min="9480" max="9480" width="10.42578125" style="129" customWidth="1"/>
    <col min="9481" max="9481" width="10.85546875" style="129" customWidth="1"/>
    <col min="9482" max="9482" width="10.42578125" style="129" customWidth="1"/>
    <col min="9483" max="9483" width="11.140625" style="129" customWidth="1"/>
    <col min="9484" max="9484" width="12.140625" style="129" customWidth="1"/>
    <col min="9485" max="9729" width="9.140625" style="129"/>
    <col min="9730" max="9730" width="41.140625" style="129" customWidth="1"/>
    <col min="9731" max="9731" width="10.7109375" style="129" customWidth="1"/>
    <col min="9732" max="9732" width="11.140625" style="129" customWidth="1"/>
    <col min="9733" max="9733" width="10.5703125" style="129" customWidth="1"/>
    <col min="9734" max="9734" width="10.85546875" style="129" customWidth="1"/>
    <col min="9735" max="9735" width="11.28515625" style="129" customWidth="1"/>
    <col min="9736" max="9736" width="10.42578125" style="129" customWidth="1"/>
    <col min="9737" max="9737" width="10.85546875" style="129" customWidth="1"/>
    <col min="9738" max="9738" width="10.42578125" style="129" customWidth="1"/>
    <col min="9739" max="9739" width="11.140625" style="129" customWidth="1"/>
    <col min="9740" max="9740" width="12.140625" style="129" customWidth="1"/>
    <col min="9741" max="9985" width="9.140625" style="129"/>
    <col min="9986" max="9986" width="41.140625" style="129" customWidth="1"/>
    <col min="9987" max="9987" width="10.7109375" style="129" customWidth="1"/>
    <col min="9988" max="9988" width="11.140625" style="129" customWidth="1"/>
    <col min="9989" max="9989" width="10.5703125" style="129" customWidth="1"/>
    <col min="9990" max="9990" width="10.85546875" style="129" customWidth="1"/>
    <col min="9991" max="9991" width="11.28515625" style="129" customWidth="1"/>
    <col min="9992" max="9992" width="10.42578125" style="129" customWidth="1"/>
    <col min="9993" max="9993" width="10.85546875" style="129" customWidth="1"/>
    <col min="9994" max="9994" width="10.42578125" style="129" customWidth="1"/>
    <col min="9995" max="9995" width="11.140625" style="129" customWidth="1"/>
    <col min="9996" max="9996" width="12.140625" style="129" customWidth="1"/>
    <col min="9997" max="10241" width="9.140625" style="129"/>
    <col min="10242" max="10242" width="41.140625" style="129" customWidth="1"/>
    <col min="10243" max="10243" width="10.7109375" style="129" customWidth="1"/>
    <col min="10244" max="10244" width="11.140625" style="129" customWidth="1"/>
    <col min="10245" max="10245" width="10.5703125" style="129" customWidth="1"/>
    <col min="10246" max="10246" width="10.85546875" style="129" customWidth="1"/>
    <col min="10247" max="10247" width="11.28515625" style="129" customWidth="1"/>
    <col min="10248" max="10248" width="10.42578125" style="129" customWidth="1"/>
    <col min="10249" max="10249" width="10.85546875" style="129" customWidth="1"/>
    <col min="10250" max="10250" width="10.42578125" style="129" customWidth="1"/>
    <col min="10251" max="10251" width="11.140625" style="129" customWidth="1"/>
    <col min="10252" max="10252" width="12.140625" style="129" customWidth="1"/>
    <col min="10253" max="10497" width="9.140625" style="129"/>
    <col min="10498" max="10498" width="41.140625" style="129" customWidth="1"/>
    <col min="10499" max="10499" width="10.7109375" style="129" customWidth="1"/>
    <col min="10500" max="10500" width="11.140625" style="129" customWidth="1"/>
    <col min="10501" max="10501" width="10.5703125" style="129" customWidth="1"/>
    <col min="10502" max="10502" width="10.85546875" style="129" customWidth="1"/>
    <col min="10503" max="10503" width="11.28515625" style="129" customWidth="1"/>
    <col min="10504" max="10504" width="10.42578125" style="129" customWidth="1"/>
    <col min="10505" max="10505" width="10.85546875" style="129" customWidth="1"/>
    <col min="10506" max="10506" width="10.42578125" style="129" customWidth="1"/>
    <col min="10507" max="10507" width="11.140625" style="129" customWidth="1"/>
    <col min="10508" max="10508" width="12.140625" style="129" customWidth="1"/>
    <col min="10509" max="10753" width="9.140625" style="129"/>
    <col min="10754" max="10754" width="41.140625" style="129" customWidth="1"/>
    <col min="10755" max="10755" width="10.7109375" style="129" customWidth="1"/>
    <col min="10756" max="10756" width="11.140625" style="129" customWidth="1"/>
    <col min="10757" max="10757" width="10.5703125" style="129" customWidth="1"/>
    <col min="10758" max="10758" width="10.85546875" style="129" customWidth="1"/>
    <col min="10759" max="10759" width="11.28515625" style="129" customWidth="1"/>
    <col min="10760" max="10760" width="10.42578125" style="129" customWidth="1"/>
    <col min="10761" max="10761" width="10.85546875" style="129" customWidth="1"/>
    <col min="10762" max="10762" width="10.42578125" style="129" customWidth="1"/>
    <col min="10763" max="10763" width="11.140625" style="129" customWidth="1"/>
    <col min="10764" max="10764" width="12.140625" style="129" customWidth="1"/>
    <col min="10765" max="11009" width="9.140625" style="129"/>
    <col min="11010" max="11010" width="41.140625" style="129" customWidth="1"/>
    <col min="11011" max="11011" width="10.7109375" style="129" customWidth="1"/>
    <col min="11012" max="11012" width="11.140625" style="129" customWidth="1"/>
    <col min="11013" max="11013" width="10.5703125" style="129" customWidth="1"/>
    <col min="11014" max="11014" width="10.85546875" style="129" customWidth="1"/>
    <col min="11015" max="11015" width="11.28515625" style="129" customWidth="1"/>
    <col min="11016" max="11016" width="10.42578125" style="129" customWidth="1"/>
    <col min="11017" max="11017" width="10.85546875" style="129" customWidth="1"/>
    <col min="11018" max="11018" width="10.42578125" style="129" customWidth="1"/>
    <col min="11019" max="11019" width="11.140625" style="129" customWidth="1"/>
    <col min="11020" max="11020" width="12.140625" style="129" customWidth="1"/>
    <col min="11021" max="11265" width="9.140625" style="129"/>
    <col min="11266" max="11266" width="41.140625" style="129" customWidth="1"/>
    <col min="11267" max="11267" width="10.7109375" style="129" customWidth="1"/>
    <col min="11268" max="11268" width="11.140625" style="129" customWidth="1"/>
    <col min="11269" max="11269" width="10.5703125" style="129" customWidth="1"/>
    <col min="11270" max="11270" width="10.85546875" style="129" customWidth="1"/>
    <col min="11271" max="11271" width="11.28515625" style="129" customWidth="1"/>
    <col min="11272" max="11272" width="10.42578125" style="129" customWidth="1"/>
    <col min="11273" max="11273" width="10.85546875" style="129" customWidth="1"/>
    <col min="11274" max="11274" width="10.42578125" style="129" customWidth="1"/>
    <col min="11275" max="11275" width="11.140625" style="129" customWidth="1"/>
    <col min="11276" max="11276" width="12.140625" style="129" customWidth="1"/>
    <col min="11277" max="11521" width="9.140625" style="129"/>
    <col min="11522" max="11522" width="41.140625" style="129" customWidth="1"/>
    <col min="11523" max="11523" width="10.7109375" style="129" customWidth="1"/>
    <col min="11524" max="11524" width="11.140625" style="129" customWidth="1"/>
    <col min="11525" max="11525" width="10.5703125" style="129" customWidth="1"/>
    <col min="11526" max="11526" width="10.85546875" style="129" customWidth="1"/>
    <col min="11527" max="11527" width="11.28515625" style="129" customWidth="1"/>
    <col min="11528" max="11528" width="10.42578125" style="129" customWidth="1"/>
    <col min="11529" max="11529" width="10.85546875" style="129" customWidth="1"/>
    <col min="11530" max="11530" width="10.42578125" style="129" customWidth="1"/>
    <col min="11531" max="11531" width="11.140625" style="129" customWidth="1"/>
    <col min="11532" max="11532" width="12.140625" style="129" customWidth="1"/>
    <col min="11533" max="11777" width="9.140625" style="129"/>
    <col min="11778" max="11778" width="41.140625" style="129" customWidth="1"/>
    <col min="11779" max="11779" width="10.7109375" style="129" customWidth="1"/>
    <col min="11780" max="11780" width="11.140625" style="129" customWidth="1"/>
    <col min="11781" max="11781" width="10.5703125" style="129" customWidth="1"/>
    <col min="11782" max="11782" width="10.85546875" style="129" customWidth="1"/>
    <col min="11783" max="11783" width="11.28515625" style="129" customWidth="1"/>
    <col min="11784" max="11784" width="10.42578125" style="129" customWidth="1"/>
    <col min="11785" max="11785" width="10.85546875" style="129" customWidth="1"/>
    <col min="11786" max="11786" width="10.42578125" style="129" customWidth="1"/>
    <col min="11787" max="11787" width="11.140625" style="129" customWidth="1"/>
    <col min="11788" max="11788" width="12.140625" style="129" customWidth="1"/>
    <col min="11789" max="12033" width="9.140625" style="129"/>
    <col min="12034" max="12034" width="41.140625" style="129" customWidth="1"/>
    <col min="12035" max="12035" width="10.7109375" style="129" customWidth="1"/>
    <col min="12036" max="12036" width="11.140625" style="129" customWidth="1"/>
    <col min="12037" max="12037" width="10.5703125" style="129" customWidth="1"/>
    <col min="12038" max="12038" width="10.85546875" style="129" customWidth="1"/>
    <col min="12039" max="12039" width="11.28515625" style="129" customWidth="1"/>
    <col min="12040" max="12040" width="10.42578125" style="129" customWidth="1"/>
    <col min="12041" max="12041" width="10.85546875" style="129" customWidth="1"/>
    <col min="12042" max="12042" width="10.42578125" style="129" customWidth="1"/>
    <col min="12043" max="12043" width="11.140625" style="129" customWidth="1"/>
    <col min="12044" max="12044" width="12.140625" style="129" customWidth="1"/>
    <col min="12045" max="12289" width="9.140625" style="129"/>
    <col min="12290" max="12290" width="41.140625" style="129" customWidth="1"/>
    <col min="12291" max="12291" width="10.7109375" style="129" customWidth="1"/>
    <col min="12292" max="12292" width="11.140625" style="129" customWidth="1"/>
    <col min="12293" max="12293" width="10.5703125" style="129" customWidth="1"/>
    <col min="12294" max="12294" width="10.85546875" style="129" customWidth="1"/>
    <col min="12295" max="12295" width="11.28515625" style="129" customWidth="1"/>
    <col min="12296" max="12296" width="10.42578125" style="129" customWidth="1"/>
    <col min="12297" max="12297" width="10.85546875" style="129" customWidth="1"/>
    <col min="12298" max="12298" width="10.42578125" style="129" customWidth="1"/>
    <col min="12299" max="12299" width="11.140625" style="129" customWidth="1"/>
    <col min="12300" max="12300" width="12.140625" style="129" customWidth="1"/>
    <col min="12301" max="12545" width="9.140625" style="129"/>
    <col min="12546" max="12546" width="41.140625" style="129" customWidth="1"/>
    <col min="12547" max="12547" width="10.7109375" style="129" customWidth="1"/>
    <col min="12548" max="12548" width="11.140625" style="129" customWidth="1"/>
    <col min="12549" max="12549" width="10.5703125" style="129" customWidth="1"/>
    <col min="12550" max="12550" width="10.85546875" style="129" customWidth="1"/>
    <col min="12551" max="12551" width="11.28515625" style="129" customWidth="1"/>
    <col min="12552" max="12552" width="10.42578125" style="129" customWidth="1"/>
    <col min="12553" max="12553" width="10.85546875" style="129" customWidth="1"/>
    <col min="12554" max="12554" width="10.42578125" style="129" customWidth="1"/>
    <col min="12555" max="12555" width="11.140625" style="129" customWidth="1"/>
    <col min="12556" max="12556" width="12.140625" style="129" customWidth="1"/>
    <col min="12557" max="12801" width="9.140625" style="129"/>
    <col min="12802" max="12802" width="41.140625" style="129" customWidth="1"/>
    <col min="12803" max="12803" width="10.7109375" style="129" customWidth="1"/>
    <col min="12804" max="12804" width="11.140625" style="129" customWidth="1"/>
    <col min="12805" max="12805" width="10.5703125" style="129" customWidth="1"/>
    <col min="12806" max="12806" width="10.85546875" style="129" customWidth="1"/>
    <col min="12807" max="12807" width="11.28515625" style="129" customWidth="1"/>
    <col min="12808" max="12808" width="10.42578125" style="129" customWidth="1"/>
    <col min="12809" max="12809" width="10.85546875" style="129" customWidth="1"/>
    <col min="12810" max="12810" width="10.42578125" style="129" customWidth="1"/>
    <col min="12811" max="12811" width="11.140625" style="129" customWidth="1"/>
    <col min="12812" max="12812" width="12.140625" style="129" customWidth="1"/>
    <col min="12813" max="13057" width="9.140625" style="129"/>
    <col min="13058" max="13058" width="41.140625" style="129" customWidth="1"/>
    <col min="13059" max="13059" width="10.7109375" style="129" customWidth="1"/>
    <col min="13060" max="13060" width="11.140625" style="129" customWidth="1"/>
    <col min="13061" max="13061" width="10.5703125" style="129" customWidth="1"/>
    <col min="13062" max="13062" width="10.85546875" style="129" customWidth="1"/>
    <col min="13063" max="13063" width="11.28515625" style="129" customWidth="1"/>
    <col min="13064" max="13064" width="10.42578125" style="129" customWidth="1"/>
    <col min="13065" max="13065" width="10.85546875" style="129" customWidth="1"/>
    <col min="13066" max="13066" width="10.42578125" style="129" customWidth="1"/>
    <col min="13067" max="13067" width="11.140625" style="129" customWidth="1"/>
    <col min="13068" max="13068" width="12.140625" style="129" customWidth="1"/>
    <col min="13069" max="13313" width="9.140625" style="129"/>
    <col min="13314" max="13314" width="41.140625" style="129" customWidth="1"/>
    <col min="13315" max="13315" width="10.7109375" style="129" customWidth="1"/>
    <col min="13316" max="13316" width="11.140625" style="129" customWidth="1"/>
    <col min="13317" max="13317" width="10.5703125" style="129" customWidth="1"/>
    <col min="13318" max="13318" width="10.85546875" style="129" customWidth="1"/>
    <col min="13319" max="13319" width="11.28515625" style="129" customWidth="1"/>
    <col min="13320" max="13320" width="10.42578125" style="129" customWidth="1"/>
    <col min="13321" max="13321" width="10.85546875" style="129" customWidth="1"/>
    <col min="13322" max="13322" width="10.42578125" style="129" customWidth="1"/>
    <col min="13323" max="13323" width="11.140625" style="129" customWidth="1"/>
    <col min="13324" max="13324" width="12.140625" style="129" customWidth="1"/>
    <col min="13325" max="13569" width="9.140625" style="129"/>
    <col min="13570" max="13570" width="41.140625" style="129" customWidth="1"/>
    <col min="13571" max="13571" width="10.7109375" style="129" customWidth="1"/>
    <col min="13572" max="13572" width="11.140625" style="129" customWidth="1"/>
    <col min="13573" max="13573" width="10.5703125" style="129" customWidth="1"/>
    <col min="13574" max="13574" width="10.85546875" style="129" customWidth="1"/>
    <col min="13575" max="13575" width="11.28515625" style="129" customWidth="1"/>
    <col min="13576" max="13576" width="10.42578125" style="129" customWidth="1"/>
    <col min="13577" max="13577" width="10.85546875" style="129" customWidth="1"/>
    <col min="13578" max="13578" width="10.42578125" style="129" customWidth="1"/>
    <col min="13579" max="13579" width="11.140625" style="129" customWidth="1"/>
    <col min="13580" max="13580" width="12.140625" style="129" customWidth="1"/>
    <col min="13581" max="13825" width="9.140625" style="129"/>
    <col min="13826" max="13826" width="41.140625" style="129" customWidth="1"/>
    <col min="13827" max="13827" width="10.7109375" style="129" customWidth="1"/>
    <col min="13828" max="13828" width="11.140625" style="129" customWidth="1"/>
    <col min="13829" max="13829" width="10.5703125" style="129" customWidth="1"/>
    <col min="13830" max="13830" width="10.85546875" style="129" customWidth="1"/>
    <col min="13831" max="13831" width="11.28515625" style="129" customWidth="1"/>
    <col min="13832" max="13832" width="10.42578125" style="129" customWidth="1"/>
    <col min="13833" max="13833" width="10.85546875" style="129" customWidth="1"/>
    <col min="13834" max="13834" width="10.42578125" style="129" customWidth="1"/>
    <col min="13835" max="13835" width="11.140625" style="129" customWidth="1"/>
    <col min="13836" max="13836" width="12.140625" style="129" customWidth="1"/>
    <col min="13837" max="14081" width="9.140625" style="129"/>
    <col min="14082" max="14082" width="41.140625" style="129" customWidth="1"/>
    <col min="14083" max="14083" width="10.7109375" style="129" customWidth="1"/>
    <col min="14084" max="14084" width="11.140625" style="129" customWidth="1"/>
    <col min="14085" max="14085" width="10.5703125" style="129" customWidth="1"/>
    <col min="14086" max="14086" width="10.85546875" style="129" customWidth="1"/>
    <col min="14087" max="14087" width="11.28515625" style="129" customWidth="1"/>
    <col min="14088" max="14088" width="10.42578125" style="129" customWidth="1"/>
    <col min="14089" max="14089" width="10.85546875" style="129" customWidth="1"/>
    <col min="14090" max="14090" width="10.42578125" style="129" customWidth="1"/>
    <col min="14091" max="14091" width="11.140625" style="129" customWidth="1"/>
    <col min="14092" max="14092" width="12.140625" style="129" customWidth="1"/>
    <col min="14093" max="14337" width="9.140625" style="129"/>
    <col min="14338" max="14338" width="41.140625" style="129" customWidth="1"/>
    <col min="14339" max="14339" width="10.7109375" style="129" customWidth="1"/>
    <col min="14340" max="14340" width="11.140625" style="129" customWidth="1"/>
    <col min="14341" max="14341" width="10.5703125" style="129" customWidth="1"/>
    <col min="14342" max="14342" width="10.85546875" style="129" customWidth="1"/>
    <col min="14343" max="14343" width="11.28515625" style="129" customWidth="1"/>
    <col min="14344" max="14344" width="10.42578125" style="129" customWidth="1"/>
    <col min="14345" max="14345" width="10.85546875" style="129" customWidth="1"/>
    <col min="14346" max="14346" width="10.42578125" style="129" customWidth="1"/>
    <col min="14347" max="14347" width="11.140625" style="129" customWidth="1"/>
    <col min="14348" max="14348" width="12.140625" style="129" customWidth="1"/>
    <col min="14349" max="14593" width="9.140625" style="129"/>
    <col min="14594" max="14594" width="41.140625" style="129" customWidth="1"/>
    <col min="14595" max="14595" width="10.7109375" style="129" customWidth="1"/>
    <col min="14596" max="14596" width="11.140625" style="129" customWidth="1"/>
    <col min="14597" max="14597" width="10.5703125" style="129" customWidth="1"/>
    <col min="14598" max="14598" width="10.85546875" style="129" customWidth="1"/>
    <col min="14599" max="14599" width="11.28515625" style="129" customWidth="1"/>
    <col min="14600" max="14600" width="10.42578125" style="129" customWidth="1"/>
    <col min="14601" max="14601" width="10.85546875" style="129" customWidth="1"/>
    <col min="14602" max="14602" width="10.42578125" style="129" customWidth="1"/>
    <col min="14603" max="14603" width="11.140625" style="129" customWidth="1"/>
    <col min="14604" max="14604" width="12.140625" style="129" customWidth="1"/>
    <col min="14605" max="14849" width="9.140625" style="129"/>
    <col min="14850" max="14850" width="41.140625" style="129" customWidth="1"/>
    <col min="14851" max="14851" width="10.7109375" style="129" customWidth="1"/>
    <col min="14852" max="14852" width="11.140625" style="129" customWidth="1"/>
    <col min="14853" max="14853" width="10.5703125" style="129" customWidth="1"/>
    <col min="14854" max="14854" width="10.85546875" style="129" customWidth="1"/>
    <col min="14855" max="14855" width="11.28515625" style="129" customWidth="1"/>
    <col min="14856" max="14856" width="10.42578125" style="129" customWidth="1"/>
    <col min="14857" max="14857" width="10.85546875" style="129" customWidth="1"/>
    <col min="14858" max="14858" width="10.42578125" style="129" customWidth="1"/>
    <col min="14859" max="14859" width="11.140625" style="129" customWidth="1"/>
    <col min="14860" max="14860" width="12.140625" style="129" customWidth="1"/>
    <col min="14861" max="15105" width="9.140625" style="129"/>
    <col min="15106" max="15106" width="41.140625" style="129" customWidth="1"/>
    <col min="15107" max="15107" width="10.7109375" style="129" customWidth="1"/>
    <col min="15108" max="15108" width="11.140625" style="129" customWidth="1"/>
    <col min="15109" max="15109" width="10.5703125" style="129" customWidth="1"/>
    <col min="15110" max="15110" width="10.85546875" style="129" customWidth="1"/>
    <col min="15111" max="15111" width="11.28515625" style="129" customWidth="1"/>
    <col min="15112" max="15112" width="10.42578125" style="129" customWidth="1"/>
    <col min="15113" max="15113" width="10.85546875" style="129" customWidth="1"/>
    <col min="15114" max="15114" width="10.42578125" style="129" customWidth="1"/>
    <col min="15115" max="15115" width="11.140625" style="129" customWidth="1"/>
    <col min="15116" max="15116" width="12.140625" style="129" customWidth="1"/>
    <col min="15117" max="15361" width="9.140625" style="129"/>
    <col min="15362" max="15362" width="41.140625" style="129" customWidth="1"/>
    <col min="15363" max="15363" width="10.7109375" style="129" customWidth="1"/>
    <col min="15364" max="15364" width="11.140625" style="129" customWidth="1"/>
    <col min="15365" max="15365" width="10.5703125" style="129" customWidth="1"/>
    <col min="15366" max="15366" width="10.85546875" style="129" customWidth="1"/>
    <col min="15367" max="15367" width="11.28515625" style="129" customWidth="1"/>
    <col min="15368" max="15368" width="10.42578125" style="129" customWidth="1"/>
    <col min="15369" max="15369" width="10.85546875" style="129" customWidth="1"/>
    <col min="15370" max="15370" width="10.42578125" style="129" customWidth="1"/>
    <col min="15371" max="15371" width="11.140625" style="129" customWidth="1"/>
    <col min="15372" max="15372" width="12.140625" style="129" customWidth="1"/>
    <col min="15373" max="15617" width="9.140625" style="129"/>
    <col min="15618" max="15618" width="41.140625" style="129" customWidth="1"/>
    <col min="15619" max="15619" width="10.7109375" style="129" customWidth="1"/>
    <col min="15620" max="15620" width="11.140625" style="129" customWidth="1"/>
    <col min="15621" max="15621" width="10.5703125" style="129" customWidth="1"/>
    <col min="15622" max="15622" width="10.85546875" style="129" customWidth="1"/>
    <col min="15623" max="15623" width="11.28515625" style="129" customWidth="1"/>
    <col min="15624" max="15624" width="10.42578125" style="129" customWidth="1"/>
    <col min="15625" max="15625" width="10.85546875" style="129" customWidth="1"/>
    <col min="15626" max="15626" width="10.42578125" style="129" customWidth="1"/>
    <col min="15627" max="15627" width="11.140625" style="129" customWidth="1"/>
    <col min="15628" max="15628" width="12.140625" style="129" customWidth="1"/>
    <col min="15629" max="15873" width="9.140625" style="129"/>
    <col min="15874" max="15874" width="41.140625" style="129" customWidth="1"/>
    <col min="15875" max="15875" width="10.7109375" style="129" customWidth="1"/>
    <col min="15876" max="15876" width="11.140625" style="129" customWidth="1"/>
    <col min="15877" max="15877" width="10.5703125" style="129" customWidth="1"/>
    <col min="15878" max="15878" width="10.85546875" style="129" customWidth="1"/>
    <col min="15879" max="15879" width="11.28515625" style="129" customWidth="1"/>
    <col min="15880" max="15880" width="10.42578125" style="129" customWidth="1"/>
    <col min="15881" max="15881" width="10.85546875" style="129" customWidth="1"/>
    <col min="15882" max="15882" width="10.42578125" style="129" customWidth="1"/>
    <col min="15883" max="15883" width="11.140625" style="129" customWidth="1"/>
    <col min="15884" max="15884" width="12.140625" style="129" customWidth="1"/>
    <col min="15885" max="16129" width="9.140625" style="129"/>
    <col min="16130" max="16130" width="41.140625" style="129" customWidth="1"/>
    <col min="16131" max="16131" width="10.7109375" style="129" customWidth="1"/>
    <col min="16132" max="16132" width="11.140625" style="129" customWidth="1"/>
    <col min="16133" max="16133" width="10.5703125" style="129" customWidth="1"/>
    <col min="16134" max="16134" width="10.85546875" style="129" customWidth="1"/>
    <col min="16135" max="16135" width="11.28515625" style="129" customWidth="1"/>
    <col min="16136" max="16136" width="10.42578125" style="129" customWidth="1"/>
    <col min="16137" max="16137" width="10.85546875" style="129" customWidth="1"/>
    <col min="16138" max="16138" width="10.42578125" style="129" customWidth="1"/>
    <col min="16139" max="16139" width="11.140625" style="129" customWidth="1"/>
    <col min="16140" max="16140" width="12.140625" style="129" customWidth="1"/>
    <col min="16141" max="16384" width="9.140625" style="129"/>
  </cols>
  <sheetData>
    <row r="1" spans="1:12" x14ac:dyDescent="0.25">
      <c r="A1" s="1466" t="s">
        <v>564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</row>
    <row r="2" spans="1:12" ht="15.75" thickBot="1" x14ac:dyDescent="0.3"/>
    <row r="3" spans="1:12" ht="60.75" customHeight="1" thickBot="1" x14ac:dyDescent="0.3">
      <c r="A3" s="748" t="s">
        <v>2</v>
      </c>
      <c r="B3" s="749" t="s">
        <v>512</v>
      </c>
      <c r="C3" s="749" t="s">
        <v>608</v>
      </c>
      <c r="D3" s="749" t="s">
        <v>623</v>
      </c>
      <c r="E3" s="749" t="s">
        <v>513</v>
      </c>
      <c r="F3" s="749" t="s">
        <v>514</v>
      </c>
      <c r="G3" s="749" t="s">
        <v>515</v>
      </c>
      <c r="H3" s="749" t="s">
        <v>516</v>
      </c>
      <c r="I3" s="749" t="s">
        <v>517</v>
      </c>
      <c r="J3" s="749" t="s">
        <v>518</v>
      </c>
      <c r="K3" s="749" t="s">
        <v>519</v>
      </c>
      <c r="L3" s="750" t="s">
        <v>72</v>
      </c>
    </row>
    <row r="4" spans="1:12" x14ac:dyDescent="0.25">
      <c r="A4" s="745" t="s">
        <v>520</v>
      </c>
      <c r="B4" s="746">
        <v>2014000</v>
      </c>
      <c r="C4" s="746">
        <v>2014000</v>
      </c>
      <c r="D4" s="746">
        <f>'3. sz. melléklet'!D13+'3. sz. melléklet'!D14+'3. sz. melléklet'!D16+'3. sz. melléklet'!D18</f>
        <v>2100296</v>
      </c>
      <c r="E4" s="746">
        <v>2017000</v>
      </c>
      <c r="F4" s="746">
        <v>2017000</v>
      </c>
      <c r="G4" s="746">
        <v>2017000</v>
      </c>
      <c r="H4" s="746">
        <v>2025000</v>
      </c>
      <c r="I4" s="746">
        <v>2025000</v>
      </c>
      <c r="J4" s="746">
        <v>2025000</v>
      </c>
      <c r="K4" s="746">
        <v>2025000</v>
      </c>
      <c r="L4" s="747">
        <f>SUM(D4:K4)</f>
        <v>16251296</v>
      </c>
    </row>
    <row r="5" spans="1:12" ht="28.5" x14ac:dyDescent="0.25">
      <c r="A5" s="737" t="s">
        <v>521</v>
      </c>
      <c r="B5" s="738">
        <v>15735</v>
      </c>
      <c r="C5" s="738">
        <v>15735</v>
      </c>
      <c r="D5" s="738">
        <f>'3. sz. melléklet'!D30</f>
        <v>15735</v>
      </c>
      <c r="E5" s="738">
        <v>3500</v>
      </c>
      <c r="F5" s="738">
        <v>3500</v>
      </c>
      <c r="G5" s="738">
        <v>3800</v>
      </c>
      <c r="H5" s="738">
        <v>3800</v>
      </c>
      <c r="I5" s="738">
        <v>3800</v>
      </c>
      <c r="J5" s="738">
        <v>3800</v>
      </c>
      <c r="K5" s="738">
        <v>3800</v>
      </c>
      <c r="L5" s="739">
        <f>SUM(D5:K5)</f>
        <v>41735</v>
      </c>
    </row>
    <row r="6" spans="1:12" x14ac:dyDescent="0.25">
      <c r="A6" s="737" t="s">
        <v>522</v>
      </c>
      <c r="B6" s="738">
        <f t="shared" ref="B6:K6" si="0">SUM(B10+B9+B8+B7)</f>
        <v>144506</v>
      </c>
      <c r="C6" s="738">
        <f t="shared" si="0"/>
        <v>204354</v>
      </c>
      <c r="D6" s="738">
        <f t="shared" si="0"/>
        <v>204354</v>
      </c>
      <c r="E6" s="738">
        <f t="shared" si="0"/>
        <v>94800</v>
      </c>
      <c r="F6" s="738">
        <f t="shared" si="0"/>
        <v>91100</v>
      </c>
      <c r="G6" s="738">
        <f t="shared" si="0"/>
        <v>90100</v>
      </c>
      <c r="H6" s="738">
        <f t="shared" si="0"/>
        <v>89100</v>
      </c>
      <c r="I6" s="738">
        <f t="shared" si="0"/>
        <v>87800</v>
      </c>
      <c r="J6" s="738">
        <f t="shared" si="0"/>
        <v>87800</v>
      </c>
      <c r="K6" s="738">
        <f t="shared" si="0"/>
        <v>87800</v>
      </c>
      <c r="L6" s="739">
        <f>SUM(D6:K6)</f>
        <v>832854</v>
      </c>
    </row>
    <row r="7" spans="1:12" x14ac:dyDescent="0.25">
      <c r="A7" s="740" t="s">
        <v>523</v>
      </c>
      <c r="B7" s="741">
        <v>1500</v>
      </c>
      <c r="C7" s="741">
        <v>1500</v>
      </c>
      <c r="D7" s="741">
        <f>'3. sz. melléklet'!D22</f>
        <v>1500</v>
      </c>
      <c r="E7" s="741">
        <v>1800</v>
      </c>
      <c r="F7" s="741">
        <v>1100</v>
      </c>
      <c r="G7" s="741">
        <v>1100</v>
      </c>
      <c r="H7" s="741">
        <v>1100</v>
      </c>
      <c r="I7" s="741">
        <v>800</v>
      </c>
      <c r="J7" s="741">
        <v>800</v>
      </c>
      <c r="K7" s="741">
        <v>800</v>
      </c>
      <c r="L7" s="739">
        <f>SUM(D7:K7)</f>
        <v>9000</v>
      </c>
    </row>
    <row r="8" spans="1:12" ht="30.75" customHeight="1" x14ac:dyDescent="0.25">
      <c r="A8" s="740" t="s">
        <v>524</v>
      </c>
      <c r="B8" s="741">
        <v>48244</v>
      </c>
      <c r="C8" s="741">
        <v>108002</v>
      </c>
      <c r="D8" s="741">
        <f>'3. sz. melléklet'!D25+'3. sz. melléklet'!D26</f>
        <v>108002</v>
      </c>
      <c r="E8" s="741">
        <v>10000</v>
      </c>
      <c r="F8" s="741">
        <v>10000</v>
      </c>
      <c r="G8" s="741">
        <v>10000</v>
      </c>
      <c r="H8" s="741">
        <v>10000</v>
      </c>
      <c r="I8" s="741">
        <v>10000</v>
      </c>
      <c r="J8" s="741">
        <v>10000</v>
      </c>
      <c r="K8" s="741">
        <v>10000</v>
      </c>
      <c r="L8" s="739">
        <f t="shared" ref="L8:L10" si="1">SUM(D8:K8)</f>
        <v>178002</v>
      </c>
    </row>
    <row r="9" spans="1:12" ht="31.5" customHeight="1" x14ac:dyDescent="0.25">
      <c r="A9" s="740" t="s">
        <v>525</v>
      </c>
      <c r="B9" s="741">
        <v>87862</v>
      </c>
      <c r="C9" s="741">
        <v>87862</v>
      </c>
      <c r="D9" s="741">
        <f>'3. sz. melléklet'!D27</f>
        <v>87862</v>
      </c>
      <c r="E9" s="741">
        <v>71000</v>
      </c>
      <c r="F9" s="741">
        <v>70000</v>
      </c>
      <c r="G9" s="741">
        <v>69000</v>
      </c>
      <c r="H9" s="741">
        <v>68000</v>
      </c>
      <c r="I9" s="741">
        <v>67000</v>
      </c>
      <c r="J9" s="741">
        <v>67000</v>
      </c>
      <c r="K9" s="741">
        <v>67000</v>
      </c>
      <c r="L9" s="739">
        <f t="shared" si="1"/>
        <v>566862</v>
      </c>
    </row>
    <row r="10" spans="1:12" x14ac:dyDescent="0.25">
      <c r="A10" s="740" t="s">
        <v>526</v>
      </c>
      <c r="B10" s="741">
        <v>6900</v>
      </c>
      <c r="C10" s="741">
        <v>6990</v>
      </c>
      <c r="D10" s="741">
        <f>'3. sz. melléklet'!D20+'3. sz. melléklet'!D21</f>
        <v>6990</v>
      </c>
      <c r="E10" s="741">
        <v>12000</v>
      </c>
      <c r="F10" s="741">
        <v>10000</v>
      </c>
      <c r="G10" s="741">
        <v>10000</v>
      </c>
      <c r="H10" s="741">
        <v>10000</v>
      </c>
      <c r="I10" s="741">
        <v>10000</v>
      </c>
      <c r="J10" s="741">
        <v>10000</v>
      </c>
      <c r="K10" s="741">
        <v>10000</v>
      </c>
      <c r="L10" s="739">
        <f t="shared" si="1"/>
        <v>78990</v>
      </c>
    </row>
    <row r="11" spans="1:12" ht="60" customHeight="1" x14ac:dyDescent="0.25">
      <c r="A11" s="737" t="s">
        <v>527</v>
      </c>
      <c r="B11" s="738">
        <v>383913</v>
      </c>
      <c r="C11" s="738">
        <v>477532</v>
      </c>
      <c r="D11" s="738">
        <v>554212</v>
      </c>
      <c r="E11" s="738">
        <v>69000</v>
      </c>
      <c r="F11" s="738">
        <v>68000</v>
      </c>
      <c r="G11" s="738">
        <v>67000</v>
      </c>
      <c r="H11" s="738">
        <v>66000</v>
      </c>
      <c r="I11" s="738">
        <v>66000</v>
      </c>
      <c r="J11" s="738">
        <v>66000</v>
      </c>
      <c r="K11" s="738">
        <v>66000</v>
      </c>
      <c r="L11" s="739">
        <f t="shared" ref="L11:L18" si="2">SUM(D11:K11)</f>
        <v>1022212</v>
      </c>
    </row>
    <row r="12" spans="1:12" x14ac:dyDescent="0.25">
      <c r="A12" s="737" t="s">
        <v>528</v>
      </c>
      <c r="B12" s="738">
        <f t="shared" ref="B12:K12" si="3">SUM(B4+B5+B6+B11)</f>
        <v>2558154</v>
      </c>
      <c r="C12" s="738">
        <f t="shared" si="3"/>
        <v>2711621</v>
      </c>
      <c r="D12" s="738">
        <f t="shared" si="3"/>
        <v>2874597</v>
      </c>
      <c r="E12" s="738">
        <f t="shared" si="3"/>
        <v>2184300</v>
      </c>
      <c r="F12" s="738">
        <f t="shared" si="3"/>
        <v>2179600</v>
      </c>
      <c r="G12" s="738">
        <f t="shared" si="3"/>
        <v>2177900</v>
      </c>
      <c r="H12" s="738">
        <f t="shared" si="3"/>
        <v>2183900</v>
      </c>
      <c r="I12" s="738">
        <f t="shared" si="3"/>
        <v>2182600</v>
      </c>
      <c r="J12" s="738">
        <f t="shared" si="3"/>
        <v>2182600</v>
      </c>
      <c r="K12" s="738">
        <f t="shared" si="3"/>
        <v>2182600</v>
      </c>
      <c r="L12" s="739">
        <f t="shared" si="2"/>
        <v>18148097</v>
      </c>
    </row>
    <row r="13" spans="1:12" x14ac:dyDescent="0.25">
      <c r="A13" s="737" t="s">
        <v>529</v>
      </c>
      <c r="B13" s="738">
        <f t="shared" ref="B13:K13" si="4">B12/2</f>
        <v>1279077</v>
      </c>
      <c r="C13" s="738">
        <f t="shared" si="4"/>
        <v>1355810.5</v>
      </c>
      <c r="D13" s="738">
        <f t="shared" si="4"/>
        <v>1437298.5</v>
      </c>
      <c r="E13" s="738">
        <f t="shared" si="4"/>
        <v>1092150</v>
      </c>
      <c r="F13" s="738">
        <f t="shared" si="4"/>
        <v>1089800</v>
      </c>
      <c r="G13" s="738">
        <f t="shared" si="4"/>
        <v>1088950</v>
      </c>
      <c r="H13" s="738">
        <f t="shared" si="4"/>
        <v>1091950</v>
      </c>
      <c r="I13" s="738">
        <f t="shared" si="4"/>
        <v>1091300</v>
      </c>
      <c r="J13" s="738">
        <f t="shared" si="4"/>
        <v>1091300</v>
      </c>
      <c r="K13" s="738">
        <f t="shared" si="4"/>
        <v>1091300</v>
      </c>
      <c r="L13" s="739">
        <f t="shared" si="2"/>
        <v>9074048.5</v>
      </c>
    </row>
    <row r="14" spans="1:12" ht="33" customHeight="1" x14ac:dyDescent="0.25">
      <c r="A14" s="737" t="s">
        <v>530</v>
      </c>
      <c r="B14" s="738">
        <f t="shared" ref="B14:K14" si="5">SUM(B15)</f>
        <v>120610</v>
      </c>
      <c r="C14" s="738">
        <f t="shared" si="5"/>
        <v>127571</v>
      </c>
      <c r="D14" s="738">
        <v>700152</v>
      </c>
      <c r="E14" s="738">
        <f t="shared" si="5"/>
        <v>116394</v>
      </c>
      <c r="F14" s="738">
        <f t="shared" si="5"/>
        <v>114638</v>
      </c>
      <c r="G14" s="738">
        <f t="shared" si="5"/>
        <v>104121</v>
      </c>
      <c r="H14" s="738">
        <f t="shared" si="5"/>
        <v>76393</v>
      </c>
      <c r="I14" s="738">
        <f t="shared" si="5"/>
        <v>75109</v>
      </c>
      <c r="J14" s="738">
        <f t="shared" si="5"/>
        <v>73826</v>
      </c>
      <c r="K14" s="738">
        <f t="shared" si="5"/>
        <v>72540</v>
      </c>
      <c r="L14" s="739">
        <f t="shared" si="2"/>
        <v>1333173</v>
      </c>
    </row>
    <row r="15" spans="1:12" ht="30" x14ac:dyDescent="0.25">
      <c r="A15" s="740" t="s">
        <v>531</v>
      </c>
      <c r="B15" s="741">
        <v>120610</v>
      </c>
      <c r="C15" s="741">
        <v>127571</v>
      </c>
      <c r="D15" s="741">
        <v>700152</v>
      </c>
      <c r="E15" s="741">
        <v>116394</v>
      </c>
      <c r="F15" s="741">
        <v>114638</v>
      </c>
      <c r="G15" s="741">
        <v>104121</v>
      </c>
      <c r="H15" s="741">
        <v>76393</v>
      </c>
      <c r="I15" s="741">
        <v>75109</v>
      </c>
      <c r="J15" s="741">
        <v>73826</v>
      </c>
      <c r="K15" s="741">
        <v>72540</v>
      </c>
      <c r="L15" s="739">
        <f t="shared" si="2"/>
        <v>1333173</v>
      </c>
    </row>
    <row r="16" spans="1:12" ht="30.75" customHeight="1" x14ac:dyDescent="0.25">
      <c r="A16" s="737" t="s">
        <v>532</v>
      </c>
      <c r="B16" s="738">
        <v>0</v>
      </c>
      <c r="C16" s="738">
        <v>0</v>
      </c>
      <c r="D16" s="738">
        <v>0</v>
      </c>
      <c r="E16" s="738">
        <v>0</v>
      </c>
      <c r="F16" s="738">
        <v>0</v>
      </c>
      <c r="G16" s="738">
        <v>0</v>
      </c>
      <c r="H16" s="738">
        <v>0</v>
      </c>
      <c r="I16" s="738">
        <v>0</v>
      </c>
      <c r="J16" s="738">
        <v>0</v>
      </c>
      <c r="K16" s="738">
        <v>0</v>
      </c>
      <c r="L16" s="739">
        <f t="shared" si="2"/>
        <v>0</v>
      </c>
    </row>
    <row r="17" spans="1:12" ht="27.75" customHeight="1" x14ac:dyDescent="0.25">
      <c r="A17" s="737" t="s">
        <v>533</v>
      </c>
      <c r="B17" s="738">
        <f t="shared" ref="B17:K17" si="6">B14+B16</f>
        <v>120610</v>
      </c>
      <c r="C17" s="738">
        <f t="shared" si="6"/>
        <v>127571</v>
      </c>
      <c r="D17" s="738">
        <f t="shared" si="6"/>
        <v>700152</v>
      </c>
      <c r="E17" s="738">
        <f t="shared" si="6"/>
        <v>116394</v>
      </c>
      <c r="F17" s="738">
        <f t="shared" si="6"/>
        <v>114638</v>
      </c>
      <c r="G17" s="738">
        <f t="shared" si="6"/>
        <v>104121</v>
      </c>
      <c r="H17" s="738">
        <f t="shared" si="6"/>
        <v>76393</v>
      </c>
      <c r="I17" s="738">
        <f t="shared" si="6"/>
        <v>75109</v>
      </c>
      <c r="J17" s="738">
        <f t="shared" si="6"/>
        <v>73826</v>
      </c>
      <c r="K17" s="738">
        <f t="shared" si="6"/>
        <v>72540</v>
      </c>
      <c r="L17" s="739">
        <f t="shared" si="2"/>
        <v>1333173</v>
      </c>
    </row>
    <row r="18" spans="1:12" s="281" customFormat="1" ht="29.25" thickBot="1" x14ac:dyDescent="0.25">
      <c r="A18" s="742" t="s">
        <v>534</v>
      </c>
      <c r="B18" s="743">
        <f t="shared" ref="B18:K18" si="7">B13-B17</f>
        <v>1158467</v>
      </c>
      <c r="C18" s="743">
        <f t="shared" si="7"/>
        <v>1228239.5</v>
      </c>
      <c r="D18" s="743">
        <f t="shared" si="7"/>
        <v>737146.5</v>
      </c>
      <c r="E18" s="743">
        <f t="shared" si="7"/>
        <v>975756</v>
      </c>
      <c r="F18" s="743">
        <f t="shared" si="7"/>
        <v>975162</v>
      </c>
      <c r="G18" s="743">
        <f t="shared" si="7"/>
        <v>984829</v>
      </c>
      <c r="H18" s="743">
        <f t="shared" si="7"/>
        <v>1015557</v>
      </c>
      <c r="I18" s="743">
        <f t="shared" si="7"/>
        <v>1016191</v>
      </c>
      <c r="J18" s="743">
        <f t="shared" si="7"/>
        <v>1017474</v>
      </c>
      <c r="K18" s="743">
        <f t="shared" si="7"/>
        <v>1018760</v>
      </c>
      <c r="L18" s="744">
        <f t="shared" si="2"/>
        <v>7740875.5</v>
      </c>
    </row>
  </sheetData>
  <sheetProtection selectLockedCells="1" selectUnlockedCells="1"/>
  <mergeCells count="1">
    <mergeCell ref="A1:L1"/>
  </mergeCells>
  <pageMargins left="0.70866141732283472" right="0.70866141732283472" top="0.74803149606299213" bottom="0.74803149606299213" header="0.31496062992125984" footer="0.51181102362204722"/>
  <pageSetup paperSize="9" scale="78" firstPageNumber="0" orientation="landscape" horizontalDpi="300" verticalDpi="300" r:id="rId1"/>
  <headerFooter alignWithMargins="0">
    <oddHeader xml:space="preserve">&amp;L13. melléklet a ../2017.(....)  önkormányzati rendelethez
13. melléklet a 24/2016.(XII.16.)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view="pageBreakPreview" zoomScale="90" zoomScaleNormal="79" zoomScaleSheetLayoutView="90" workbookViewId="0">
      <selection activeCell="E13" sqref="E13"/>
    </sheetView>
  </sheetViews>
  <sheetFormatPr defaultRowHeight="15" x14ac:dyDescent="0.2"/>
  <cols>
    <col min="1" max="1" width="42.28515625" style="63" customWidth="1"/>
    <col min="2" max="4" width="15" style="63" customWidth="1"/>
    <col min="5" max="5" width="42.28515625" style="63" customWidth="1"/>
    <col min="6" max="6" width="16.5703125" style="63" customWidth="1"/>
    <col min="7" max="7" width="15" style="63" customWidth="1"/>
    <col min="8" max="8" width="13.28515625" style="63" customWidth="1"/>
    <col min="9" max="16384" width="9.140625" style="63"/>
  </cols>
  <sheetData>
    <row r="2" spans="1:8" s="64" customFormat="1" ht="15.75" x14ac:dyDescent="0.25">
      <c r="A2" s="1472" t="s">
        <v>511</v>
      </c>
      <c r="B2" s="1472"/>
      <c r="C2" s="1472"/>
      <c r="D2" s="1472"/>
      <c r="E2" s="1472"/>
      <c r="F2" s="1472"/>
      <c r="G2" s="1472"/>
      <c r="H2" s="1472"/>
    </row>
    <row r="3" spans="1:8" s="64" customFormat="1" ht="15.75" x14ac:dyDescent="0.25">
      <c r="A3" s="128"/>
    </row>
    <row r="4" spans="1:8" s="64" customFormat="1" ht="15.75" x14ac:dyDescent="0.25">
      <c r="A4" s="65" t="s">
        <v>199</v>
      </c>
    </row>
    <row r="5" spans="1:8" s="64" customFormat="1" ht="16.5" thickBot="1" x14ac:dyDescent="0.3"/>
    <row r="6" spans="1:8" s="64" customFormat="1" ht="16.5" thickBot="1" x14ac:dyDescent="0.3">
      <c r="A6" s="1470" t="s">
        <v>96</v>
      </c>
      <c r="B6" s="1468"/>
      <c r="C6" s="1468"/>
      <c r="D6" s="1471"/>
      <c r="E6" s="1467" t="s">
        <v>197</v>
      </c>
      <c r="F6" s="1468"/>
      <c r="G6" s="1468"/>
      <c r="H6" s="1469"/>
    </row>
    <row r="7" spans="1:8" s="64" customFormat="1" ht="32.25" thickBot="1" x14ac:dyDescent="0.3">
      <c r="A7" s="781" t="s">
        <v>198</v>
      </c>
      <c r="B7" s="782" t="s">
        <v>3</v>
      </c>
      <c r="C7" s="782" t="s">
        <v>567</v>
      </c>
      <c r="D7" s="783" t="s">
        <v>619</v>
      </c>
      <c r="E7" s="784" t="s">
        <v>198</v>
      </c>
      <c r="F7" s="785" t="s">
        <v>3</v>
      </c>
      <c r="G7" s="786" t="s">
        <v>567</v>
      </c>
      <c r="H7" s="787" t="s">
        <v>619</v>
      </c>
    </row>
    <row r="8" spans="1:8" s="64" customFormat="1" ht="15.75" x14ac:dyDescent="0.25">
      <c r="A8" s="776" t="s">
        <v>199</v>
      </c>
      <c r="B8" s="777">
        <v>200000</v>
      </c>
      <c r="C8" s="777">
        <v>0</v>
      </c>
      <c r="D8" s="777">
        <v>0</v>
      </c>
      <c r="E8" s="778" t="s">
        <v>63</v>
      </c>
      <c r="F8" s="779">
        <f>SUM(F9:F11)</f>
        <v>175000</v>
      </c>
      <c r="G8" s="780">
        <f>SUM(G9:G11)</f>
        <v>0</v>
      </c>
      <c r="H8" s="780">
        <f>SUM(H9:H11)</f>
        <v>0</v>
      </c>
    </row>
    <row r="9" spans="1:8" s="64" customFormat="1" ht="15.75" x14ac:dyDescent="0.25">
      <c r="A9" s="752"/>
      <c r="B9" s="753"/>
      <c r="C9" s="753"/>
      <c r="D9" s="753"/>
      <c r="E9" s="754" t="s">
        <v>507</v>
      </c>
      <c r="F9" s="755">
        <v>70000</v>
      </c>
      <c r="G9" s="756">
        <v>0</v>
      </c>
      <c r="H9" s="764"/>
    </row>
    <row r="10" spans="1:8" s="64" customFormat="1" ht="15.75" x14ac:dyDescent="0.25">
      <c r="A10" s="752"/>
      <c r="B10" s="753"/>
      <c r="C10" s="753"/>
      <c r="D10" s="753"/>
      <c r="E10" s="754" t="s">
        <v>508</v>
      </c>
      <c r="F10" s="755">
        <v>45000</v>
      </c>
      <c r="G10" s="756">
        <v>0</v>
      </c>
      <c r="H10" s="764"/>
    </row>
    <row r="11" spans="1:8" s="64" customFormat="1" ht="47.25" x14ac:dyDescent="0.25">
      <c r="A11" s="752"/>
      <c r="B11" s="753"/>
      <c r="C11" s="753"/>
      <c r="D11" s="753"/>
      <c r="E11" s="754" t="s">
        <v>509</v>
      </c>
      <c r="F11" s="755">
        <v>60000</v>
      </c>
      <c r="G11" s="756">
        <v>0</v>
      </c>
      <c r="H11" s="764"/>
    </row>
    <row r="12" spans="1:8" s="64" customFormat="1" ht="15.75" x14ac:dyDescent="0.25">
      <c r="A12" s="752"/>
      <c r="B12" s="757"/>
      <c r="C12" s="757"/>
      <c r="D12" s="757"/>
      <c r="E12" s="751" t="s">
        <v>62</v>
      </c>
      <c r="F12" s="758">
        <f>SUM(F13)</f>
        <v>25000</v>
      </c>
      <c r="G12" s="759">
        <f>SUM(G13)</f>
        <v>0</v>
      </c>
      <c r="H12" s="759">
        <f>SUM(H13)</f>
        <v>0</v>
      </c>
    </row>
    <row r="13" spans="1:8" s="64" customFormat="1" ht="16.5" thickBot="1" x14ac:dyDescent="0.3">
      <c r="A13" s="765"/>
      <c r="B13" s="766"/>
      <c r="C13" s="766"/>
      <c r="D13" s="766"/>
      <c r="E13" s="767" t="s">
        <v>510</v>
      </c>
      <c r="F13" s="768">
        <v>25000</v>
      </c>
      <c r="G13" s="769">
        <v>0</v>
      </c>
      <c r="H13" s="770"/>
    </row>
    <row r="14" spans="1:8" s="64" customFormat="1" ht="16.5" thickBot="1" x14ac:dyDescent="0.3">
      <c r="A14" s="771" t="s">
        <v>72</v>
      </c>
      <c r="B14" s="772">
        <f>SUM(B8:B13)</f>
        <v>200000</v>
      </c>
      <c r="C14" s="772">
        <f>SUM(C8:C13)</f>
        <v>0</v>
      </c>
      <c r="D14" s="772">
        <f>SUM(D8:D13)</f>
        <v>0</v>
      </c>
      <c r="E14" s="773" t="s">
        <v>72</v>
      </c>
      <c r="F14" s="774">
        <f>SUM(F8,F12)</f>
        <v>200000</v>
      </c>
      <c r="G14" s="775">
        <f>SUM(G8,G12)</f>
        <v>0</v>
      </c>
      <c r="H14" s="775">
        <f>SUM(H8,H12)</f>
        <v>0</v>
      </c>
    </row>
    <row r="15" spans="1:8" s="64" customFormat="1" ht="15.75" x14ac:dyDescent="0.25">
      <c r="A15" s="762"/>
      <c r="B15" s="763"/>
      <c r="C15" s="763"/>
      <c r="D15" s="763"/>
      <c r="E15" s="762"/>
      <c r="F15" s="763"/>
      <c r="G15" s="763"/>
      <c r="H15" s="760"/>
    </row>
    <row r="16" spans="1:8" x14ac:dyDescent="0.2">
      <c r="A16" s="761"/>
      <c r="B16" s="761"/>
      <c r="C16" s="761"/>
      <c r="D16" s="761"/>
      <c r="E16" s="761"/>
      <c r="F16" s="761"/>
      <c r="G16" s="761"/>
      <c r="H16" s="761"/>
    </row>
    <row r="17" spans="1:8" x14ac:dyDescent="0.2">
      <c r="A17" s="761"/>
      <c r="B17" s="761"/>
      <c r="C17" s="761"/>
      <c r="D17" s="761"/>
      <c r="E17" s="761"/>
      <c r="F17" s="761"/>
      <c r="G17" s="761"/>
      <c r="H17" s="761"/>
    </row>
    <row r="18" spans="1:8" ht="15.75" x14ac:dyDescent="0.25">
      <c r="A18" s="760"/>
      <c r="B18" s="760"/>
      <c r="C18" s="760"/>
      <c r="D18" s="760"/>
      <c r="E18" s="760"/>
      <c r="F18" s="760"/>
      <c r="G18" s="760"/>
      <c r="H18" s="761"/>
    </row>
  </sheetData>
  <sheetProtection selectLockedCells="1" selectUnlockedCells="1"/>
  <mergeCells count="3">
    <mergeCell ref="E6:H6"/>
    <mergeCell ref="A6:D6"/>
    <mergeCell ref="A2:H2"/>
  </mergeCells>
  <printOptions horizontalCentered="1"/>
  <pageMargins left="0.39370078740157483" right="0.39370078740157483" top="0.98425196850393704" bottom="0" header="0.70866141732283472" footer="0.51181102362204722"/>
  <pageSetup paperSize="9" scale="80" firstPageNumber="0" fitToHeight="0" orientation="landscape" horizontalDpi="300" verticalDpi="300" r:id="rId1"/>
  <headerFooter alignWithMargins="0">
    <oddHeader xml:space="preserve">&amp;L&amp;"Arial,Normál"14. melléklet a ../2017.(....)  önkormányzati rendelethez
14. melléklet a 24/2016.(XII.16.)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view="pageBreakPreview" topLeftCell="B1" zoomScale="80" zoomScaleNormal="100" zoomScaleSheetLayoutView="80" workbookViewId="0">
      <selection activeCell="N11" sqref="N11"/>
    </sheetView>
  </sheetViews>
  <sheetFormatPr defaultRowHeight="12.75" x14ac:dyDescent="0.2"/>
  <cols>
    <col min="1" max="1" width="10.85546875" customWidth="1"/>
    <col min="2" max="2" width="80.5703125" customWidth="1"/>
    <col min="3" max="3" width="17" customWidth="1"/>
    <col min="4" max="4" width="15.85546875" customWidth="1"/>
    <col min="5" max="5" width="14.42578125" hidden="1" customWidth="1"/>
    <col min="6" max="6" width="13.140625" bestFit="1" customWidth="1"/>
    <col min="7" max="7" width="12.140625" bestFit="1" customWidth="1"/>
    <col min="8" max="8" width="13" bestFit="1" customWidth="1"/>
    <col min="9" max="9" width="18.140625" customWidth="1"/>
    <col min="10" max="10" width="0.140625" hidden="1" customWidth="1"/>
    <col min="11" max="11" width="12.7109375" hidden="1" customWidth="1"/>
    <col min="12" max="12" width="15.5703125" hidden="1" customWidth="1"/>
    <col min="13" max="13" width="11.28515625" customWidth="1"/>
    <col min="14" max="14" width="14.7109375" customWidth="1"/>
    <col min="15" max="15" width="14.140625" customWidth="1"/>
  </cols>
  <sheetData>
    <row r="1" spans="1:15" ht="15.75" x14ac:dyDescent="0.25">
      <c r="A1" s="939"/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03"/>
      <c r="O1" s="903"/>
    </row>
    <row r="2" spans="1:15" ht="15.75" x14ac:dyDescent="0.25">
      <c r="A2" s="1296"/>
      <c r="B2" s="1296"/>
      <c r="C2" s="1297"/>
      <c r="D2" s="1296"/>
      <c r="E2" s="1296"/>
      <c r="F2" s="1296"/>
      <c r="G2" s="1295"/>
      <c r="H2" s="1294"/>
      <c r="I2" s="1177"/>
      <c r="J2" s="1177"/>
      <c r="K2" s="1177"/>
      <c r="L2" s="1177"/>
      <c r="M2" s="1177"/>
      <c r="N2" s="903"/>
      <c r="O2" s="903"/>
    </row>
    <row r="3" spans="1:15" ht="15.75" x14ac:dyDescent="0.25">
      <c r="A3" s="1475" t="s">
        <v>343</v>
      </c>
      <c r="B3" s="1475"/>
      <c r="C3" s="1475"/>
      <c r="D3" s="1475"/>
      <c r="E3" s="1475"/>
      <c r="F3" s="1475"/>
      <c r="G3" s="1475"/>
      <c r="H3" s="1475"/>
      <c r="I3" s="1177"/>
      <c r="J3" s="1177"/>
      <c r="K3" s="1177"/>
      <c r="L3" s="1177"/>
      <c r="M3" s="1177"/>
      <c r="N3" s="911"/>
      <c r="O3" s="912"/>
    </row>
    <row r="4" spans="1:15" ht="16.5" customHeight="1" x14ac:dyDescent="0.25">
      <c r="A4" s="1476" t="s">
        <v>200</v>
      </c>
      <c r="B4" s="1476"/>
      <c r="C4" s="1476"/>
      <c r="D4" s="1476"/>
      <c r="E4" s="1476"/>
      <c r="F4" s="1476"/>
      <c r="G4" s="1476"/>
      <c r="H4" s="1476"/>
      <c r="I4" s="945"/>
      <c r="J4" s="945"/>
      <c r="K4" s="945"/>
      <c r="L4" s="1177"/>
      <c r="M4" s="945"/>
      <c r="N4" s="913"/>
      <c r="O4" s="913"/>
    </row>
    <row r="5" spans="1:15" ht="16.5" customHeight="1" thickBot="1" x14ac:dyDescent="0.35">
      <c r="A5" s="1482"/>
      <c r="B5" s="1482"/>
      <c r="C5" s="1482"/>
      <c r="D5" s="1482"/>
      <c r="E5" s="1482"/>
      <c r="F5" s="1482"/>
      <c r="G5" s="1294"/>
      <c r="H5" s="1294"/>
      <c r="I5" s="1298"/>
      <c r="J5" s="1298"/>
      <c r="K5" s="1298"/>
      <c r="L5" s="1298"/>
      <c r="M5" s="1298"/>
      <c r="N5" s="913"/>
      <c r="O5" s="913"/>
    </row>
    <row r="6" spans="1:15" ht="96" customHeight="1" thickTop="1" x14ac:dyDescent="0.25">
      <c r="A6" s="1483" t="s">
        <v>334</v>
      </c>
      <c r="B6" s="1485" t="s">
        <v>335</v>
      </c>
      <c r="C6" s="1487" t="s">
        <v>344</v>
      </c>
      <c r="D6" s="1488"/>
      <c r="E6" s="1488"/>
      <c r="F6" s="1489" t="s">
        <v>928</v>
      </c>
      <c r="G6" s="1477" t="s">
        <v>568</v>
      </c>
      <c r="H6" s="1473" t="s">
        <v>624</v>
      </c>
      <c r="I6" s="1299"/>
      <c r="J6" s="1299"/>
      <c r="K6" s="1299"/>
      <c r="L6" s="1299"/>
      <c r="M6" s="1299"/>
      <c r="N6" s="904"/>
      <c r="O6" s="904"/>
    </row>
    <row r="7" spans="1:15" ht="26.25" thickBot="1" x14ac:dyDescent="0.3">
      <c r="A7" s="1484"/>
      <c r="B7" s="1486"/>
      <c r="C7" s="1491" t="s">
        <v>569</v>
      </c>
      <c r="D7" s="1492"/>
      <c r="E7" s="1293" t="s">
        <v>201</v>
      </c>
      <c r="F7" s="1490"/>
      <c r="G7" s="1478"/>
      <c r="H7" s="1474"/>
      <c r="I7" s="945"/>
      <c r="J7" s="945"/>
      <c r="K7" s="945"/>
      <c r="L7" s="948"/>
      <c r="M7" s="945"/>
      <c r="N7" s="906"/>
      <c r="O7" s="906"/>
    </row>
    <row r="8" spans="1:15" ht="16.5" thickTop="1" x14ac:dyDescent="0.25">
      <c r="A8" s="1292" t="s">
        <v>202</v>
      </c>
      <c r="B8" s="1291" t="s">
        <v>203</v>
      </c>
      <c r="C8" s="1290"/>
      <c r="D8" s="1289"/>
      <c r="E8" s="1288"/>
      <c r="F8" s="1287"/>
      <c r="G8" s="1286"/>
      <c r="H8" s="1285"/>
      <c r="I8" s="948"/>
      <c r="J8" s="945"/>
      <c r="K8" s="945"/>
      <c r="L8" s="1300"/>
      <c r="M8" s="948"/>
      <c r="N8" s="906"/>
      <c r="O8" s="906"/>
    </row>
    <row r="9" spans="1:15" ht="15.75" x14ac:dyDescent="0.25">
      <c r="A9" s="1284" t="s">
        <v>204</v>
      </c>
      <c r="B9" s="1283" t="s">
        <v>927</v>
      </c>
      <c r="C9" s="1282">
        <v>58.41</v>
      </c>
      <c r="D9" s="1281" t="s">
        <v>205</v>
      </c>
      <c r="E9" s="1264">
        <v>4580000</v>
      </c>
      <c r="F9" s="1223">
        <v>267518</v>
      </c>
      <c r="G9" s="1243">
        <v>267518</v>
      </c>
      <c r="H9" s="1188">
        <v>267518</v>
      </c>
      <c r="I9" s="948"/>
      <c r="J9" s="945"/>
      <c r="K9" s="945"/>
      <c r="L9" s="1178"/>
      <c r="M9" s="948"/>
      <c r="N9" s="906"/>
      <c r="O9" s="906"/>
    </row>
    <row r="10" spans="1:15" ht="15.75" x14ac:dyDescent="0.25">
      <c r="A10" s="1280" t="s">
        <v>206</v>
      </c>
      <c r="B10" s="1224" t="s">
        <v>207</v>
      </c>
      <c r="C10" s="1279"/>
      <c r="D10" s="1276"/>
      <c r="E10" s="1266"/>
      <c r="F10" s="1232"/>
      <c r="G10" s="1243"/>
      <c r="H10" s="1188"/>
      <c r="I10" s="948"/>
      <c r="J10" s="948"/>
      <c r="K10" s="948"/>
      <c r="L10" s="1301"/>
      <c r="M10" s="948"/>
      <c r="N10" s="906"/>
      <c r="O10" s="906"/>
    </row>
    <row r="11" spans="1:15" ht="15.75" x14ac:dyDescent="0.25">
      <c r="A11" s="1212" t="s">
        <v>208</v>
      </c>
      <c r="B11" s="1278" t="s">
        <v>209</v>
      </c>
      <c r="C11" s="1277">
        <v>1705.6</v>
      </c>
      <c r="D11" s="1276" t="s">
        <v>210</v>
      </c>
      <c r="E11" s="1266">
        <v>22300</v>
      </c>
      <c r="F11" s="1209">
        <v>38035</v>
      </c>
      <c r="G11" s="1243">
        <v>38028</v>
      </c>
      <c r="H11" s="1188">
        <v>38028</v>
      </c>
      <c r="I11" s="948"/>
      <c r="J11" s="948"/>
      <c r="K11" s="948"/>
      <c r="L11" s="1301"/>
      <c r="M11" s="948"/>
      <c r="N11" s="906"/>
      <c r="O11" s="906"/>
    </row>
    <row r="12" spans="1:15" ht="15.75" x14ac:dyDescent="0.25">
      <c r="A12" s="1212" t="s">
        <v>211</v>
      </c>
      <c r="B12" s="1275" t="s">
        <v>212</v>
      </c>
      <c r="C12" s="1274">
        <v>207.9</v>
      </c>
      <c r="D12" s="1206" t="s">
        <v>213</v>
      </c>
      <c r="E12" s="1273">
        <v>400000</v>
      </c>
      <c r="F12" s="1209">
        <v>83160</v>
      </c>
      <c r="G12" s="1243">
        <v>82960</v>
      </c>
      <c r="H12" s="1188">
        <v>82960</v>
      </c>
      <c r="I12" s="948"/>
      <c r="J12" s="945"/>
      <c r="K12" s="945"/>
      <c r="L12" s="1301"/>
      <c r="M12" s="948"/>
      <c r="N12" s="906"/>
      <c r="O12" s="906"/>
    </row>
    <row r="13" spans="1:15" ht="15.75" x14ac:dyDescent="0.25">
      <c r="A13" s="1212" t="s">
        <v>214</v>
      </c>
      <c r="B13" s="1272" t="s">
        <v>215</v>
      </c>
      <c r="C13" s="1213">
        <v>129404</v>
      </c>
      <c r="D13" s="1206" t="s">
        <v>216</v>
      </c>
      <c r="E13" s="1266" t="s">
        <v>217</v>
      </c>
      <c r="F13" s="1209">
        <v>13458</v>
      </c>
      <c r="G13" s="1243">
        <v>13458</v>
      </c>
      <c r="H13" s="1188">
        <v>13458</v>
      </c>
      <c r="I13" s="948"/>
      <c r="J13" s="948"/>
      <c r="K13" s="948"/>
      <c r="L13" s="1301"/>
      <c r="M13" s="948"/>
      <c r="N13" s="907"/>
      <c r="O13" s="907"/>
    </row>
    <row r="14" spans="1:15" ht="15.75" x14ac:dyDescent="0.25">
      <c r="A14" s="1212" t="s">
        <v>218</v>
      </c>
      <c r="B14" s="1272" t="s">
        <v>219</v>
      </c>
      <c r="C14" s="1271">
        <v>102.37</v>
      </c>
      <c r="D14" s="1206" t="s">
        <v>213</v>
      </c>
      <c r="E14" s="1219" t="s">
        <v>220</v>
      </c>
      <c r="F14" s="1209">
        <v>30199</v>
      </c>
      <c r="G14" s="1243">
        <v>30211</v>
      </c>
      <c r="H14" s="1188">
        <v>30211</v>
      </c>
      <c r="I14" s="1300"/>
      <c r="J14" s="945"/>
      <c r="K14" s="945"/>
      <c r="L14" s="1300"/>
      <c r="M14" s="1300"/>
      <c r="N14" s="906"/>
      <c r="O14" s="906"/>
    </row>
    <row r="15" spans="1:15" ht="15.75" x14ac:dyDescent="0.25">
      <c r="A15" s="1225" t="s">
        <v>206</v>
      </c>
      <c r="B15" s="1236" t="s">
        <v>221</v>
      </c>
      <c r="C15" s="1213"/>
      <c r="D15" s="1206"/>
      <c r="E15" s="1270"/>
      <c r="F15" s="1223">
        <f>SUM(F11:F14)</f>
        <v>164852</v>
      </c>
      <c r="G15" s="1269">
        <f>SUM(G11:G14)</f>
        <v>164657</v>
      </c>
      <c r="H15" s="1268">
        <f>SUM(H11:H14)</f>
        <v>164657</v>
      </c>
      <c r="I15" s="948"/>
      <c r="J15" s="948"/>
      <c r="K15" s="948"/>
      <c r="L15" s="1300"/>
      <c r="M15" s="948"/>
      <c r="N15" s="906"/>
      <c r="O15" s="906"/>
    </row>
    <row r="16" spans="1:15" ht="15.75" x14ac:dyDescent="0.25">
      <c r="A16" s="1314" t="s">
        <v>222</v>
      </c>
      <c r="B16" s="1267" t="s">
        <v>926</v>
      </c>
      <c r="C16" s="1266">
        <v>23458</v>
      </c>
      <c r="D16" s="1265" t="s">
        <v>205</v>
      </c>
      <c r="E16" s="1219">
        <v>2700</v>
      </c>
      <c r="F16" s="1223">
        <v>63336</v>
      </c>
      <c r="G16" s="1243">
        <v>63337</v>
      </c>
      <c r="H16" s="1188">
        <v>63337</v>
      </c>
      <c r="I16" s="948"/>
      <c r="J16" s="948"/>
      <c r="K16" s="948"/>
      <c r="L16" s="1300"/>
      <c r="M16" s="948"/>
      <c r="N16" s="906"/>
      <c r="O16" s="906"/>
    </row>
    <row r="17" spans="1:15" ht="25.5" x14ac:dyDescent="0.25">
      <c r="A17" s="1314" t="s">
        <v>223</v>
      </c>
      <c r="B17" s="1267" t="s">
        <v>224</v>
      </c>
      <c r="C17" s="1266">
        <v>723</v>
      </c>
      <c r="D17" s="1265" t="s">
        <v>205</v>
      </c>
      <c r="E17" s="1263" t="s">
        <v>225</v>
      </c>
      <c r="F17" s="1223">
        <v>1844</v>
      </c>
      <c r="G17" s="1243">
        <v>1856</v>
      </c>
      <c r="H17" s="1188">
        <v>1856</v>
      </c>
      <c r="I17" s="948"/>
      <c r="J17" s="948"/>
      <c r="K17" s="948"/>
      <c r="L17" s="1300"/>
      <c r="M17" s="948"/>
      <c r="N17" s="909"/>
      <c r="O17" s="909"/>
    </row>
    <row r="18" spans="1:15" ht="25.5" x14ac:dyDescent="0.25">
      <c r="A18" s="1314" t="s">
        <v>226</v>
      </c>
      <c r="B18" s="1236" t="s">
        <v>227</v>
      </c>
      <c r="C18" s="1264">
        <v>40466685</v>
      </c>
      <c r="D18" s="1226" t="s">
        <v>228</v>
      </c>
      <c r="E18" s="1263" t="s">
        <v>535</v>
      </c>
      <c r="F18" s="1223">
        <v>40467</v>
      </c>
      <c r="G18" s="1243">
        <v>37862</v>
      </c>
      <c r="H18" s="1188">
        <v>37862</v>
      </c>
      <c r="I18" s="1179"/>
      <c r="J18" s="1302"/>
      <c r="K18" s="1302"/>
      <c r="L18" s="1179"/>
      <c r="M18" s="1179"/>
      <c r="N18" s="910"/>
      <c r="O18" s="910"/>
    </row>
    <row r="19" spans="1:15" ht="15.75" x14ac:dyDescent="0.25">
      <c r="A19" s="1313" t="s">
        <v>229</v>
      </c>
      <c r="B19" s="1261" t="s">
        <v>230</v>
      </c>
      <c r="C19" s="1260"/>
      <c r="D19" s="1259"/>
      <c r="E19" s="1258"/>
      <c r="F19" s="1215">
        <f>F9+F15+F16+F17+F18</f>
        <v>538017</v>
      </c>
      <c r="G19" s="1254">
        <f>G9+G15+G16+G17+G18</f>
        <v>535230</v>
      </c>
      <c r="H19" s="1253">
        <f>H9+H15+H16+H17+H18</f>
        <v>535230</v>
      </c>
      <c r="I19" s="940"/>
      <c r="J19" s="945"/>
      <c r="K19" s="948"/>
      <c r="L19" s="1179"/>
      <c r="M19" s="940"/>
      <c r="N19" s="910"/>
      <c r="O19" s="910"/>
    </row>
    <row r="20" spans="1:15" ht="15.75" x14ac:dyDescent="0.25">
      <c r="A20" s="1313" t="s">
        <v>231</v>
      </c>
      <c r="B20" s="1261" t="s">
        <v>232</v>
      </c>
      <c r="C20" s="1260">
        <v>0</v>
      </c>
      <c r="D20" s="1259" t="s">
        <v>233</v>
      </c>
      <c r="E20" s="1258" t="s">
        <v>234</v>
      </c>
      <c r="F20" s="1320">
        <v>70</v>
      </c>
      <c r="G20" s="1331">
        <v>70</v>
      </c>
      <c r="H20" s="1333">
        <v>0</v>
      </c>
      <c r="I20" s="940"/>
      <c r="J20" s="948"/>
      <c r="K20" s="948"/>
      <c r="L20" s="1179"/>
      <c r="M20" s="940"/>
      <c r="N20" s="909"/>
      <c r="O20" s="909"/>
    </row>
    <row r="21" spans="1:15" ht="15.75" x14ac:dyDescent="0.25">
      <c r="A21" s="1313" t="s">
        <v>536</v>
      </c>
      <c r="B21" s="1261" t="s">
        <v>537</v>
      </c>
      <c r="C21" s="1262"/>
      <c r="D21" s="1259"/>
      <c r="E21" s="1258"/>
      <c r="F21" s="1320">
        <v>1407</v>
      </c>
      <c r="G21" s="1331">
        <v>1255</v>
      </c>
      <c r="H21" s="1333">
        <v>1255</v>
      </c>
      <c r="I21" s="1179"/>
      <c r="J21" s="940"/>
      <c r="K21" s="940"/>
      <c r="L21" s="1179"/>
      <c r="M21" s="1179"/>
      <c r="N21" s="906"/>
      <c r="O21" s="906"/>
    </row>
    <row r="22" spans="1:15" ht="15.75" x14ac:dyDescent="0.25">
      <c r="A22" s="1313" t="s">
        <v>202</v>
      </c>
      <c r="B22" s="1261" t="s">
        <v>235</v>
      </c>
      <c r="C22" s="1260"/>
      <c r="D22" s="1259"/>
      <c r="E22" s="1258"/>
      <c r="F22" s="1320">
        <f>SUM(F19:F21)</f>
        <v>539494</v>
      </c>
      <c r="G22" s="1332">
        <f>SUM(G19:G21)</f>
        <v>536555</v>
      </c>
      <c r="H22" s="1334">
        <f>SUM(H19:H21)</f>
        <v>536485</v>
      </c>
      <c r="I22" s="948"/>
      <c r="J22" s="945"/>
      <c r="K22" s="945"/>
      <c r="L22" s="1300"/>
      <c r="M22" s="948"/>
      <c r="N22" s="906"/>
      <c r="O22" s="906"/>
    </row>
    <row r="23" spans="1:15" ht="31.5" x14ac:dyDescent="0.25">
      <c r="A23" s="1314" t="s">
        <v>236</v>
      </c>
      <c r="B23" s="1257" t="s">
        <v>237</v>
      </c>
      <c r="C23" s="1243"/>
      <c r="D23" s="1226"/>
      <c r="E23" s="1219"/>
      <c r="F23" s="1321"/>
      <c r="G23" s="1318"/>
      <c r="H23" s="1335"/>
      <c r="I23" s="948"/>
      <c r="J23" s="948"/>
      <c r="K23" s="948"/>
      <c r="L23" s="1301"/>
      <c r="M23" s="948"/>
      <c r="N23" s="906"/>
      <c r="O23" s="906"/>
    </row>
    <row r="24" spans="1:15" ht="15.75" x14ac:dyDescent="0.25">
      <c r="A24" s="1314"/>
      <c r="B24" s="1208" t="s">
        <v>238</v>
      </c>
      <c r="C24" s="1256">
        <v>49.8</v>
      </c>
      <c r="D24" s="1226" t="s">
        <v>205</v>
      </c>
      <c r="E24" s="1219">
        <v>4469900</v>
      </c>
      <c r="F24" s="1209">
        <v>146613</v>
      </c>
      <c r="G24" s="1243">
        <v>147209</v>
      </c>
      <c r="H24" s="1188">
        <v>148401</v>
      </c>
      <c r="I24" s="948"/>
      <c r="J24" s="945"/>
      <c r="K24" s="945"/>
      <c r="L24" s="1301"/>
      <c r="M24" s="948"/>
      <c r="N24" s="906"/>
      <c r="O24" s="906"/>
    </row>
    <row r="25" spans="1:15" ht="15.75" x14ac:dyDescent="0.25">
      <c r="A25" s="1225"/>
      <c r="B25" s="1208" t="s">
        <v>239</v>
      </c>
      <c r="C25" s="1256">
        <v>49.4</v>
      </c>
      <c r="D25" s="1226" t="s">
        <v>205</v>
      </c>
      <c r="E25" s="1219">
        <v>4469900</v>
      </c>
      <c r="F25" s="1209">
        <v>73307</v>
      </c>
      <c r="G25" s="1243">
        <v>73307</v>
      </c>
      <c r="H25" s="1188">
        <v>73307</v>
      </c>
      <c r="I25" s="948"/>
      <c r="J25" s="945"/>
      <c r="K25" s="945"/>
      <c r="L25" s="1301"/>
      <c r="M25" s="948"/>
      <c r="N25" s="906"/>
      <c r="O25" s="906"/>
    </row>
    <row r="26" spans="1:15" ht="15.75" x14ac:dyDescent="0.25">
      <c r="A26" s="1225"/>
      <c r="B26" s="1208" t="s">
        <v>240</v>
      </c>
      <c r="C26" s="1256">
        <v>49.4</v>
      </c>
      <c r="D26" s="1226" t="s">
        <v>205</v>
      </c>
      <c r="E26" s="1219">
        <v>38200</v>
      </c>
      <c r="F26" s="1209">
        <v>1879</v>
      </c>
      <c r="G26" s="1243">
        <v>1879</v>
      </c>
      <c r="H26" s="1188">
        <v>1879</v>
      </c>
      <c r="I26" s="948"/>
      <c r="J26" s="945"/>
      <c r="K26" s="945"/>
      <c r="L26" s="1301"/>
      <c r="M26" s="948"/>
      <c r="N26" s="906"/>
      <c r="O26" s="906"/>
    </row>
    <row r="27" spans="1:15" ht="15.75" x14ac:dyDescent="0.25">
      <c r="A27" s="1225"/>
      <c r="B27" s="1208" t="s">
        <v>241</v>
      </c>
      <c r="C27" s="1256">
        <v>34</v>
      </c>
      <c r="D27" s="1226" t="s">
        <v>205</v>
      </c>
      <c r="E27" s="1219">
        <v>1800000</v>
      </c>
      <c r="F27" s="1209">
        <v>40800</v>
      </c>
      <c r="G27" s="1243">
        <v>40800</v>
      </c>
      <c r="H27" s="1188">
        <v>40800</v>
      </c>
      <c r="I27" s="948"/>
      <c r="J27" s="945"/>
      <c r="K27" s="945"/>
      <c r="L27" s="1301"/>
      <c r="M27" s="948"/>
      <c r="N27" s="906"/>
      <c r="O27" s="906"/>
    </row>
    <row r="28" spans="1:15" ht="31.5" x14ac:dyDescent="0.25">
      <c r="A28" s="1225"/>
      <c r="B28" s="1208" t="s">
        <v>925</v>
      </c>
      <c r="C28" s="1256">
        <v>0</v>
      </c>
      <c r="D28" s="1226" t="s">
        <v>205</v>
      </c>
      <c r="E28" s="1219">
        <v>4469900</v>
      </c>
      <c r="F28" s="1209">
        <v>0</v>
      </c>
      <c r="G28" s="1243">
        <v>0</v>
      </c>
      <c r="H28" s="1188">
        <v>0</v>
      </c>
      <c r="I28" s="948"/>
      <c r="J28" s="945"/>
      <c r="K28" s="945"/>
      <c r="L28" s="1301"/>
      <c r="M28" s="948"/>
      <c r="N28" s="906"/>
      <c r="O28" s="906"/>
    </row>
    <row r="29" spans="1:15" ht="15.75" x14ac:dyDescent="0.25">
      <c r="A29" s="1225"/>
      <c r="B29" s="1208" t="s">
        <v>242</v>
      </c>
      <c r="C29" s="1256">
        <v>34</v>
      </c>
      <c r="D29" s="1226" t="s">
        <v>205</v>
      </c>
      <c r="E29" s="1219">
        <v>1800000</v>
      </c>
      <c r="F29" s="1209">
        <v>20400</v>
      </c>
      <c r="G29" s="1243">
        <v>20400</v>
      </c>
      <c r="H29" s="1188">
        <v>20400</v>
      </c>
      <c r="I29" s="948"/>
      <c r="J29" s="945"/>
      <c r="K29" s="945"/>
      <c r="L29" s="1301"/>
      <c r="M29" s="948"/>
      <c r="N29" s="906"/>
      <c r="O29" s="906"/>
    </row>
    <row r="30" spans="1:15" ht="31.5" x14ac:dyDescent="0.25">
      <c r="A30" s="1225"/>
      <c r="B30" s="1208" t="s">
        <v>924</v>
      </c>
      <c r="C30" s="1256">
        <v>0</v>
      </c>
      <c r="D30" s="1226" t="s">
        <v>205</v>
      </c>
      <c r="E30" s="1219">
        <v>4469900</v>
      </c>
      <c r="F30" s="1209">
        <v>0</v>
      </c>
      <c r="G30" s="1243">
        <v>0</v>
      </c>
      <c r="H30" s="1188">
        <v>0</v>
      </c>
      <c r="I30" s="948"/>
      <c r="J30" s="945"/>
      <c r="K30" s="945"/>
      <c r="L30" s="1301"/>
      <c r="M30" s="948"/>
      <c r="N30" s="909"/>
      <c r="O30" s="909"/>
    </row>
    <row r="31" spans="1:15" ht="31.5" x14ac:dyDescent="0.25">
      <c r="A31" s="1225"/>
      <c r="B31" s="1208" t="s">
        <v>923</v>
      </c>
      <c r="C31" s="1256">
        <v>0</v>
      </c>
      <c r="D31" s="1226" t="s">
        <v>205</v>
      </c>
      <c r="E31" s="1255">
        <v>38200</v>
      </c>
      <c r="F31" s="1209">
        <v>0</v>
      </c>
      <c r="G31" s="1243">
        <v>0</v>
      </c>
      <c r="H31" s="1188">
        <v>0</v>
      </c>
      <c r="I31" s="1179"/>
      <c r="J31" s="1302"/>
      <c r="K31" s="1302"/>
      <c r="L31" s="1179"/>
      <c r="M31" s="1179"/>
      <c r="N31" s="906"/>
      <c r="O31" s="906"/>
    </row>
    <row r="32" spans="1:15" ht="31.5" x14ac:dyDescent="0.25">
      <c r="A32" s="1229" t="s">
        <v>236</v>
      </c>
      <c r="B32" s="1247" t="s">
        <v>243</v>
      </c>
      <c r="C32" s="1243"/>
      <c r="D32" s="1226"/>
      <c r="E32" s="1255"/>
      <c r="F32" s="1215">
        <f>SUM(F24:F31)</f>
        <v>282999</v>
      </c>
      <c r="G32" s="1254">
        <f>SUM(G24:G31)</f>
        <v>283595</v>
      </c>
      <c r="H32" s="1253">
        <f>SUM(H24:H31)</f>
        <v>284787</v>
      </c>
      <c r="I32" s="948"/>
      <c r="J32" s="945"/>
      <c r="K32" s="945"/>
      <c r="L32" s="1300"/>
      <c r="M32" s="948"/>
      <c r="N32" s="906"/>
      <c r="O32" s="906"/>
    </row>
    <row r="33" spans="1:15" ht="15.75" x14ac:dyDescent="0.25">
      <c r="A33" s="1225" t="s">
        <v>244</v>
      </c>
      <c r="B33" s="1236" t="s">
        <v>245</v>
      </c>
      <c r="C33" s="1227"/>
      <c r="D33" s="1226"/>
      <c r="E33" s="1219"/>
      <c r="F33" s="1223"/>
      <c r="G33" s="1243"/>
      <c r="H33" s="1188"/>
      <c r="I33" s="948"/>
      <c r="J33" s="945"/>
      <c r="K33" s="945"/>
      <c r="L33" s="1178"/>
      <c r="M33" s="948"/>
      <c r="N33" s="906"/>
      <c r="O33" s="906"/>
    </row>
    <row r="34" spans="1:15" ht="15.75" x14ac:dyDescent="0.25">
      <c r="A34" s="1249" t="s">
        <v>246</v>
      </c>
      <c r="B34" s="1224" t="s">
        <v>247</v>
      </c>
      <c r="C34" s="1227">
        <v>0</v>
      </c>
      <c r="D34" s="1226" t="s">
        <v>205</v>
      </c>
      <c r="E34" s="1219">
        <v>80000</v>
      </c>
      <c r="F34" s="1232">
        <v>0</v>
      </c>
      <c r="G34" s="1189">
        <v>0</v>
      </c>
      <c r="H34" s="1188">
        <v>0</v>
      </c>
      <c r="I34" s="948"/>
      <c r="J34" s="948"/>
      <c r="K34" s="948"/>
      <c r="L34" s="1178"/>
      <c r="M34" s="948"/>
      <c r="N34" s="906"/>
      <c r="O34" s="906"/>
    </row>
    <row r="35" spans="1:15" ht="15.75" x14ac:dyDescent="0.25">
      <c r="A35" s="1225"/>
      <c r="B35" s="1224" t="s">
        <v>248</v>
      </c>
      <c r="C35" s="1227">
        <v>541</v>
      </c>
      <c r="D35" s="1226" t="s">
        <v>205</v>
      </c>
      <c r="E35" s="1219">
        <v>80000</v>
      </c>
      <c r="F35" s="1232">
        <v>28586</v>
      </c>
      <c r="G35" s="1243">
        <v>29194</v>
      </c>
      <c r="H35" s="1188">
        <v>29467</v>
      </c>
      <c r="I35" s="948"/>
      <c r="J35" s="945"/>
      <c r="K35" s="945"/>
      <c r="L35" s="1178"/>
      <c r="M35" s="948"/>
      <c r="N35" s="906"/>
      <c r="O35" s="906"/>
    </row>
    <row r="36" spans="1:15" ht="15.75" x14ac:dyDescent="0.25">
      <c r="A36" s="1225"/>
      <c r="B36" s="1224" t="s">
        <v>249</v>
      </c>
      <c r="C36" s="1227">
        <v>0</v>
      </c>
      <c r="D36" s="1226" t="s">
        <v>205</v>
      </c>
      <c r="E36" s="1219">
        <v>80000</v>
      </c>
      <c r="F36" s="1232">
        <v>0</v>
      </c>
      <c r="G36" s="1189">
        <v>0</v>
      </c>
      <c r="H36" s="1188">
        <v>0</v>
      </c>
      <c r="I36" s="948"/>
      <c r="J36" s="948"/>
      <c r="K36" s="948"/>
      <c r="L36" s="1178"/>
      <c r="M36" s="948"/>
      <c r="N36" s="906"/>
      <c r="O36" s="906"/>
    </row>
    <row r="37" spans="1:15" ht="15.75" x14ac:dyDescent="0.25">
      <c r="A37" s="1225"/>
      <c r="B37" s="1224" t="s">
        <v>250</v>
      </c>
      <c r="C37" s="1227">
        <v>536</v>
      </c>
      <c r="D37" s="1226" t="s">
        <v>205</v>
      </c>
      <c r="E37" s="1219">
        <v>80000</v>
      </c>
      <c r="F37" s="1232">
        <v>14293</v>
      </c>
      <c r="G37" s="1189">
        <v>14597</v>
      </c>
      <c r="H37" s="1188">
        <v>14597</v>
      </c>
      <c r="I37" s="948"/>
      <c r="J37" s="945"/>
      <c r="K37" s="945"/>
      <c r="L37" s="1178"/>
      <c r="M37" s="948"/>
      <c r="N37" s="909"/>
      <c r="O37" s="909"/>
    </row>
    <row r="38" spans="1:15" ht="15.75" x14ac:dyDescent="0.25">
      <c r="A38" s="1249" t="s">
        <v>251</v>
      </c>
      <c r="B38" s="1224" t="s">
        <v>322</v>
      </c>
      <c r="C38" s="1227"/>
      <c r="D38" s="1226"/>
      <c r="E38" s="1219"/>
      <c r="F38" s="1232">
        <v>0</v>
      </c>
      <c r="G38" s="1189">
        <v>0</v>
      </c>
      <c r="H38" s="1188">
        <v>0</v>
      </c>
      <c r="I38" s="1179"/>
      <c r="J38" s="1302"/>
      <c r="K38" s="1302"/>
      <c r="L38" s="1179"/>
      <c r="M38" s="1179"/>
      <c r="N38" s="906"/>
      <c r="O38" s="906"/>
    </row>
    <row r="39" spans="1:15" ht="15.75" x14ac:dyDescent="0.25">
      <c r="A39" s="1229" t="s">
        <v>252</v>
      </c>
      <c r="B39" s="1222" t="s">
        <v>253</v>
      </c>
      <c r="C39" s="1227"/>
      <c r="D39" s="1226"/>
      <c r="E39" s="1219"/>
      <c r="F39" s="1215">
        <f>SUM(F34:F38)</f>
        <v>42879</v>
      </c>
      <c r="G39" s="1254">
        <f>SUM(G34:G38)</f>
        <v>43791</v>
      </c>
      <c r="H39" s="1253">
        <f>SUM(H34:H38)</f>
        <v>44064</v>
      </c>
      <c r="I39" s="948"/>
      <c r="J39" s="945"/>
      <c r="K39" s="945"/>
      <c r="L39" s="1178"/>
      <c r="M39" s="948"/>
      <c r="N39" s="906"/>
      <c r="O39" s="906"/>
    </row>
    <row r="40" spans="1:15" ht="15.75" x14ac:dyDescent="0.25">
      <c r="A40" s="1225" t="s">
        <v>254</v>
      </c>
      <c r="B40" s="1236" t="s">
        <v>255</v>
      </c>
      <c r="C40" s="1227"/>
      <c r="D40" s="1226"/>
      <c r="E40" s="1219"/>
      <c r="F40" s="1232"/>
      <c r="G40" s="1243"/>
      <c r="H40" s="1188"/>
      <c r="I40" s="948"/>
      <c r="J40" s="948"/>
      <c r="K40" s="948"/>
      <c r="L40" s="1178"/>
      <c r="M40" s="948"/>
      <c r="N40" s="906"/>
      <c r="O40" s="906"/>
    </row>
    <row r="41" spans="1:15" ht="15.75" x14ac:dyDescent="0.25">
      <c r="A41" s="1225"/>
      <c r="B41" s="1224" t="s">
        <v>538</v>
      </c>
      <c r="C41" s="1227">
        <v>15</v>
      </c>
      <c r="D41" s="1226" t="s">
        <v>205</v>
      </c>
      <c r="E41" s="1219">
        <v>418900</v>
      </c>
      <c r="F41" s="1232">
        <v>4608</v>
      </c>
      <c r="G41" s="1243">
        <v>6284</v>
      </c>
      <c r="H41" s="1188">
        <v>6284</v>
      </c>
      <c r="I41" s="948"/>
      <c r="J41" s="948"/>
      <c r="K41" s="948"/>
      <c r="L41" s="1178"/>
      <c r="M41" s="948"/>
      <c r="N41" s="909"/>
      <c r="O41" s="909"/>
    </row>
    <row r="42" spans="1:15" ht="15.75" x14ac:dyDescent="0.25">
      <c r="A42" s="1314"/>
      <c r="B42" s="1224" t="s">
        <v>539</v>
      </c>
      <c r="C42" s="1227">
        <v>0</v>
      </c>
      <c r="D42" s="1226" t="s">
        <v>205</v>
      </c>
      <c r="E42" s="1219">
        <f>418900/12*11</f>
        <v>383991.66666666669</v>
      </c>
      <c r="F42" s="1330">
        <v>1920</v>
      </c>
      <c r="G42" s="1318"/>
      <c r="H42" s="1335"/>
      <c r="I42" s="1179"/>
      <c r="J42" s="1302"/>
      <c r="K42" s="1302"/>
      <c r="L42" s="1179"/>
      <c r="M42" s="1179"/>
      <c r="N42" s="909"/>
      <c r="O42" s="909"/>
    </row>
    <row r="43" spans="1:15" ht="15.75" x14ac:dyDescent="0.25">
      <c r="A43" s="1313" t="s">
        <v>254</v>
      </c>
      <c r="B43" s="1222" t="s">
        <v>255</v>
      </c>
      <c r="C43" s="1227"/>
      <c r="D43" s="1226"/>
      <c r="E43" s="1219"/>
      <c r="F43" s="1320">
        <f>SUM(F41:F42)</f>
        <v>6528</v>
      </c>
      <c r="G43" s="1319">
        <f>SUM(G41:G42)</f>
        <v>6284</v>
      </c>
      <c r="H43" s="1336">
        <f>SUM(H41:H42)</f>
        <v>6284</v>
      </c>
      <c r="I43" s="1179"/>
      <c r="J43" s="940"/>
      <c r="K43" s="940"/>
      <c r="L43" s="1179"/>
      <c r="M43" s="1179"/>
      <c r="N43" s="910"/>
      <c r="O43" s="910"/>
    </row>
    <row r="44" spans="1:15" ht="15.75" x14ac:dyDescent="0.25">
      <c r="A44" s="1313" t="s">
        <v>256</v>
      </c>
      <c r="B44" s="1247" t="s">
        <v>257</v>
      </c>
      <c r="C44" s="1227"/>
      <c r="D44" s="1226"/>
      <c r="E44" s="1219"/>
      <c r="F44" s="1320">
        <f>F32+F39+F43</f>
        <v>332406</v>
      </c>
      <c r="G44" s="1319">
        <f>G32+G39+G43</f>
        <v>333670</v>
      </c>
      <c r="H44" s="1336">
        <f>H32+H39+H43</f>
        <v>335135</v>
      </c>
      <c r="I44" s="940"/>
      <c r="J44" s="948"/>
      <c r="K44" s="948"/>
      <c r="L44" s="1179"/>
      <c r="M44" s="940"/>
      <c r="N44" s="906"/>
      <c r="O44" s="906"/>
    </row>
    <row r="45" spans="1:15" ht="15.75" x14ac:dyDescent="0.25">
      <c r="A45" s="1311" t="s">
        <v>540</v>
      </c>
      <c r="B45" s="1252" t="s">
        <v>570</v>
      </c>
      <c r="C45" s="1251"/>
      <c r="D45" s="1220"/>
      <c r="E45" s="1250"/>
      <c r="F45" s="1317">
        <v>0</v>
      </c>
      <c r="G45" s="1331">
        <v>12729</v>
      </c>
      <c r="H45" s="1333">
        <v>31843</v>
      </c>
      <c r="I45" s="948"/>
      <c r="J45" s="945"/>
      <c r="K45" s="945"/>
      <c r="L45" s="1178"/>
      <c r="M45" s="948"/>
      <c r="N45" s="906"/>
      <c r="O45" s="906"/>
    </row>
    <row r="46" spans="1:15" ht="15.75" x14ac:dyDescent="0.25">
      <c r="A46" s="1249" t="s">
        <v>258</v>
      </c>
      <c r="B46" s="1214" t="s">
        <v>259</v>
      </c>
      <c r="C46" s="1227"/>
      <c r="D46" s="1226"/>
      <c r="E46" s="1219"/>
      <c r="F46" s="1330"/>
      <c r="G46" s="1318"/>
      <c r="H46" s="1335"/>
      <c r="I46" s="948"/>
      <c r="J46" s="945"/>
      <c r="K46" s="945"/>
      <c r="L46" s="1300"/>
      <c r="M46" s="948"/>
      <c r="N46" s="906"/>
      <c r="O46" s="906"/>
    </row>
    <row r="47" spans="1:15" ht="15.75" x14ac:dyDescent="0.25">
      <c r="A47" s="1225" t="s">
        <v>260</v>
      </c>
      <c r="B47" s="1224" t="s">
        <v>541</v>
      </c>
      <c r="C47" s="1248">
        <v>8.4</v>
      </c>
      <c r="D47" s="1210" t="s">
        <v>261</v>
      </c>
      <c r="E47" s="1219">
        <v>3000000</v>
      </c>
      <c r="F47" s="1321">
        <v>25200</v>
      </c>
      <c r="G47" s="1318">
        <v>25200</v>
      </c>
      <c r="H47" s="1335">
        <v>25200</v>
      </c>
      <c r="I47" s="948"/>
      <c r="J47" s="945"/>
      <c r="K47" s="945"/>
      <c r="L47" s="1300"/>
      <c r="M47" s="948"/>
      <c r="N47" s="906"/>
      <c r="O47" s="906"/>
    </row>
    <row r="48" spans="1:15" ht="15.75" x14ac:dyDescent="0.25">
      <c r="A48" s="1225" t="s">
        <v>262</v>
      </c>
      <c r="B48" s="1224" t="s">
        <v>542</v>
      </c>
      <c r="C48" s="1248">
        <v>4.9000000000000004</v>
      </c>
      <c r="D48" s="1210" t="s">
        <v>261</v>
      </c>
      <c r="E48" s="1219">
        <v>3000000</v>
      </c>
      <c r="F48" s="1223">
        <v>14700</v>
      </c>
      <c r="G48" s="1189">
        <v>14700</v>
      </c>
      <c r="H48" s="1188">
        <v>14700</v>
      </c>
      <c r="I48" s="948"/>
      <c r="J48" s="945"/>
      <c r="K48" s="945"/>
      <c r="L48" s="1300"/>
      <c r="M48" s="948"/>
      <c r="N48" s="906"/>
      <c r="O48" s="906"/>
    </row>
    <row r="49" spans="1:15" ht="15.75" x14ac:dyDescent="0.25">
      <c r="A49" s="1225" t="s">
        <v>263</v>
      </c>
      <c r="B49" s="1224" t="s">
        <v>264</v>
      </c>
      <c r="C49" s="1227">
        <v>65</v>
      </c>
      <c r="D49" s="1226" t="s">
        <v>205</v>
      </c>
      <c r="E49" s="1219">
        <v>55360</v>
      </c>
      <c r="F49" s="1223">
        <v>3958</v>
      </c>
      <c r="G49" s="1189">
        <v>3958</v>
      </c>
      <c r="H49" s="1188">
        <v>3958</v>
      </c>
      <c r="I49" s="948"/>
      <c r="J49" s="945"/>
      <c r="K49" s="945"/>
      <c r="L49" s="1301"/>
      <c r="M49" s="948"/>
      <c r="N49" s="906"/>
      <c r="O49" s="906"/>
    </row>
    <row r="50" spans="1:15" ht="15.75" x14ac:dyDescent="0.25">
      <c r="A50" s="1212" t="s">
        <v>543</v>
      </c>
      <c r="B50" s="1208" t="s">
        <v>922</v>
      </c>
      <c r="C50" s="1227">
        <v>3</v>
      </c>
      <c r="D50" s="1226" t="s">
        <v>544</v>
      </c>
      <c r="E50" s="1219">
        <v>25000</v>
      </c>
      <c r="F50" s="1209">
        <v>75</v>
      </c>
      <c r="G50" s="1189">
        <v>75</v>
      </c>
      <c r="H50" s="1188">
        <v>75</v>
      </c>
      <c r="I50" s="948"/>
      <c r="J50" s="945"/>
      <c r="K50" s="945"/>
      <c r="L50" s="1301"/>
      <c r="M50" s="948"/>
      <c r="N50" s="905"/>
      <c r="O50" s="905"/>
    </row>
    <row r="51" spans="1:15" ht="31.5" x14ac:dyDescent="0.25">
      <c r="A51" s="1212" t="s">
        <v>545</v>
      </c>
      <c r="B51" s="1208" t="s">
        <v>921</v>
      </c>
      <c r="C51" s="1227">
        <v>17</v>
      </c>
      <c r="D51" s="1226" t="s">
        <v>544</v>
      </c>
      <c r="E51" s="1219">
        <v>210000</v>
      </c>
      <c r="F51" s="1209">
        <v>4641</v>
      </c>
      <c r="G51" s="1189">
        <v>4641</v>
      </c>
      <c r="H51" s="1188">
        <v>4641</v>
      </c>
      <c r="I51" s="1300"/>
      <c r="J51" s="945"/>
      <c r="K51" s="945"/>
      <c r="L51" s="1300"/>
      <c r="M51" s="1300"/>
      <c r="N51" s="906"/>
      <c r="O51" s="906"/>
    </row>
    <row r="52" spans="1:15" ht="15.75" x14ac:dyDescent="0.25">
      <c r="A52" s="1225" t="s">
        <v>265</v>
      </c>
      <c r="B52" s="1247" t="s">
        <v>546</v>
      </c>
      <c r="C52" s="1227"/>
      <c r="D52" s="1226"/>
      <c r="E52" s="1219"/>
      <c r="F52" s="1223">
        <f>SUM(F50:F51)</f>
        <v>4716</v>
      </c>
      <c r="G52" s="1246">
        <f>SUM(G50:G51)</f>
        <v>4716</v>
      </c>
      <c r="H52" s="1245">
        <f>SUM(H50:H51)</f>
        <v>4716</v>
      </c>
      <c r="I52" s="948"/>
      <c r="J52" s="948"/>
      <c r="K52" s="948"/>
      <c r="L52" s="1300"/>
      <c r="M52" s="948"/>
      <c r="N52" s="906"/>
      <c r="O52" s="906"/>
    </row>
    <row r="53" spans="1:15" ht="47.25" x14ac:dyDescent="0.25">
      <c r="A53" s="1225" t="s">
        <v>266</v>
      </c>
      <c r="B53" s="1244" t="s">
        <v>547</v>
      </c>
      <c r="C53" s="1227">
        <v>45</v>
      </c>
      <c r="D53" s="1226" t="s">
        <v>205</v>
      </c>
      <c r="E53" s="1219">
        <v>109000</v>
      </c>
      <c r="F53" s="1223">
        <v>8993</v>
      </c>
      <c r="G53" s="1243">
        <v>7358</v>
      </c>
      <c r="H53" s="1188">
        <v>7358</v>
      </c>
      <c r="I53" s="948"/>
      <c r="J53" s="945"/>
      <c r="K53" s="945"/>
      <c r="L53" s="1300"/>
      <c r="M53" s="948"/>
      <c r="N53" s="906"/>
      <c r="O53" s="906"/>
    </row>
    <row r="54" spans="1:15" ht="31.5" x14ac:dyDescent="0.25">
      <c r="A54" s="1225" t="s">
        <v>267</v>
      </c>
      <c r="B54" s="1208" t="s">
        <v>268</v>
      </c>
      <c r="C54" s="1227">
        <v>32</v>
      </c>
      <c r="D54" s="1226" t="s">
        <v>205</v>
      </c>
      <c r="E54" s="1219">
        <v>500000</v>
      </c>
      <c r="F54" s="1223">
        <v>17600</v>
      </c>
      <c r="G54" s="1189">
        <v>17600</v>
      </c>
      <c r="H54" s="1188">
        <v>17600</v>
      </c>
      <c r="I54" s="948"/>
      <c r="J54" s="945"/>
      <c r="K54" s="945"/>
      <c r="L54" s="1300"/>
      <c r="M54" s="948"/>
      <c r="N54" s="906"/>
      <c r="O54" s="906"/>
    </row>
    <row r="55" spans="1:15" ht="31.5" x14ac:dyDescent="0.25">
      <c r="A55" s="1225" t="s">
        <v>269</v>
      </c>
      <c r="B55" s="1208" t="s">
        <v>270</v>
      </c>
      <c r="C55" s="1227">
        <v>35</v>
      </c>
      <c r="D55" s="1226" t="s">
        <v>205</v>
      </c>
      <c r="E55" s="1219">
        <v>206100</v>
      </c>
      <c r="F55" s="1223">
        <v>8656</v>
      </c>
      <c r="G55" s="1189">
        <v>8656</v>
      </c>
      <c r="H55" s="1188">
        <v>8656</v>
      </c>
      <c r="I55" s="948"/>
      <c r="J55" s="945"/>
      <c r="K55" s="945"/>
      <c r="L55" s="1179"/>
      <c r="M55" s="948"/>
      <c r="N55" s="906"/>
      <c r="O55" s="906"/>
    </row>
    <row r="56" spans="1:15" ht="15.75" x14ac:dyDescent="0.25">
      <c r="A56" s="1229" t="s">
        <v>271</v>
      </c>
      <c r="B56" s="1222" t="s">
        <v>272</v>
      </c>
      <c r="C56" s="1218"/>
      <c r="D56" s="1226"/>
      <c r="E56" s="1219"/>
      <c r="F56" s="1215"/>
      <c r="G56" s="1189"/>
      <c r="H56" s="1188"/>
      <c r="I56" s="948"/>
      <c r="J56" s="945"/>
      <c r="K56" s="948"/>
      <c r="L56" s="1178"/>
      <c r="M56" s="948"/>
      <c r="N56" s="906"/>
      <c r="O56" s="906"/>
    </row>
    <row r="57" spans="1:15" ht="15.75" x14ac:dyDescent="0.25">
      <c r="A57" s="1212" t="s">
        <v>273</v>
      </c>
      <c r="B57" s="1208" t="s">
        <v>274</v>
      </c>
      <c r="C57" s="1227">
        <v>72</v>
      </c>
      <c r="D57" s="1226" t="s">
        <v>205</v>
      </c>
      <c r="E57" s="1219">
        <v>494100</v>
      </c>
      <c r="F57" s="1232">
        <v>36563</v>
      </c>
      <c r="G57" s="1189">
        <v>36563</v>
      </c>
      <c r="H57" s="1188">
        <v>35575</v>
      </c>
      <c r="I57" s="948"/>
      <c r="J57" s="945"/>
      <c r="K57" s="945"/>
      <c r="L57" s="1178"/>
      <c r="M57" s="948"/>
      <c r="N57" s="906"/>
      <c r="O57" s="906"/>
    </row>
    <row r="58" spans="1:15" ht="31.5" x14ac:dyDescent="0.25">
      <c r="A58" s="1212" t="s">
        <v>273</v>
      </c>
      <c r="B58" s="1208" t="s">
        <v>275</v>
      </c>
      <c r="C58" s="1227">
        <v>0</v>
      </c>
      <c r="D58" s="1226" t="s">
        <v>205</v>
      </c>
      <c r="E58" s="1219">
        <v>494100</v>
      </c>
      <c r="F58" s="1232">
        <v>0</v>
      </c>
      <c r="G58" s="1189">
        <v>0</v>
      </c>
      <c r="H58" s="1188">
        <v>0</v>
      </c>
      <c r="I58" s="948"/>
      <c r="J58" s="945"/>
      <c r="K58" s="945"/>
      <c r="L58" s="1178"/>
      <c r="M58" s="948"/>
      <c r="N58" s="906"/>
      <c r="O58" s="906"/>
    </row>
    <row r="59" spans="1:15" ht="31.5" x14ac:dyDescent="0.25">
      <c r="A59" s="1212" t="s">
        <v>273</v>
      </c>
      <c r="B59" s="1208" t="s">
        <v>276</v>
      </c>
      <c r="C59" s="1227">
        <v>0</v>
      </c>
      <c r="D59" s="1226" t="s">
        <v>205</v>
      </c>
      <c r="E59" s="1219">
        <v>494100</v>
      </c>
      <c r="F59" s="1232">
        <v>0</v>
      </c>
      <c r="G59" s="1189">
        <v>0</v>
      </c>
      <c r="H59" s="1188">
        <v>0</v>
      </c>
      <c r="I59" s="948"/>
      <c r="J59" s="945"/>
      <c r="K59" s="945"/>
      <c r="L59" s="1178"/>
      <c r="M59" s="948"/>
      <c r="N59" s="908"/>
      <c r="O59" s="908"/>
    </row>
    <row r="60" spans="1:15" ht="15.75" x14ac:dyDescent="0.25">
      <c r="A60" s="1212" t="s">
        <v>273</v>
      </c>
      <c r="B60" s="1214" t="s">
        <v>277</v>
      </c>
      <c r="C60" s="1227">
        <v>4</v>
      </c>
      <c r="D60" s="1226" t="s">
        <v>205</v>
      </c>
      <c r="E60" s="1219">
        <v>494100</v>
      </c>
      <c r="F60" s="1232">
        <v>2965</v>
      </c>
      <c r="G60" s="1189">
        <v>2965</v>
      </c>
      <c r="H60" s="1188">
        <v>2965</v>
      </c>
      <c r="I60" s="1179"/>
      <c r="J60" s="945"/>
      <c r="K60" s="945"/>
      <c r="L60" s="1179"/>
      <c r="M60" s="1179"/>
      <c r="N60" s="906"/>
      <c r="O60" s="906"/>
    </row>
    <row r="61" spans="1:15" ht="15.75" x14ac:dyDescent="0.25">
      <c r="A61" s="1229" t="s">
        <v>271</v>
      </c>
      <c r="B61" s="1222" t="s">
        <v>278</v>
      </c>
      <c r="C61" s="1227"/>
      <c r="D61" s="1226"/>
      <c r="E61" s="1219"/>
      <c r="F61" s="1215">
        <f>SUM(F57:F60)</f>
        <v>39528</v>
      </c>
      <c r="G61" s="1234">
        <f>SUM(G57:G60)</f>
        <v>39528</v>
      </c>
      <c r="H61" s="1233">
        <f>SUM(H57:H60)</f>
        <v>38540</v>
      </c>
      <c r="I61" s="948"/>
      <c r="J61" s="945"/>
      <c r="K61" s="945"/>
      <c r="L61" s="1300"/>
      <c r="M61" s="948"/>
      <c r="N61" s="906"/>
      <c r="O61" s="906"/>
    </row>
    <row r="62" spans="1:15" ht="15.75" x14ac:dyDescent="0.25">
      <c r="A62" s="1225" t="s">
        <v>279</v>
      </c>
      <c r="B62" s="1208" t="s">
        <v>548</v>
      </c>
      <c r="C62" s="1227">
        <v>32</v>
      </c>
      <c r="D62" s="1226" t="s">
        <v>280</v>
      </c>
      <c r="E62" s="1219">
        <f>468350*110%</f>
        <v>515185.00000000006</v>
      </c>
      <c r="F62" s="1223">
        <v>16486</v>
      </c>
      <c r="G62" s="1189">
        <v>16486</v>
      </c>
      <c r="H62" s="1188">
        <v>16486</v>
      </c>
      <c r="I62" s="948"/>
      <c r="J62" s="945"/>
      <c r="K62" s="945"/>
      <c r="L62" s="1300"/>
      <c r="M62" s="948"/>
      <c r="N62" s="906"/>
      <c r="O62" s="906"/>
    </row>
    <row r="63" spans="1:15" ht="15.75" x14ac:dyDescent="0.25">
      <c r="A63" s="1225" t="s">
        <v>549</v>
      </c>
      <c r="B63" s="1208" t="s">
        <v>550</v>
      </c>
      <c r="C63" s="1227">
        <v>1</v>
      </c>
      <c r="D63" s="1242" t="s">
        <v>311</v>
      </c>
      <c r="E63" s="1219">
        <v>3000000</v>
      </c>
      <c r="F63" s="1223">
        <v>3000</v>
      </c>
      <c r="G63" s="1189">
        <v>3000</v>
      </c>
      <c r="H63" s="1188">
        <v>3000</v>
      </c>
      <c r="I63" s="948"/>
      <c r="J63" s="945"/>
      <c r="K63" s="945"/>
      <c r="L63" s="1300"/>
      <c r="M63" s="948"/>
      <c r="N63" s="906"/>
      <c r="O63" s="906"/>
    </row>
    <row r="64" spans="1:15" ht="15.75" x14ac:dyDescent="0.25">
      <c r="A64" s="1225"/>
      <c r="B64" s="1208" t="s">
        <v>551</v>
      </c>
      <c r="C64" s="1227">
        <v>2884</v>
      </c>
      <c r="D64" s="1242" t="s">
        <v>552</v>
      </c>
      <c r="E64" s="1219">
        <v>1800</v>
      </c>
      <c r="F64" s="1223">
        <v>5191</v>
      </c>
      <c r="G64" s="1189">
        <v>5191</v>
      </c>
      <c r="H64" s="1188">
        <v>5191</v>
      </c>
      <c r="I64" s="948"/>
      <c r="J64" s="945"/>
      <c r="K64" s="945"/>
      <c r="L64" s="1300"/>
      <c r="M64" s="948"/>
      <c r="N64" s="906"/>
      <c r="O64" s="906"/>
    </row>
    <row r="65" spans="1:15" ht="15.75" x14ac:dyDescent="0.25">
      <c r="A65" s="1225"/>
      <c r="B65" s="1208" t="s">
        <v>553</v>
      </c>
      <c r="C65" s="1227">
        <v>2485</v>
      </c>
      <c r="D65" s="1242" t="s">
        <v>552</v>
      </c>
      <c r="E65" s="1219">
        <v>1800</v>
      </c>
      <c r="F65" s="1223">
        <v>4473</v>
      </c>
      <c r="G65" s="1189">
        <v>4473</v>
      </c>
      <c r="H65" s="1188">
        <v>4473</v>
      </c>
      <c r="I65" s="948"/>
      <c r="J65" s="945"/>
      <c r="K65" s="945"/>
      <c r="L65" s="1300"/>
      <c r="M65" s="948"/>
      <c r="N65" s="906"/>
      <c r="O65" s="906"/>
    </row>
    <row r="66" spans="1:15" ht="15.75" x14ac:dyDescent="0.25">
      <c r="A66" s="1225" t="s">
        <v>554</v>
      </c>
      <c r="B66" s="1208" t="s">
        <v>555</v>
      </c>
      <c r="C66" s="1227">
        <v>1</v>
      </c>
      <c r="D66" s="1242" t="s">
        <v>311</v>
      </c>
      <c r="E66" s="1219">
        <v>2000000</v>
      </c>
      <c r="F66" s="1223">
        <v>2000</v>
      </c>
      <c r="G66" s="1189">
        <v>2000</v>
      </c>
      <c r="H66" s="1188">
        <v>2000</v>
      </c>
      <c r="I66" s="948"/>
      <c r="J66" s="945"/>
      <c r="K66" s="945"/>
      <c r="L66" s="1300"/>
      <c r="M66" s="948"/>
      <c r="N66" s="908"/>
      <c r="O66" s="908"/>
    </row>
    <row r="67" spans="1:15" ht="15.75" x14ac:dyDescent="0.25">
      <c r="A67" s="1225"/>
      <c r="B67" s="1208" t="s">
        <v>556</v>
      </c>
      <c r="C67" s="1227">
        <v>40</v>
      </c>
      <c r="D67" s="1242" t="s">
        <v>552</v>
      </c>
      <c r="E67" s="1219">
        <v>150000</v>
      </c>
      <c r="F67" s="1223">
        <v>6000</v>
      </c>
      <c r="G67" s="1189">
        <v>6000</v>
      </c>
      <c r="H67" s="1188">
        <v>6000</v>
      </c>
      <c r="I67" s="1179"/>
      <c r="J67" s="1302"/>
      <c r="K67" s="1302"/>
      <c r="L67" s="1179"/>
      <c r="M67" s="1179"/>
      <c r="N67" s="906"/>
      <c r="O67" s="906"/>
    </row>
    <row r="68" spans="1:15" ht="15.75" x14ac:dyDescent="0.25">
      <c r="A68" s="1229" t="s">
        <v>258</v>
      </c>
      <c r="B68" s="1222" t="s">
        <v>281</v>
      </c>
      <c r="C68" s="1227"/>
      <c r="D68" s="1226"/>
      <c r="E68" s="1219"/>
      <c r="F68" s="1215">
        <f>F47+F48+F49+F52+F53+F54+F55+F61+F62+F63+F64+F65+F66+F67</f>
        <v>160501</v>
      </c>
      <c r="G68" s="1234">
        <f>G47+G48+G49+G52+G53+G54+G55+G61+G62+G63+G64+G65+G66+G67</f>
        <v>158866</v>
      </c>
      <c r="H68" s="1233">
        <f>H47+H48+H49+H52+H53+H54+H55+H61+H62+H63+H64+H65+H66+H67</f>
        <v>157878</v>
      </c>
      <c r="I68" s="948"/>
      <c r="J68" s="945"/>
      <c r="K68" s="945"/>
      <c r="L68" s="1178"/>
      <c r="M68" s="948"/>
      <c r="N68" s="906"/>
      <c r="O68" s="906"/>
    </row>
    <row r="69" spans="1:15" ht="15.75" x14ac:dyDescent="0.25">
      <c r="A69" s="1241" t="s">
        <v>282</v>
      </c>
      <c r="B69" s="1239" t="s">
        <v>283</v>
      </c>
      <c r="C69" s="1238">
        <v>42</v>
      </c>
      <c r="D69" s="1226" t="s">
        <v>205</v>
      </c>
      <c r="E69" s="1219">
        <v>2606040</v>
      </c>
      <c r="F69" s="1232">
        <v>109454</v>
      </c>
      <c r="G69" s="1189">
        <v>109454</v>
      </c>
      <c r="H69" s="1188">
        <v>109454</v>
      </c>
      <c r="I69" s="948"/>
      <c r="J69" s="948"/>
      <c r="K69" s="948"/>
      <c r="L69" s="1178"/>
      <c r="M69" s="948"/>
      <c r="N69" s="910"/>
      <c r="O69" s="910"/>
    </row>
    <row r="70" spans="1:15" ht="15.75" x14ac:dyDescent="0.25">
      <c r="A70" s="1241" t="s">
        <v>282</v>
      </c>
      <c r="B70" s="1239" t="s">
        <v>284</v>
      </c>
      <c r="C70" s="1240"/>
      <c r="D70" s="1226"/>
      <c r="E70" s="1237"/>
      <c r="F70" s="1232">
        <v>47361</v>
      </c>
      <c r="G70" s="1189">
        <v>52149</v>
      </c>
      <c r="H70" s="1188">
        <f>52149-6342</f>
        <v>45807</v>
      </c>
      <c r="I70" s="940"/>
      <c r="J70" s="1303"/>
      <c r="K70" s="1303"/>
      <c r="L70" s="1179"/>
      <c r="M70" s="940"/>
      <c r="N70" s="906"/>
      <c r="O70" s="906"/>
    </row>
    <row r="71" spans="1:15" ht="15.75" x14ac:dyDescent="0.25">
      <c r="A71" s="1229" t="s">
        <v>285</v>
      </c>
      <c r="B71" s="1239" t="s">
        <v>286</v>
      </c>
      <c r="C71" s="1238"/>
      <c r="D71" s="1226"/>
      <c r="E71" s="1237"/>
      <c r="F71" s="1215">
        <f>SUM(F69:F70)</f>
        <v>156815</v>
      </c>
      <c r="G71" s="1234">
        <f>SUM(G69:G70)</f>
        <v>161603</v>
      </c>
      <c r="H71" s="1233">
        <f>SUM(H69:H70)</f>
        <v>155261</v>
      </c>
      <c r="I71" s="948"/>
      <c r="J71" s="945"/>
      <c r="K71" s="945"/>
      <c r="L71" s="1300"/>
      <c r="M71" s="948"/>
      <c r="N71" s="906"/>
      <c r="O71" s="906"/>
    </row>
    <row r="72" spans="1:15" ht="15.75" x14ac:dyDescent="0.25">
      <c r="A72" s="1225" t="s">
        <v>287</v>
      </c>
      <c r="B72" s="1236" t="s">
        <v>288</v>
      </c>
      <c r="C72" s="1227"/>
      <c r="D72" s="1226"/>
      <c r="E72" s="1219"/>
      <c r="F72" s="1223"/>
      <c r="G72" s="1189"/>
      <c r="H72" s="1188"/>
      <c r="I72" s="948"/>
      <c r="J72" s="948"/>
      <c r="K72" s="948"/>
      <c r="L72" s="1178"/>
      <c r="M72" s="948"/>
      <c r="N72" s="906"/>
      <c r="O72" s="906"/>
    </row>
    <row r="73" spans="1:15" ht="15.75" x14ac:dyDescent="0.25">
      <c r="A73" s="1212" t="s">
        <v>289</v>
      </c>
      <c r="B73" s="1208" t="s">
        <v>323</v>
      </c>
      <c r="C73" s="1227">
        <v>37.630000000000003</v>
      </c>
      <c r="D73" s="1226" t="s">
        <v>290</v>
      </c>
      <c r="E73" s="1219">
        <v>1632000</v>
      </c>
      <c r="F73" s="1232">
        <v>59193</v>
      </c>
      <c r="G73" s="1189">
        <v>61412</v>
      </c>
      <c r="H73" s="1188">
        <v>61412</v>
      </c>
      <c r="I73" s="948"/>
      <c r="J73" s="948"/>
      <c r="K73" s="948"/>
      <c r="L73" s="1178"/>
      <c r="M73" s="948"/>
      <c r="N73" s="908"/>
      <c r="O73" s="908"/>
    </row>
    <row r="74" spans="1:15" ht="15.75" x14ac:dyDescent="0.25">
      <c r="A74" s="1212" t="s">
        <v>291</v>
      </c>
      <c r="B74" s="1224" t="s">
        <v>324</v>
      </c>
      <c r="C74" s="1235"/>
      <c r="D74" s="1226"/>
      <c r="E74" s="1219"/>
      <c r="F74" s="1232">
        <v>55253</v>
      </c>
      <c r="G74" s="1189">
        <v>62712</v>
      </c>
      <c r="H74" s="1188">
        <v>62712</v>
      </c>
      <c r="I74" s="1179"/>
      <c r="J74" s="1302"/>
      <c r="K74" s="1302"/>
      <c r="L74" s="1179"/>
      <c r="M74" s="1179"/>
      <c r="N74" s="906"/>
      <c r="O74" s="906"/>
    </row>
    <row r="75" spans="1:15" ht="15.75" x14ac:dyDescent="0.25">
      <c r="A75" s="1229" t="s">
        <v>287</v>
      </c>
      <c r="B75" s="1222" t="s">
        <v>292</v>
      </c>
      <c r="C75" s="1235"/>
      <c r="D75" s="1226"/>
      <c r="E75" s="1219"/>
      <c r="F75" s="1215">
        <f>SUM(F73:F74)</f>
        <v>114446</v>
      </c>
      <c r="G75" s="1234">
        <f>SUM(G73:G74)</f>
        <v>124124</v>
      </c>
      <c r="H75" s="1233">
        <f>SUM(H73:H74)</f>
        <v>124124</v>
      </c>
      <c r="I75" s="948"/>
      <c r="J75" s="1302"/>
      <c r="K75" s="948"/>
      <c r="L75" s="1178"/>
      <c r="M75" s="948"/>
      <c r="N75" s="906"/>
      <c r="O75" s="906"/>
    </row>
    <row r="76" spans="1:15" ht="15.75" x14ac:dyDescent="0.25">
      <c r="A76" s="1229" t="s">
        <v>293</v>
      </c>
      <c r="B76" s="1224" t="s">
        <v>557</v>
      </c>
      <c r="C76" s="1219">
        <v>1772</v>
      </c>
      <c r="D76" s="1226" t="s">
        <v>205</v>
      </c>
      <c r="E76" s="1219">
        <v>285</v>
      </c>
      <c r="F76" s="1232">
        <v>449</v>
      </c>
      <c r="G76" s="1189">
        <v>505</v>
      </c>
      <c r="H76" s="1188">
        <v>505</v>
      </c>
      <c r="I76" s="948"/>
      <c r="J76" s="945"/>
      <c r="K76" s="948"/>
      <c r="L76" s="1179"/>
      <c r="M76" s="948"/>
      <c r="N76" s="909"/>
      <c r="O76" s="909"/>
    </row>
    <row r="77" spans="1:15" ht="31.5" x14ac:dyDescent="0.25">
      <c r="A77" s="1311" t="s">
        <v>294</v>
      </c>
      <c r="B77" s="1230" t="s">
        <v>295</v>
      </c>
      <c r="C77" s="1231">
        <v>3.8</v>
      </c>
      <c r="D77" s="1220" t="s">
        <v>205</v>
      </c>
      <c r="E77" s="1219">
        <v>1508760</v>
      </c>
      <c r="F77" s="1317">
        <v>4526</v>
      </c>
      <c r="G77" s="1318">
        <v>4526</v>
      </c>
      <c r="H77" s="1335">
        <v>5733</v>
      </c>
      <c r="I77" s="1179"/>
      <c r="J77" s="940"/>
      <c r="K77" s="940"/>
      <c r="L77" s="1179"/>
      <c r="M77" s="1179"/>
      <c r="N77" s="906"/>
      <c r="O77" s="906"/>
    </row>
    <row r="78" spans="1:15" ht="31.5" x14ac:dyDescent="0.25">
      <c r="A78" s="1312" t="s">
        <v>296</v>
      </c>
      <c r="B78" s="1230" t="s">
        <v>297</v>
      </c>
      <c r="C78" s="1221"/>
      <c r="D78" s="1220"/>
      <c r="E78" s="1255"/>
      <c r="F78" s="1329">
        <f>F68+F71+F75+F76+F45+F77</f>
        <v>436737</v>
      </c>
      <c r="G78" s="1319">
        <f>G45+G68+G71+G75+G76+G77</f>
        <v>462353</v>
      </c>
      <c r="H78" s="1336">
        <f>H45+H68+H71+H75+H76+H77</f>
        <v>475344</v>
      </c>
      <c r="I78" s="948"/>
      <c r="J78" s="945"/>
      <c r="K78" s="945"/>
      <c r="L78" s="1179"/>
      <c r="M78" s="948"/>
      <c r="N78" s="906"/>
      <c r="O78" s="906"/>
    </row>
    <row r="79" spans="1:15" ht="15.75" x14ac:dyDescent="0.25">
      <c r="A79" s="1313" t="s">
        <v>298</v>
      </c>
      <c r="B79" s="1228" t="s">
        <v>299</v>
      </c>
      <c r="C79" s="1227"/>
      <c r="D79" s="1226"/>
      <c r="E79" s="1219"/>
      <c r="F79" s="1320"/>
      <c r="G79" s="1318"/>
      <c r="H79" s="1335"/>
      <c r="I79" s="948"/>
      <c r="J79" s="945"/>
      <c r="K79" s="945"/>
      <c r="L79" s="1300"/>
      <c r="M79" s="948"/>
      <c r="N79" s="906"/>
      <c r="O79" s="906"/>
    </row>
    <row r="80" spans="1:15" ht="15.75" x14ac:dyDescent="0.25">
      <c r="A80" s="1314" t="s">
        <v>300</v>
      </c>
      <c r="B80" s="1208" t="s">
        <v>558</v>
      </c>
      <c r="C80" s="1227"/>
      <c r="D80" s="1226"/>
      <c r="E80" s="1219" t="s">
        <v>559</v>
      </c>
      <c r="F80" s="1321">
        <v>97200</v>
      </c>
      <c r="G80" s="1318">
        <v>97200</v>
      </c>
      <c r="H80" s="1335">
        <v>97200</v>
      </c>
      <c r="I80" s="948"/>
      <c r="J80" s="945"/>
      <c r="K80" s="945"/>
      <c r="L80" s="1300"/>
      <c r="M80" s="948"/>
      <c r="N80" s="906"/>
      <c r="O80" s="906"/>
    </row>
    <row r="81" spans="1:15" ht="15.75" x14ac:dyDescent="0.25">
      <c r="A81" s="1314" t="s">
        <v>301</v>
      </c>
      <c r="B81" s="1224" t="s">
        <v>302</v>
      </c>
      <c r="C81" s="1219">
        <v>23458</v>
      </c>
      <c r="D81" s="1226" t="s">
        <v>205</v>
      </c>
      <c r="E81" s="1219">
        <v>1140</v>
      </c>
      <c r="F81" s="1321">
        <v>26742</v>
      </c>
      <c r="G81" s="1318">
        <v>26742</v>
      </c>
      <c r="H81" s="1335">
        <v>26742</v>
      </c>
      <c r="I81" s="948"/>
      <c r="J81" s="948"/>
      <c r="K81" s="948"/>
      <c r="L81" s="1300"/>
      <c r="M81" s="948"/>
      <c r="N81" s="909"/>
      <c r="O81" s="909"/>
    </row>
    <row r="82" spans="1:15" ht="15.75" x14ac:dyDescent="0.25">
      <c r="A82" s="1314" t="s">
        <v>303</v>
      </c>
      <c r="B82" s="1224" t="s">
        <v>560</v>
      </c>
      <c r="C82" s="1479"/>
      <c r="D82" s="1480"/>
      <c r="E82" s="1481"/>
      <c r="F82" s="1321">
        <v>749</v>
      </c>
      <c r="G82" s="1318">
        <v>0</v>
      </c>
      <c r="H82" s="1335">
        <v>854</v>
      </c>
      <c r="I82" s="1179"/>
      <c r="J82" s="1304"/>
      <c r="K82" s="1304"/>
      <c r="L82" s="1179"/>
      <c r="M82" s="1179"/>
      <c r="N82" s="906"/>
      <c r="O82" s="906"/>
    </row>
    <row r="83" spans="1:15" ht="15.75" x14ac:dyDescent="0.25">
      <c r="A83" s="1312" t="s">
        <v>304</v>
      </c>
      <c r="B83" s="1222" t="s">
        <v>305</v>
      </c>
      <c r="C83" s="1221"/>
      <c r="D83" s="1220"/>
      <c r="E83" s="1219"/>
      <c r="F83" s="1320">
        <f>SUM(F80:F82)</f>
        <v>124691</v>
      </c>
      <c r="G83" s="1319">
        <f>SUM(G80:G82)</f>
        <v>123942</v>
      </c>
      <c r="H83" s="1336">
        <f>SUM(H80:H82)</f>
        <v>124796</v>
      </c>
      <c r="I83" s="948"/>
      <c r="J83" s="945"/>
      <c r="K83" s="945"/>
      <c r="L83" s="1179"/>
      <c r="M83" s="948"/>
      <c r="N83" s="906"/>
      <c r="O83" s="906"/>
    </row>
    <row r="84" spans="1:15" ht="15.75" x14ac:dyDescent="0.25">
      <c r="A84" s="1315" t="s">
        <v>306</v>
      </c>
      <c r="B84" s="1214" t="s">
        <v>307</v>
      </c>
      <c r="C84" s="1218"/>
      <c r="D84" s="1217"/>
      <c r="E84" s="1216"/>
      <c r="F84" s="1320"/>
      <c r="G84" s="1318"/>
      <c r="H84" s="1335"/>
      <c r="I84" s="948"/>
      <c r="J84" s="945"/>
      <c r="K84" s="945"/>
      <c r="L84" s="1301"/>
      <c r="M84" s="948"/>
      <c r="N84" s="906"/>
      <c r="O84" s="906"/>
    </row>
    <row r="85" spans="1:15" ht="15.75" x14ac:dyDescent="0.25">
      <c r="A85" s="1316"/>
      <c r="B85" s="1214" t="s">
        <v>920</v>
      </c>
      <c r="C85" s="1213">
        <v>71759763485</v>
      </c>
      <c r="D85" s="1206" t="s">
        <v>228</v>
      </c>
      <c r="E85" s="1205" t="s">
        <v>308</v>
      </c>
      <c r="F85" s="1322"/>
      <c r="G85" s="1318"/>
      <c r="H85" s="1335"/>
      <c r="I85" s="948"/>
      <c r="J85" s="945"/>
      <c r="K85" s="945"/>
      <c r="L85" s="1301"/>
      <c r="M85" s="948"/>
      <c r="N85" s="909"/>
      <c r="O85" s="909"/>
    </row>
    <row r="86" spans="1:15" ht="25.5" x14ac:dyDescent="0.25">
      <c r="A86" s="1316"/>
      <c r="B86" s="1211" t="s">
        <v>919</v>
      </c>
      <c r="C86" s="1207">
        <f>C85*0.55</f>
        <v>39467869916.75</v>
      </c>
      <c r="D86" s="1210" t="s">
        <v>309</v>
      </c>
      <c r="E86" s="1205" t="s">
        <v>561</v>
      </c>
      <c r="F86" s="1322"/>
      <c r="G86" s="1318"/>
      <c r="H86" s="1335"/>
      <c r="I86" s="1179"/>
      <c r="J86" s="940"/>
      <c r="K86" s="940"/>
      <c r="L86" s="1179"/>
      <c r="M86" s="1179"/>
      <c r="N86" s="910"/>
      <c r="O86" s="910"/>
    </row>
    <row r="87" spans="1:15" ht="31.5" x14ac:dyDescent="0.25">
      <c r="A87" s="1312" t="s">
        <v>310</v>
      </c>
      <c r="B87" s="1208" t="s">
        <v>918</v>
      </c>
      <c r="C87" s="1207"/>
      <c r="D87" s="1206"/>
      <c r="E87" s="1205"/>
      <c r="F87" s="1320">
        <v>-393692</v>
      </c>
      <c r="G87" s="1319">
        <v>-374945</v>
      </c>
      <c r="H87" s="1336">
        <v>-374945</v>
      </c>
      <c r="I87" s="940"/>
      <c r="J87" s="940"/>
      <c r="K87" s="940"/>
      <c r="L87" s="940"/>
      <c r="M87" s="940"/>
      <c r="N87" s="906"/>
      <c r="O87" s="906"/>
    </row>
    <row r="88" spans="1:15" ht="16.5" thickBot="1" x14ac:dyDescent="0.3">
      <c r="A88" s="1204"/>
      <c r="B88" s="1203" t="s">
        <v>562</v>
      </c>
      <c r="C88" s="1202"/>
      <c r="D88" s="1201"/>
      <c r="E88" s="1200"/>
      <c r="F88" s="1323">
        <f>F22+F44+F78+F83+F87</f>
        <v>1039636</v>
      </c>
      <c r="G88" s="1310">
        <f>G22+G44+G78+G83+G87</f>
        <v>1081575</v>
      </c>
      <c r="H88" s="1337">
        <f>H22+H44+H78+H83+H87</f>
        <v>1096815</v>
      </c>
      <c r="I88" s="948"/>
      <c r="J88" s="948"/>
      <c r="K88" s="948"/>
      <c r="L88" s="945"/>
      <c r="M88" s="948"/>
      <c r="N88" s="906"/>
      <c r="O88" s="906"/>
    </row>
    <row r="89" spans="1:15" ht="16.5" thickTop="1" x14ac:dyDescent="0.25">
      <c r="A89" s="1199"/>
      <c r="B89" s="1198" t="s">
        <v>563</v>
      </c>
      <c r="C89" s="1197"/>
      <c r="D89" s="1196"/>
      <c r="E89" s="1195"/>
      <c r="F89" s="1324">
        <v>-64946</v>
      </c>
      <c r="G89" s="1325">
        <v>0</v>
      </c>
      <c r="H89" s="1338">
        <v>0</v>
      </c>
      <c r="I89" s="948"/>
      <c r="J89" s="948"/>
      <c r="K89" s="948"/>
      <c r="L89" s="1178"/>
      <c r="M89" s="948"/>
      <c r="N89" s="906"/>
      <c r="O89" s="906"/>
    </row>
    <row r="90" spans="1:15" ht="15.75" x14ac:dyDescent="0.25">
      <c r="A90" s="1187"/>
      <c r="B90" s="1194" t="s">
        <v>917</v>
      </c>
      <c r="C90" s="1193"/>
      <c r="D90" s="1192"/>
      <c r="E90" s="1191"/>
      <c r="F90" s="1326">
        <v>0</v>
      </c>
      <c r="G90" s="1327">
        <v>0</v>
      </c>
      <c r="H90" s="1339">
        <v>2170</v>
      </c>
      <c r="I90" s="948"/>
      <c r="J90" s="948"/>
      <c r="K90" s="948"/>
      <c r="L90" s="1178"/>
      <c r="M90" s="948"/>
      <c r="N90" s="906"/>
      <c r="O90" s="906"/>
    </row>
    <row r="91" spans="1:15" ht="15.75" x14ac:dyDescent="0.25">
      <c r="A91" s="1187"/>
      <c r="B91" s="1494" t="s">
        <v>571</v>
      </c>
      <c r="C91" s="1495"/>
      <c r="D91" s="1495"/>
      <c r="E91" s="1495"/>
      <c r="F91" s="1328">
        <v>0</v>
      </c>
      <c r="G91" s="1318">
        <v>2530</v>
      </c>
      <c r="H91" s="1335">
        <v>6199</v>
      </c>
      <c r="I91" s="948"/>
      <c r="J91" s="948"/>
      <c r="K91" s="948"/>
      <c r="L91" s="1178"/>
      <c r="M91" s="948"/>
      <c r="N91" s="910"/>
      <c r="O91" s="910"/>
    </row>
    <row r="92" spans="1:15" ht="15.75" x14ac:dyDescent="0.25">
      <c r="A92" s="1187"/>
      <c r="B92" s="1496" t="s">
        <v>572</v>
      </c>
      <c r="C92" s="1497"/>
      <c r="D92" s="1497"/>
      <c r="E92" s="1497"/>
      <c r="F92" s="1328"/>
      <c r="G92" s="1318">
        <v>1937</v>
      </c>
      <c r="H92" s="1335">
        <v>5960</v>
      </c>
      <c r="I92" s="948"/>
      <c r="J92" s="948"/>
      <c r="K92" s="948"/>
      <c r="L92" s="1178"/>
      <c r="M92" s="948"/>
    </row>
    <row r="93" spans="1:15" ht="15.75" x14ac:dyDescent="0.25">
      <c r="A93" s="1187"/>
      <c r="B93" s="1496" t="s">
        <v>573</v>
      </c>
      <c r="C93" s="1497"/>
      <c r="D93" s="1497"/>
      <c r="E93" s="1497"/>
      <c r="F93" s="1190"/>
      <c r="G93" s="1189">
        <v>1947</v>
      </c>
      <c r="H93" s="1188">
        <v>5876</v>
      </c>
      <c r="I93" s="940"/>
      <c r="J93" s="948"/>
      <c r="K93" s="940"/>
      <c r="L93" s="940"/>
      <c r="M93" s="940"/>
    </row>
    <row r="94" spans="1:15" ht="28.5" customHeight="1" x14ac:dyDescent="0.25">
      <c r="A94" s="1187"/>
      <c r="B94" s="1498" t="s">
        <v>850</v>
      </c>
      <c r="C94" s="1499"/>
      <c r="D94" s="1499"/>
      <c r="E94" s="1499"/>
      <c r="F94" s="1186"/>
      <c r="G94" s="1185"/>
      <c r="H94" s="1184">
        <v>7280</v>
      </c>
      <c r="I94" s="948"/>
      <c r="J94" s="945"/>
      <c r="K94" s="945"/>
      <c r="L94" s="945"/>
      <c r="M94" s="948"/>
    </row>
    <row r="95" spans="1:15" ht="16.5" thickBot="1" x14ac:dyDescent="0.3">
      <c r="A95" s="1183"/>
      <c r="B95" s="1305" t="s">
        <v>916</v>
      </c>
      <c r="C95" s="1306"/>
      <c r="D95" s="1307"/>
      <c r="E95" s="1308"/>
      <c r="F95" s="1309">
        <f>SUM(F88:F89)</f>
        <v>974690</v>
      </c>
      <c r="G95" s="1310">
        <f>SUM(G88:G94)</f>
        <v>1087989</v>
      </c>
      <c r="H95" s="1337">
        <f>SUM(H88:H94)</f>
        <v>1124300</v>
      </c>
      <c r="I95" s="948"/>
      <c r="J95" s="945"/>
      <c r="K95" s="945"/>
      <c r="L95" s="945"/>
      <c r="M95" s="948"/>
    </row>
    <row r="96" spans="1:15" ht="15.75" thickTop="1" x14ac:dyDescent="0.25">
      <c r="A96" s="939"/>
      <c r="B96" s="941"/>
      <c r="C96" s="949"/>
      <c r="D96" s="942"/>
      <c r="E96" s="943"/>
      <c r="F96" s="1493"/>
      <c r="G96" s="1493"/>
      <c r="H96" s="949"/>
      <c r="I96" s="948"/>
      <c r="J96" s="945"/>
      <c r="K96" s="945"/>
      <c r="L96" s="950"/>
      <c r="M96" s="948"/>
    </row>
    <row r="97" spans="1:13" ht="15" x14ac:dyDescent="0.25">
      <c r="A97" s="945"/>
      <c r="B97" s="946"/>
      <c r="C97" s="950"/>
      <c r="D97" s="947"/>
      <c r="E97" s="940"/>
      <c r="F97" s="945"/>
      <c r="G97" s="945"/>
      <c r="H97" s="945"/>
      <c r="I97" s="945"/>
      <c r="J97" s="945"/>
      <c r="K97" s="945"/>
      <c r="L97" s="945"/>
      <c r="M97" s="945"/>
    </row>
    <row r="98" spans="1:13" ht="15" x14ac:dyDescent="0.25">
      <c r="A98" s="945"/>
      <c r="B98" s="946"/>
      <c r="C98" s="950"/>
      <c r="D98" s="947"/>
      <c r="E98" s="940"/>
      <c r="F98" s="945"/>
      <c r="G98" s="945"/>
      <c r="H98" s="945"/>
      <c r="I98" s="939"/>
      <c r="J98" s="939"/>
      <c r="K98" s="939"/>
      <c r="L98" s="939"/>
      <c r="M98" s="939"/>
    </row>
    <row r="99" spans="1:13" ht="15" x14ac:dyDescent="0.25">
      <c r="A99" s="945"/>
      <c r="B99" s="1180"/>
      <c r="C99" s="950"/>
      <c r="D99" s="947"/>
      <c r="E99" s="940"/>
      <c r="F99" s="945"/>
      <c r="G99" s="945"/>
      <c r="H99" s="945"/>
      <c r="I99" s="939"/>
      <c r="J99" s="939"/>
      <c r="K99" s="939"/>
      <c r="L99" s="939"/>
      <c r="M99" s="939"/>
    </row>
    <row r="100" spans="1:13" ht="15" x14ac:dyDescent="0.25">
      <c r="A100" s="945"/>
      <c r="B100" s="1181"/>
      <c r="C100" s="1178"/>
      <c r="D100" s="947"/>
      <c r="E100" s="948"/>
      <c r="F100" s="945"/>
      <c r="G100" s="945"/>
      <c r="H100" s="945"/>
      <c r="I100" s="939"/>
      <c r="J100" s="939"/>
      <c r="K100" s="939"/>
      <c r="L100" s="939"/>
      <c r="M100" s="939"/>
    </row>
    <row r="101" spans="1:13" ht="15" x14ac:dyDescent="0.25">
      <c r="A101" s="945"/>
      <c r="B101" s="1181"/>
      <c r="C101" s="1178"/>
      <c r="D101" s="947"/>
      <c r="E101" s="948"/>
      <c r="F101" s="945"/>
      <c r="G101" s="945"/>
      <c r="H101" s="945"/>
      <c r="I101" s="939"/>
      <c r="J101" s="939"/>
      <c r="K101" s="939"/>
      <c r="L101" s="939"/>
      <c r="M101" s="944"/>
    </row>
    <row r="102" spans="1:13" ht="15" x14ac:dyDescent="0.25">
      <c r="A102" s="945"/>
      <c r="B102" s="1181"/>
      <c r="C102" s="1178"/>
      <c r="D102" s="947"/>
      <c r="E102" s="948"/>
      <c r="F102" s="945"/>
      <c r="G102" s="945"/>
      <c r="H102" s="945"/>
      <c r="I102" s="939"/>
      <c r="J102" s="939"/>
      <c r="K102" s="939"/>
      <c r="L102" s="939"/>
      <c r="M102" s="939"/>
    </row>
    <row r="103" spans="1:13" ht="15" x14ac:dyDescent="0.25">
      <c r="A103" s="945"/>
      <c r="B103" s="1181"/>
      <c r="C103" s="1178"/>
      <c r="D103" s="947"/>
      <c r="E103" s="948"/>
      <c r="F103" s="945"/>
      <c r="G103" s="945"/>
      <c r="H103" s="945"/>
      <c r="I103" s="939"/>
      <c r="J103" s="939"/>
      <c r="K103" s="939"/>
      <c r="L103" s="939"/>
      <c r="M103" s="939"/>
    </row>
    <row r="104" spans="1:13" ht="15" x14ac:dyDescent="0.25">
      <c r="A104" s="945"/>
      <c r="B104" s="1181"/>
      <c r="C104" s="1178"/>
      <c r="D104" s="947"/>
      <c r="E104" s="948"/>
      <c r="F104" s="945"/>
      <c r="G104" s="945"/>
      <c r="H104" s="945"/>
      <c r="I104" s="939"/>
      <c r="J104" s="939"/>
      <c r="K104" s="939"/>
      <c r="L104" s="939"/>
      <c r="M104" s="939"/>
    </row>
    <row r="105" spans="1:13" ht="15" x14ac:dyDescent="0.25">
      <c r="A105" s="945"/>
      <c r="B105" s="1181"/>
      <c r="C105" s="1178"/>
      <c r="D105" s="947"/>
      <c r="E105" s="948"/>
      <c r="F105" s="945"/>
      <c r="G105" s="945"/>
      <c r="H105" s="945"/>
      <c r="I105" s="939"/>
      <c r="J105" s="939"/>
      <c r="K105" s="939"/>
      <c r="L105" s="939"/>
      <c r="M105" s="939"/>
    </row>
    <row r="106" spans="1:13" ht="15" x14ac:dyDescent="0.25">
      <c r="A106" s="945"/>
      <c r="B106" s="1181"/>
      <c r="C106" s="1178"/>
      <c r="D106" s="947"/>
      <c r="E106" s="948"/>
      <c r="F106" s="945"/>
      <c r="G106" s="945"/>
      <c r="H106" s="945"/>
      <c r="I106" s="939"/>
      <c r="J106" s="939"/>
      <c r="K106" s="939"/>
      <c r="L106" s="939"/>
      <c r="M106" s="939"/>
    </row>
    <row r="107" spans="1:13" ht="15" x14ac:dyDescent="0.25">
      <c r="A107" s="945"/>
      <c r="B107" s="1181"/>
      <c r="C107" s="1178"/>
      <c r="D107" s="947"/>
      <c r="E107" s="948"/>
      <c r="F107" s="945"/>
      <c r="G107" s="945"/>
      <c r="H107" s="945"/>
      <c r="I107" s="939"/>
      <c r="J107" s="939"/>
      <c r="K107" s="939"/>
      <c r="L107" s="939"/>
      <c r="M107" s="939"/>
    </row>
    <row r="108" spans="1:13" ht="15" x14ac:dyDescent="0.25">
      <c r="A108" s="945"/>
      <c r="B108" s="946"/>
      <c r="C108" s="1179"/>
      <c r="D108" s="947"/>
      <c r="E108" s="940"/>
      <c r="F108" s="1178"/>
      <c r="G108" s="945"/>
      <c r="H108" s="945"/>
      <c r="I108" s="939"/>
      <c r="J108" s="939"/>
      <c r="K108" s="939"/>
      <c r="L108" s="945"/>
      <c r="M108" s="939"/>
    </row>
    <row r="109" spans="1:13" ht="15" x14ac:dyDescent="0.25">
      <c r="A109" s="1182"/>
      <c r="B109" s="1182"/>
      <c r="C109" s="1182"/>
      <c r="D109" s="1182"/>
      <c r="E109" s="1182"/>
      <c r="F109" s="1182"/>
      <c r="G109" s="1182"/>
      <c r="H109" s="1182"/>
      <c r="I109" s="57"/>
      <c r="J109" s="57"/>
      <c r="K109" s="57"/>
      <c r="L109" s="57"/>
      <c r="M109" s="57"/>
    </row>
    <row r="110" spans="1:13" ht="15" x14ac:dyDescent="0.25">
      <c r="A110" s="1182"/>
      <c r="B110" s="1182"/>
      <c r="C110" s="1182"/>
      <c r="D110" s="1182"/>
      <c r="E110" s="1182"/>
      <c r="F110" s="1182"/>
      <c r="G110" s="1182"/>
      <c r="H110" s="1182"/>
      <c r="I110" s="57"/>
      <c r="J110" s="57"/>
      <c r="K110" s="57"/>
      <c r="L110" s="57"/>
      <c r="M110" s="57"/>
    </row>
  </sheetData>
  <mergeCells count="16">
    <mergeCell ref="F96:G96"/>
    <mergeCell ref="B91:E91"/>
    <mergeCell ref="B92:E92"/>
    <mergeCell ref="B93:E93"/>
    <mergeCell ref="B94:E94"/>
    <mergeCell ref="H6:H7"/>
    <mergeCell ref="A3:H3"/>
    <mergeCell ref="A4:H4"/>
    <mergeCell ref="G6:G7"/>
    <mergeCell ref="C82:E82"/>
    <mergeCell ref="A5:F5"/>
    <mergeCell ref="A6:A7"/>
    <mergeCell ref="B6:B7"/>
    <mergeCell ref="C6:E6"/>
    <mergeCell ref="F6:F7"/>
    <mergeCell ref="C7:D7"/>
  </mergeCells>
  <printOptions horizontalCentered="1"/>
  <pageMargins left="0.55118110236220474" right="0.51181102362204722" top="0.74803149606299213" bottom="0.74803149606299213" header="0.31496062992125984" footer="0.31496062992125984"/>
  <pageSetup paperSize="9" scale="56" fitToHeight="2" orientation="portrait" r:id="rId1"/>
  <headerFooter>
    <oddHeader xml:space="preserve">&amp;L&amp;16 15. melléklet a 20/2017.(IX.29.) önkormányzati rendelethez
15. melléklet a 24/2016.(XII.16.) önkormányzati rendelethez
</oddHeader>
  </headerFooter>
  <rowBreaks count="2" manualBreakCount="2">
    <brk id="75" max="7" man="1"/>
    <brk id="95" max="14" man="1"/>
  </rowBreaks>
  <colBreaks count="1" manualBreakCount="1">
    <brk id="8" max="9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0"/>
  <sheetViews>
    <sheetView tabSelected="1" view="pageBreakPreview" topLeftCell="A7" zoomScale="118" zoomScaleNormal="100" zoomScaleSheetLayoutView="118" workbookViewId="0">
      <selection activeCell="D19" sqref="D19"/>
    </sheetView>
  </sheetViews>
  <sheetFormatPr defaultRowHeight="15" x14ac:dyDescent="0.25"/>
  <cols>
    <col min="1" max="1" width="64" style="66" customWidth="1"/>
    <col min="2" max="2" width="11.28515625" style="67" customWidth="1"/>
    <col min="3" max="3" width="14.5703125" style="68" customWidth="1"/>
    <col min="4" max="4" width="14" style="68" customWidth="1"/>
    <col min="5" max="16384" width="9.140625" style="68"/>
  </cols>
  <sheetData>
    <row r="1" spans="1:4" ht="15.75" x14ac:dyDescent="0.25">
      <c r="A1" s="1500" t="s">
        <v>345</v>
      </c>
      <c r="B1" s="1500"/>
      <c r="C1" s="1500"/>
      <c r="D1" s="1500"/>
    </row>
    <row r="2" spans="1:4" ht="16.5" thickBot="1" x14ac:dyDescent="0.3">
      <c r="A2" s="189"/>
      <c r="B2" s="190"/>
    </row>
    <row r="3" spans="1:4" ht="16.5" thickBot="1" x14ac:dyDescent="0.3">
      <c r="A3" s="792" t="s">
        <v>2</v>
      </c>
      <c r="B3" s="809" t="s">
        <v>3</v>
      </c>
      <c r="C3" s="799" t="s">
        <v>567</v>
      </c>
      <c r="D3" s="791" t="s">
        <v>619</v>
      </c>
    </row>
    <row r="4" spans="1:4" ht="15.75" x14ac:dyDescent="0.25">
      <c r="A4" s="793" t="s">
        <v>312</v>
      </c>
      <c r="B4" s="810">
        <f>B6+B9+B12</f>
        <v>109300</v>
      </c>
      <c r="C4" s="800">
        <f>C6+C9+C12</f>
        <v>42347</v>
      </c>
      <c r="D4" s="790">
        <f>D6+D9+D12</f>
        <v>4631</v>
      </c>
    </row>
    <row r="5" spans="1:4" s="69" customFormat="1" ht="15.75" x14ac:dyDescent="0.25">
      <c r="A5" s="794"/>
      <c r="B5" s="811"/>
      <c r="C5" s="801"/>
      <c r="D5" s="192"/>
    </row>
    <row r="6" spans="1:4" s="69" customFormat="1" ht="15.75" x14ac:dyDescent="0.25">
      <c r="A6" s="795" t="s">
        <v>313</v>
      </c>
      <c r="B6" s="812">
        <f>SUM(B7)</f>
        <v>15000</v>
      </c>
      <c r="C6" s="802">
        <f>SUM(C7)</f>
        <v>13084</v>
      </c>
      <c r="D6" s="191">
        <f>SUM(D7)</f>
        <v>3715</v>
      </c>
    </row>
    <row r="7" spans="1:4" s="70" customFormat="1" ht="15.75" x14ac:dyDescent="0.25">
      <c r="A7" s="796" t="s">
        <v>313</v>
      </c>
      <c r="B7" s="813">
        <v>15000</v>
      </c>
      <c r="C7" s="803">
        <v>13084</v>
      </c>
      <c r="D7" s="193">
        <v>3715</v>
      </c>
    </row>
    <row r="8" spans="1:4" ht="15.75" x14ac:dyDescent="0.25">
      <c r="A8" s="796"/>
      <c r="B8" s="813"/>
      <c r="C8" s="803"/>
      <c r="D8" s="193"/>
    </row>
    <row r="9" spans="1:4" ht="15.75" x14ac:dyDescent="0.25">
      <c r="A9" s="795" t="s">
        <v>314</v>
      </c>
      <c r="B9" s="812">
        <f>SUM(B10:B11)</f>
        <v>80000</v>
      </c>
      <c r="C9" s="802">
        <f>SUM(C10:C11)</f>
        <v>14963</v>
      </c>
      <c r="D9" s="191">
        <f>SUM(D10:D11)</f>
        <v>916</v>
      </c>
    </row>
    <row r="10" spans="1:4" s="70" customFormat="1" ht="15.75" x14ac:dyDescent="0.25">
      <c r="A10" s="796" t="s">
        <v>314</v>
      </c>
      <c r="B10" s="813">
        <v>80000</v>
      </c>
      <c r="C10" s="803">
        <v>14963</v>
      </c>
      <c r="D10" s="193">
        <v>916</v>
      </c>
    </row>
    <row r="11" spans="1:4" ht="15.75" x14ac:dyDescent="0.25">
      <c r="A11" s="796"/>
      <c r="B11" s="813"/>
      <c r="C11" s="803"/>
      <c r="D11" s="193"/>
    </row>
    <row r="12" spans="1:4" ht="15.75" x14ac:dyDescent="0.25">
      <c r="A12" s="795" t="s">
        <v>315</v>
      </c>
      <c r="B12" s="812">
        <f>SUM(B13:B15)</f>
        <v>14300</v>
      </c>
      <c r="C12" s="802">
        <f>SUM(C13:C15)</f>
        <v>14300</v>
      </c>
      <c r="D12" s="191">
        <f>SUM(D13:D15)</f>
        <v>0</v>
      </c>
    </row>
    <row r="13" spans="1:4" ht="15.75" x14ac:dyDescent="0.25">
      <c r="A13" s="796" t="s">
        <v>316</v>
      </c>
      <c r="B13" s="813">
        <v>1800</v>
      </c>
      <c r="C13" s="803">
        <v>1800</v>
      </c>
      <c r="D13" s="193">
        <v>0</v>
      </c>
    </row>
    <row r="14" spans="1:4" ht="15.75" x14ac:dyDescent="0.25">
      <c r="A14" s="796" t="s">
        <v>453</v>
      </c>
      <c r="B14" s="813">
        <v>12500</v>
      </c>
      <c r="C14" s="803">
        <v>12500</v>
      </c>
      <c r="D14" s="193">
        <v>0</v>
      </c>
    </row>
    <row r="15" spans="1:4" ht="15.75" hidden="1" x14ac:dyDescent="0.25">
      <c r="A15" s="796" t="s">
        <v>476</v>
      </c>
      <c r="B15" s="814"/>
      <c r="C15" s="804"/>
      <c r="D15" s="194"/>
    </row>
    <row r="16" spans="1:4" ht="15.75" x14ac:dyDescent="0.25">
      <c r="A16" s="796"/>
      <c r="B16" s="815"/>
      <c r="C16" s="805"/>
      <c r="D16" s="195"/>
    </row>
    <row r="17" spans="1:4" ht="15" customHeight="1" x14ac:dyDescent="0.25">
      <c r="A17" s="795" t="s">
        <v>317</v>
      </c>
      <c r="B17" s="812">
        <f>SUM(B19,B22)</f>
        <v>55000</v>
      </c>
      <c r="C17" s="802">
        <f>SUM(C19,C22)</f>
        <v>5000</v>
      </c>
      <c r="D17" s="191">
        <f>SUM(D19,D22)</f>
        <v>35000</v>
      </c>
    </row>
    <row r="18" spans="1:4" ht="17.25" customHeight="1" x14ac:dyDescent="0.25">
      <c r="A18" s="795"/>
      <c r="B18" s="812"/>
      <c r="C18" s="802"/>
      <c r="D18" s="191"/>
    </row>
    <row r="19" spans="1:4" ht="15.75" x14ac:dyDescent="0.25">
      <c r="A19" s="795" t="s">
        <v>318</v>
      </c>
      <c r="B19" s="812">
        <f>SUM(B20)</f>
        <v>50000</v>
      </c>
      <c r="C19" s="802">
        <f>SUM(C20)</f>
        <v>0</v>
      </c>
      <c r="D19" s="191">
        <f>SUM(D20)</f>
        <v>30000</v>
      </c>
    </row>
    <row r="20" spans="1:4" ht="31.5" x14ac:dyDescent="0.25">
      <c r="A20" s="796" t="s">
        <v>914</v>
      </c>
      <c r="B20" s="813">
        <v>50000</v>
      </c>
      <c r="C20" s="803">
        <v>0</v>
      </c>
      <c r="D20" s="193">
        <v>30000</v>
      </c>
    </row>
    <row r="21" spans="1:4" ht="15.75" x14ac:dyDescent="0.25">
      <c r="A21" s="796"/>
      <c r="B21" s="813"/>
      <c r="C21" s="803"/>
      <c r="D21" s="193"/>
    </row>
    <row r="22" spans="1:4" s="69" customFormat="1" ht="15.75" x14ac:dyDescent="0.25">
      <c r="A22" s="795" t="s">
        <v>319</v>
      </c>
      <c r="B22" s="812">
        <f>SUM(B23:B27)</f>
        <v>5000</v>
      </c>
      <c r="C22" s="802">
        <f>SUM(C23:C27)</f>
        <v>5000</v>
      </c>
      <c r="D22" s="191">
        <f>SUM(D23:D27)</f>
        <v>5000</v>
      </c>
    </row>
    <row r="23" spans="1:4" s="69" customFormat="1" ht="15.75" hidden="1" x14ac:dyDescent="0.25">
      <c r="A23" s="796" t="s">
        <v>454</v>
      </c>
      <c r="B23" s="816"/>
      <c r="C23" s="806"/>
      <c r="D23" s="196"/>
    </row>
    <row r="24" spans="1:4" s="70" customFormat="1" ht="15.75" hidden="1" x14ac:dyDescent="0.25">
      <c r="A24" s="796" t="s">
        <v>455</v>
      </c>
      <c r="B24" s="816"/>
      <c r="C24" s="806"/>
      <c r="D24" s="196"/>
    </row>
    <row r="25" spans="1:4" ht="47.25" hidden="1" x14ac:dyDescent="0.25">
      <c r="A25" s="796" t="s">
        <v>456</v>
      </c>
      <c r="B25" s="816"/>
      <c r="C25" s="806"/>
      <c r="D25" s="196"/>
    </row>
    <row r="26" spans="1:4" ht="32.25" hidden="1" customHeight="1" x14ac:dyDescent="0.25">
      <c r="A26" s="796" t="s">
        <v>457</v>
      </c>
      <c r="B26" s="816"/>
      <c r="C26" s="806"/>
      <c r="D26" s="196"/>
    </row>
    <row r="27" spans="1:4" ht="15.75" x14ac:dyDescent="0.25">
      <c r="A27" s="796" t="s">
        <v>492</v>
      </c>
      <c r="B27" s="813">
        <v>5000</v>
      </c>
      <c r="C27" s="803">
        <v>5000</v>
      </c>
      <c r="D27" s="193">
        <v>5000</v>
      </c>
    </row>
    <row r="28" spans="1:4" ht="16.5" thickBot="1" x14ac:dyDescent="0.3">
      <c r="A28" s="797"/>
      <c r="B28" s="817"/>
      <c r="C28" s="807"/>
      <c r="D28" s="788"/>
    </row>
    <row r="29" spans="1:4" ht="22.5" customHeight="1" thickBot="1" x14ac:dyDescent="0.3">
      <c r="A29" s="798" t="s">
        <v>320</v>
      </c>
      <c r="B29" s="818">
        <f>B4+B17</f>
        <v>164300</v>
      </c>
      <c r="C29" s="808">
        <f>C4+C17</f>
        <v>47347</v>
      </c>
      <c r="D29" s="789">
        <f>D4+D17</f>
        <v>39631</v>
      </c>
    </row>
    <row r="30" spans="1:4" s="70" customFormat="1" ht="14.25" x14ac:dyDescent="0.2">
      <c r="A30" s="115"/>
      <c r="B30" s="116"/>
    </row>
  </sheetData>
  <sheetProtection selectLockedCells="1" selectUnlockedCells="1"/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0" orientation="portrait" horizontalDpi="300" verticalDpi="300" r:id="rId1"/>
  <headerFooter alignWithMargins="0">
    <oddHeader xml:space="preserve">&amp;L16. melléklet a 20/2017.(IX.29.) önkormányzati rendelethez
16. melléklet a 24/2016.(XII.16.)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view="pageBreakPreview" topLeftCell="C43" zoomScaleNormal="79" zoomScaleSheetLayoutView="100" workbookViewId="0">
      <selection activeCell="E55" sqref="E55"/>
    </sheetView>
  </sheetViews>
  <sheetFormatPr defaultRowHeight="15" x14ac:dyDescent="0.25"/>
  <cols>
    <col min="1" max="1" width="68.42578125" style="4" customWidth="1"/>
    <col min="2" max="2" width="14.5703125" style="5" customWidth="1"/>
    <col min="3" max="4" width="13.85546875" style="5" customWidth="1"/>
    <col min="5" max="5" width="56" style="4" customWidth="1"/>
    <col min="6" max="6" width="14.5703125" style="5" customWidth="1"/>
    <col min="7" max="8" width="14.42578125" style="6" customWidth="1"/>
    <col min="9" max="16384" width="9.140625" style="6"/>
  </cols>
  <sheetData>
    <row r="1" spans="1:8" s="7" customFormat="1" ht="15" customHeight="1" x14ac:dyDescent="0.2">
      <c r="A1" s="1365" t="s">
        <v>340</v>
      </c>
      <c r="B1" s="1365"/>
      <c r="C1" s="1365"/>
      <c r="D1" s="1365"/>
      <c r="E1" s="1365"/>
      <c r="F1" s="1365"/>
      <c r="G1" s="1365"/>
      <c r="H1" s="1365"/>
    </row>
    <row r="2" spans="1:8" ht="15.75" thickBot="1" x14ac:dyDescent="0.3"/>
    <row r="3" spans="1:8" thickBot="1" x14ac:dyDescent="0.25">
      <c r="A3" s="1366" t="s">
        <v>0</v>
      </c>
      <c r="B3" s="1367"/>
      <c r="C3" s="1368"/>
      <c r="D3" s="252"/>
      <c r="E3" s="1366" t="s">
        <v>1</v>
      </c>
      <c r="F3" s="1367"/>
      <c r="G3" s="1368"/>
      <c r="H3" s="241"/>
    </row>
    <row r="4" spans="1:8" thickBot="1" x14ac:dyDescent="0.25">
      <c r="A4" s="110" t="s">
        <v>2</v>
      </c>
      <c r="B4" s="130" t="s">
        <v>3</v>
      </c>
      <c r="C4" s="229" t="s">
        <v>566</v>
      </c>
      <c r="D4" s="229" t="s">
        <v>620</v>
      </c>
      <c r="E4" s="110" t="s">
        <v>2</v>
      </c>
      <c r="F4" s="130" t="s">
        <v>3</v>
      </c>
      <c r="G4" s="229" t="s">
        <v>566</v>
      </c>
      <c r="H4" s="229" t="s">
        <v>620</v>
      </c>
    </row>
    <row r="5" spans="1:8" ht="14.25" x14ac:dyDescent="0.2">
      <c r="A5" s="105" t="s">
        <v>5</v>
      </c>
      <c r="B5" s="131">
        <f>'3. sz. melléklet'!K6</f>
        <v>974690</v>
      </c>
      <c r="C5" s="230">
        <f>'3. sz. melléklet'!L6</f>
        <v>1087989</v>
      </c>
      <c r="D5" s="230">
        <f>'3. sz. melléklet'!M6</f>
        <v>1124300</v>
      </c>
      <c r="E5" s="106" t="s">
        <v>6</v>
      </c>
      <c r="F5" s="131">
        <f>'4.sz. melléklet'!M6</f>
        <v>1212281</v>
      </c>
      <c r="G5" s="230">
        <f>'4.sz. melléklet'!N6</f>
        <v>1253516</v>
      </c>
      <c r="H5" s="230">
        <f>'4.sz. melléklet'!O6</f>
        <v>1279168</v>
      </c>
    </row>
    <row r="6" spans="1:8" ht="14.25" x14ac:dyDescent="0.2">
      <c r="A6" s="73" t="s">
        <v>7</v>
      </c>
      <c r="B6" s="226">
        <f>'3. sz. melléklet'!K7</f>
        <v>237585</v>
      </c>
      <c r="C6" s="231">
        <f>'3. sz. melléklet'!L7</f>
        <v>240084</v>
      </c>
      <c r="D6" s="230">
        <f>'3. sz. melléklet'!M7</f>
        <v>596769</v>
      </c>
      <c r="E6" s="75" t="s">
        <v>49</v>
      </c>
      <c r="F6" s="226">
        <f>'4.sz. melléklet'!M7</f>
        <v>282763</v>
      </c>
      <c r="G6" s="231">
        <f>'4.sz. melléklet'!N7</f>
        <v>291923</v>
      </c>
      <c r="H6" s="231">
        <f>'4.sz. melléklet'!O7</f>
        <v>298883</v>
      </c>
    </row>
    <row r="7" spans="1:8" x14ac:dyDescent="0.25">
      <c r="A7" s="74" t="s">
        <v>8</v>
      </c>
      <c r="B7" s="205">
        <f>'3. sz. melléklet'!K8</f>
        <v>237585</v>
      </c>
      <c r="C7" s="223">
        <f>'3. sz. melléklet'!L8</f>
        <v>240084</v>
      </c>
      <c r="D7" s="235">
        <f>'3. sz. melléklet'!M8</f>
        <v>596769</v>
      </c>
      <c r="E7" s="75"/>
      <c r="F7" s="226"/>
      <c r="G7" s="231"/>
      <c r="H7" s="231"/>
    </row>
    <row r="8" spans="1:8" x14ac:dyDescent="0.25">
      <c r="A8" s="74"/>
      <c r="B8" s="205"/>
      <c r="C8" s="223"/>
      <c r="D8" s="230"/>
      <c r="E8" s="75" t="s">
        <v>11</v>
      </c>
      <c r="F8" s="226">
        <f>'4.sz. melléklet'!M8</f>
        <v>1200695</v>
      </c>
      <c r="G8" s="231">
        <f>'4.sz. melléklet'!N8</f>
        <v>1293355</v>
      </c>
      <c r="H8" s="231">
        <f>'4.sz. melléklet'!O8</f>
        <v>1416356</v>
      </c>
    </row>
    <row r="9" spans="1:8" ht="14.25" x14ac:dyDescent="0.2">
      <c r="A9" s="73" t="s">
        <v>10</v>
      </c>
      <c r="B9" s="226">
        <f>SUM(B10:B16)</f>
        <v>2114400</v>
      </c>
      <c r="C9" s="231">
        <f>SUM(C10:C16)</f>
        <v>2114490</v>
      </c>
      <c r="D9" s="230">
        <f>SUM(D10:D16)</f>
        <v>2200786</v>
      </c>
      <c r="E9" s="75" t="s">
        <v>13</v>
      </c>
      <c r="F9" s="226">
        <f>'4.sz. melléklet'!M9</f>
        <v>77825</v>
      </c>
      <c r="G9" s="231">
        <f>'4.sz. melléklet'!N9</f>
        <v>70325</v>
      </c>
      <c r="H9" s="231">
        <f>'4.sz. melléklet'!O9</f>
        <v>68061</v>
      </c>
    </row>
    <row r="10" spans="1:8" x14ac:dyDescent="0.25">
      <c r="A10" s="74" t="s">
        <v>12</v>
      </c>
      <c r="B10" s="205">
        <f>'3. sz. melléklet'!K12</f>
        <v>473000</v>
      </c>
      <c r="C10" s="223">
        <f>'3. sz. melléklet'!L12</f>
        <v>473000</v>
      </c>
      <c r="D10" s="235">
        <f>'3. sz. melléklet'!M12</f>
        <v>486700</v>
      </c>
      <c r="E10" s="75" t="s">
        <v>50</v>
      </c>
      <c r="F10" s="226">
        <f>(F11+F12+F13+F14)</f>
        <v>1076465</v>
      </c>
      <c r="G10" s="231">
        <f>'4.sz. melléklet'!N10</f>
        <v>1011082</v>
      </c>
      <c r="H10" s="231">
        <f>'4.sz. melléklet'!O10</f>
        <v>1034209</v>
      </c>
    </row>
    <row r="11" spans="1:8" x14ac:dyDescent="0.25">
      <c r="A11" s="79"/>
      <c r="B11" s="205"/>
      <c r="C11" s="223"/>
      <c r="D11" s="235"/>
      <c r="E11" s="80" t="s">
        <v>330</v>
      </c>
      <c r="F11" s="205">
        <f>'4.sz. melléklet'!M11</f>
        <v>18000</v>
      </c>
      <c r="G11" s="223">
        <f>'4.sz. melléklet'!N11</f>
        <v>15213</v>
      </c>
      <c r="H11" s="223">
        <f>'4.sz. melléklet'!O11</f>
        <v>15136</v>
      </c>
    </row>
    <row r="12" spans="1:8" x14ac:dyDescent="0.25">
      <c r="A12" s="74" t="s">
        <v>77</v>
      </c>
      <c r="B12" s="205">
        <f>'3. sz. melléklet'!K15</f>
        <v>1634500</v>
      </c>
      <c r="C12" s="223">
        <f>'3. sz. melléklet'!L15</f>
        <v>1633000</v>
      </c>
      <c r="D12" s="235">
        <f>'3. sz. melléklet'!M15</f>
        <v>1705596</v>
      </c>
      <c r="E12" s="76" t="s">
        <v>51</v>
      </c>
      <c r="F12" s="205">
        <f>'4.sz. melléklet'!M12</f>
        <v>32000</v>
      </c>
      <c r="G12" s="223">
        <f>'4.sz. melléklet'!N12</f>
        <v>32000</v>
      </c>
      <c r="H12" s="223">
        <f>'4.sz. melléklet'!O12</f>
        <v>48160</v>
      </c>
    </row>
    <row r="13" spans="1:8" x14ac:dyDescent="0.25">
      <c r="A13" s="74"/>
      <c r="B13" s="205"/>
      <c r="C13" s="223"/>
      <c r="D13" s="235"/>
      <c r="E13" s="77" t="s">
        <v>52</v>
      </c>
      <c r="F13" s="205">
        <f>'4.sz. melléklet'!M13</f>
        <v>917165</v>
      </c>
      <c r="G13" s="223">
        <f>'4.sz. melléklet'!N13</f>
        <v>921522</v>
      </c>
      <c r="H13" s="223">
        <f>'4.sz. melléklet'!O13</f>
        <v>966282</v>
      </c>
    </row>
    <row r="14" spans="1:8" x14ac:dyDescent="0.25">
      <c r="A14" s="74" t="s">
        <v>14</v>
      </c>
      <c r="B14" s="205">
        <f>'3. sz. melléklet'!K20</f>
        <v>5000</v>
      </c>
      <c r="C14" s="223">
        <f>'3. sz. melléklet'!L20</f>
        <v>5000</v>
      </c>
      <c r="D14" s="235">
        <f>'3. sz. melléklet'!M20</f>
        <v>5000</v>
      </c>
      <c r="E14" s="77" t="s">
        <v>20</v>
      </c>
      <c r="F14" s="205">
        <f>SUM(F15:F17)</f>
        <v>109300</v>
      </c>
      <c r="G14" s="223">
        <f>'4.sz. melléklet'!N14</f>
        <v>42347</v>
      </c>
      <c r="H14" s="223">
        <f>'4.sz. melléklet'!O14</f>
        <v>4631</v>
      </c>
    </row>
    <row r="15" spans="1:8" x14ac:dyDescent="0.25">
      <c r="A15" s="74" t="s">
        <v>16</v>
      </c>
      <c r="B15" s="205">
        <f>'3. sz. melléklet'!K21</f>
        <v>1900</v>
      </c>
      <c r="C15" s="223">
        <f>'3. sz. melléklet'!L21</f>
        <v>1990</v>
      </c>
      <c r="D15" s="235">
        <f>'3. sz. melléklet'!M21</f>
        <v>1990</v>
      </c>
      <c r="E15" s="293" t="s">
        <v>22</v>
      </c>
      <c r="F15" s="205">
        <f>'4.sz. melléklet'!M15</f>
        <v>15000</v>
      </c>
      <c r="G15" s="223">
        <f>'4.sz. melléklet'!N15</f>
        <v>13084</v>
      </c>
      <c r="H15" s="223">
        <f>'4.sz. melléklet'!O15</f>
        <v>3715</v>
      </c>
    </row>
    <row r="16" spans="1:8" ht="15" customHeight="1" x14ac:dyDescent="0.25">
      <c r="A16" s="74" t="s">
        <v>609</v>
      </c>
      <c r="B16" s="205"/>
      <c r="C16" s="223">
        <v>1500</v>
      </c>
      <c r="D16" s="235">
        <f>'3. sz. melléklet'!M22</f>
        <v>1500</v>
      </c>
      <c r="E16" s="293" t="s">
        <v>346</v>
      </c>
      <c r="F16" s="205">
        <f>'4.sz. melléklet'!M16</f>
        <v>80000</v>
      </c>
      <c r="G16" s="223">
        <f>'4.sz. melléklet'!N16</f>
        <v>14963</v>
      </c>
      <c r="H16" s="223">
        <f>'4.sz. melléklet'!O16</f>
        <v>916</v>
      </c>
    </row>
    <row r="17" spans="1:254" x14ac:dyDescent="0.25">
      <c r="A17" s="73" t="s">
        <v>19</v>
      </c>
      <c r="B17" s="226">
        <f>SUM(B18:B24)</f>
        <v>852536</v>
      </c>
      <c r="C17" s="231">
        <f>SUM(C18:C25)</f>
        <v>1066436</v>
      </c>
      <c r="D17" s="230">
        <f>SUM(D18:D25)</f>
        <v>1138284</v>
      </c>
      <c r="E17" s="293" t="s">
        <v>25</v>
      </c>
      <c r="F17" s="205">
        <f>'4.sz. melléklet'!M17</f>
        <v>14300</v>
      </c>
      <c r="G17" s="223">
        <f>'4.sz. melléklet'!N17</f>
        <v>14300</v>
      </c>
      <c r="H17" s="223">
        <f>'4.sz. melléklet'!O17</f>
        <v>0</v>
      </c>
    </row>
    <row r="18" spans="1:254" ht="30" x14ac:dyDescent="0.25">
      <c r="A18" s="74" t="s">
        <v>53</v>
      </c>
      <c r="B18" s="205">
        <f>'3. sz. melléklet'!K24</f>
        <v>390018</v>
      </c>
      <c r="C18" s="223">
        <f>'3. sz. melléklet'!L24</f>
        <v>495067</v>
      </c>
      <c r="D18" s="235">
        <f>'3. sz. melléklet'!M24</f>
        <v>560247</v>
      </c>
      <c r="E18" s="75"/>
      <c r="F18" s="227"/>
      <c r="G18" s="232"/>
      <c r="H18" s="232"/>
    </row>
    <row r="19" spans="1:254" x14ac:dyDescent="0.25">
      <c r="A19" s="74" t="s">
        <v>23</v>
      </c>
      <c r="B19" s="205">
        <f>'3. sz. melléklet'!K25</f>
        <v>65611</v>
      </c>
      <c r="C19" s="223">
        <f>'3. sz. melléklet'!L25</f>
        <v>158158</v>
      </c>
      <c r="D19" s="235">
        <f>'3. sz. melléklet'!M25</f>
        <v>158613</v>
      </c>
      <c r="E19" s="75"/>
      <c r="F19" s="227"/>
      <c r="G19" s="232"/>
      <c r="H19" s="232"/>
    </row>
    <row r="20" spans="1:254" x14ac:dyDescent="0.25">
      <c r="A20" s="74" t="s">
        <v>24</v>
      </c>
      <c r="B20" s="205">
        <f>'3. sz. melléklet'!K26</f>
        <v>35656</v>
      </c>
      <c r="C20" s="223">
        <f>'3. sz. melléklet'!L26</f>
        <v>26243</v>
      </c>
      <c r="D20" s="235">
        <f>'3. sz. melléklet'!M26</f>
        <v>26243</v>
      </c>
      <c r="E20" s="76"/>
      <c r="F20" s="227"/>
      <c r="G20" s="232"/>
      <c r="H20" s="232"/>
    </row>
    <row r="21" spans="1:254" x14ac:dyDescent="0.25">
      <c r="A21" s="74" t="s">
        <v>26</v>
      </c>
      <c r="B21" s="205">
        <f>'3. sz. melléklet'!K27</f>
        <v>87862</v>
      </c>
      <c r="C21" s="223">
        <f>'3. sz. melléklet'!L27</f>
        <v>87862</v>
      </c>
      <c r="D21" s="235">
        <f>'3. sz. melléklet'!M27</f>
        <v>87862</v>
      </c>
      <c r="E21" s="77"/>
      <c r="F21" s="205"/>
      <c r="G21" s="223"/>
      <c r="H21" s="223"/>
    </row>
    <row r="22" spans="1:254" x14ac:dyDescent="0.25">
      <c r="A22" s="74" t="s">
        <v>27</v>
      </c>
      <c r="B22" s="205">
        <f>'3. sz. melléklet'!K28</f>
        <v>83853</v>
      </c>
      <c r="C22" s="223">
        <f>'3. sz. melléklet'!L28</f>
        <v>85109</v>
      </c>
      <c r="D22" s="235">
        <f>'3. sz. melléklet'!M28</f>
        <v>85109</v>
      </c>
      <c r="E22" s="77"/>
      <c r="F22" s="228"/>
      <c r="G22" s="233"/>
      <c r="H22" s="233"/>
    </row>
    <row r="23" spans="1:254" x14ac:dyDescent="0.25">
      <c r="A23" s="74" t="s">
        <v>28</v>
      </c>
      <c r="B23" s="205">
        <f>'3. sz. melléklet'!K29</f>
        <v>173801</v>
      </c>
      <c r="C23" s="223">
        <f>'3. sz. melléklet'!L29</f>
        <v>198255</v>
      </c>
      <c r="D23" s="235">
        <f>'3. sz. melléklet'!M29</f>
        <v>204225</v>
      </c>
      <c r="E23" s="78"/>
      <c r="F23" s="228"/>
      <c r="G23" s="233"/>
      <c r="H23" s="233"/>
    </row>
    <row r="24" spans="1:254" x14ac:dyDescent="0.25">
      <c r="A24" s="74" t="s">
        <v>30</v>
      </c>
      <c r="B24" s="205">
        <f>'3. sz. melléklet'!K30</f>
        <v>15735</v>
      </c>
      <c r="C24" s="223">
        <f>'3. sz. melléklet'!L30</f>
        <v>15735</v>
      </c>
      <c r="D24" s="235">
        <f>'3. sz. melléklet'!M30</f>
        <v>15744</v>
      </c>
      <c r="E24" s="78"/>
      <c r="F24" s="205"/>
      <c r="G24" s="223"/>
      <c r="H24" s="223"/>
    </row>
    <row r="25" spans="1:254" x14ac:dyDescent="0.25">
      <c r="A25" s="204" t="s">
        <v>609</v>
      </c>
      <c r="B25" s="205"/>
      <c r="C25" s="223">
        <v>7</v>
      </c>
      <c r="D25" s="235">
        <f>'3. sz. melléklet'!M31</f>
        <v>241</v>
      </c>
      <c r="E25" s="206"/>
      <c r="F25" s="205"/>
      <c r="G25" s="223"/>
      <c r="H25" s="223"/>
    </row>
    <row r="26" spans="1:254" x14ac:dyDescent="0.25">
      <c r="A26" s="73" t="s">
        <v>54</v>
      </c>
      <c r="B26" s="226">
        <f>SUM(B27)</f>
        <v>402301</v>
      </c>
      <c r="C26" s="231">
        <f>SUM(C27)</f>
        <v>665817</v>
      </c>
      <c r="D26" s="230">
        <v>1102723</v>
      </c>
      <c r="E26" s="76"/>
      <c r="F26" s="205"/>
      <c r="G26" s="223"/>
      <c r="H26" s="223"/>
    </row>
    <row r="27" spans="1:254" x14ac:dyDescent="0.25">
      <c r="A27" s="74" t="s">
        <v>503</v>
      </c>
      <c r="B27" s="205">
        <v>402301</v>
      </c>
      <c r="C27" s="223">
        <v>665817</v>
      </c>
      <c r="D27" s="235">
        <v>1102723</v>
      </c>
      <c r="E27" s="76"/>
      <c r="F27" s="205"/>
      <c r="G27" s="223"/>
      <c r="H27" s="223"/>
      <c r="IS27" s="8"/>
      <c r="IT27" s="8"/>
    </row>
    <row r="28" spans="1:254" ht="17.25" customHeight="1" x14ac:dyDescent="0.25">
      <c r="A28" s="73" t="s">
        <v>34</v>
      </c>
      <c r="B28" s="226">
        <f>'3. sz. melléklet'!K35</f>
        <v>73119</v>
      </c>
      <c r="C28" s="231">
        <f>'3. sz. melléklet'!L35</f>
        <v>77019</v>
      </c>
      <c r="D28" s="231">
        <f>'3. sz. melléklet'!M35</f>
        <v>129449</v>
      </c>
      <c r="E28" s="76"/>
      <c r="F28" s="205"/>
      <c r="G28" s="223"/>
      <c r="H28" s="223"/>
      <c r="IS28" s="8"/>
      <c r="IT28" s="8"/>
    </row>
    <row r="29" spans="1:254" s="210" customFormat="1" x14ac:dyDescent="0.25">
      <c r="A29" s="204" t="s">
        <v>17</v>
      </c>
      <c r="B29" s="205">
        <f>'3. sz. melléklet'!K36</f>
        <v>73119</v>
      </c>
      <c r="C29" s="223">
        <f>'3. sz. melléklet'!L36</f>
        <v>74019</v>
      </c>
      <c r="D29" s="236">
        <f>'3. sz. melléklet'!M36</f>
        <v>126449</v>
      </c>
      <c r="E29" s="209"/>
      <c r="F29" s="205"/>
      <c r="G29" s="223"/>
      <c r="H29" s="223"/>
    </row>
    <row r="30" spans="1:254" s="214" customFormat="1" ht="15.75" thickBot="1" x14ac:dyDescent="0.3">
      <c r="A30" s="211" t="s">
        <v>338</v>
      </c>
      <c r="B30" s="212"/>
      <c r="C30" s="234">
        <v>3000</v>
      </c>
      <c r="D30" s="236">
        <f>'3. sz. melléklet'!M37</f>
        <v>3000</v>
      </c>
      <c r="E30" s="213"/>
      <c r="F30" s="212"/>
      <c r="G30" s="234"/>
      <c r="H30" s="234"/>
    </row>
    <row r="31" spans="1:254" s="8" customFormat="1" thickBot="1" x14ac:dyDescent="0.25">
      <c r="A31" s="107" t="s">
        <v>55</v>
      </c>
      <c r="B31" s="122">
        <f>(B5+B6+B9+B17+B28-B26)</f>
        <v>3850029</v>
      </c>
      <c r="C31" s="221">
        <f>(C5+C6+C9+C17+C28-C26)</f>
        <v>3920201</v>
      </c>
      <c r="D31" s="221">
        <f>(D5+D6+D9+D17+D28-D26)</f>
        <v>4086865</v>
      </c>
      <c r="E31" s="107" t="s">
        <v>56</v>
      </c>
      <c r="F31" s="122">
        <f>(F5+F6+F8+F9+F10)</f>
        <v>3850029</v>
      </c>
      <c r="G31" s="221">
        <f>(G5+G6+G8+G9+G10)</f>
        <v>3920201</v>
      </c>
      <c r="H31" s="221">
        <f>(H5+H6+H8+H9+H10)</f>
        <v>4096677</v>
      </c>
    </row>
    <row r="32" spans="1:254" s="8" customFormat="1" x14ac:dyDescent="0.25">
      <c r="A32" s="215" t="s">
        <v>58</v>
      </c>
      <c r="B32" s="238">
        <f>'3. sz. melléklet'!K45-44749</f>
        <v>1480852</v>
      </c>
      <c r="C32" s="207">
        <v>1537954</v>
      </c>
      <c r="D32" s="207">
        <f>'3. sz. melléklet'!M45-'4.sz. melléklet'!I18-'4.sz. melléklet'!L18-'4.sz. melléklet'!I20-'4.sz. melléklet'!L19-'4.sz. melléklet'!L20</f>
        <v>1542755</v>
      </c>
      <c r="E32" s="247" t="s">
        <v>57</v>
      </c>
      <c r="F32" s="250">
        <f>'4.sz. melléklet'!M29-44749</f>
        <v>1480852</v>
      </c>
      <c r="G32" s="235">
        <v>1537954</v>
      </c>
      <c r="H32" s="235">
        <f>D32</f>
        <v>1542755</v>
      </c>
    </row>
    <row r="33" spans="1:8" s="8" customFormat="1" x14ac:dyDescent="0.25">
      <c r="A33" s="216" t="s">
        <v>42</v>
      </c>
      <c r="B33" s="239">
        <v>0</v>
      </c>
      <c r="C33" s="278"/>
      <c r="D33" s="260">
        <v>9812</v>
      </c>
      <c r="E33" s="248"/>
      <c r="F33" s="236"/>
      <c r="G33" s="236"/>
      <c r="H33" s="235"/>
    </row>
    <row r="34" spans="1:8" s="8" customFormat="1" x14ac:dyDescent="0.25">
      <c r="A34" s="217" t="s">
        <v>502</v>
      </c>
      <c r="B34" s="205">
        <f>'3. sz. melléklet'!K43</f>
        <v>25000</v>
      </c>
      <c r="C34" s="260">
        <f>'3. sz. melléklet'!L43</f>
        <v>38000</v>
      </c>
      <c r="D34" s="260">
        <f>'3. sz. melléklet'!M43</f>
        <v>40010</v>
      </c>
      <c r="E34" s="248" t="s">
        <v>326</v>
      </c>
      <c r="F34" s="236">
        <f>'4.sz. melléklet'!M28</f>
        <v>25000</v>
      </c>
      <c r="G34" s="236">
        <f>'4.sz. melléklet'!N28</f>
        <v>38000</v>
      </c>
      <c r="H34" s="235">
        <f>'3. sz. melléklet'!M43</f>
        <v>40010</v>
      </c>
    </row>
    <row r="35" spans="1:8" s="8" customFormat="1" x14ac:dyDescent="0.25">
      <c r="A35" s="217" t="s">
        <v>611</v>
      </c>
      <c r="B35" s="205"/>
      <c r="C35" s="260">
        <f>'3. sz. melléklet'!L46</f>
        <v>2388559</v>
      </c>
      <c r="D35" s="260">
        <f>'3. sz. melléklet'!M46</f>
        <v>2388559</v>
      </c>
      <c r="E35" s="248" t="s">
        <v>615</v>
      </c>
      <c r="F35" s="236"/>
      <c r="G35" s="236">
        <f>'4.sz. melléklet'!N30</f>
        <v>2388559</v>
      </c>
      <c r="H35" s="235">
        <f>'3. sz. melléklet'!M46</f>
        <v>2388559</v>
      </c>
    </row>
    <row r="36" spans="1:8" s="8" customFormat="1" ht="15.75" thickBot="1" x14ac:dyDescent="0.3">
      <c r="A36" s="218" t="s">
        <v>616</v>
      </c>
      <c r="B36" s="240"/>
      <c r="C36" s="208">
        <f>'3. sz. melléklet'!L47</f>
        <v>80000</v>
      </c>
      <c r="D36" s="208">
        <f>'3. sz. melléklet'!M47</f>
        <v>80000</v>
      </c>
      <c r="E36" s="249" t="s">
        <v>612</v>
      </c>
      <c r="F36" s="237"/>
      <c r="G36" s="237">
        <f>'4.sz. melléklet'!N31</f>
        <v>80000</v>
      </c>
      <c r="H36" s="235">
        <f>'3. sz. melléklet'!M47</f>
        <v>80000</v>
      </c>
    </row>
    <row r="37" spans="1:8" s="8" customFormat="1" thickBot="1" x14ac:dyDescent="0.25">
      <c r="A37" s="126" t="s">
        <v>59</v>
      </c>
      <c r="B37" s="122">
        <f>SUM(B32:B34)</f>
        <v>1505852</v>
      </c>
      <c r="C37" s="221">
        <f>SUM(C32:C36)</f>
        <v>4044513</v>
      </c>
      <c r="D37" s="221">
        <f>SUM(D32:D36)</f>
        <v>4061136</v>
      </c>
      <c r="E37" s="140" t="s">
        <v>60</v>
      </c>
      <c r="F37" s="122">
        <f>SUM(F32+F34)</f>
        <v>1505852</v>
      </c>
      <c r="G37" s="221">
        <f>SUM(G32:G36)</f>
        <v>4044513</v>
      </c>
      <c r="H37" s="221">
        <f>SUM(H32:H36)</f>
        <v>4051324</v>
      </c>
    </row>
    <row r="38" spans="1:8" s="8" customFormat="1" thickBot="1" x14ac:dyDescent="0.25">
      <c r="A38" s="219" t="s">
        <v>61</v>
      </c>
      <c r="B38" s="132">
        <f>(B31+B37)</f>
        <v>5355881</v>
      </c>
      <c r="C38" s="222">
        <f>(C31+C37)</f>
        <v>7964714</v>
      </c>
      <c r="D38" s="222">
        <f>(D31+D37)</f>
        <v>8148001</v>
      </c>
      <c r="E38" s="220" t="s">
        <v>61</v>
      </c>
      <c r="F38" s="122">
        <f>(F31+F37)</f>
        <v>5355881</v>
      </c>
      <c r="G38" s="221">
        <f>(G31+G37)</f>
        <v>7964714</v>
      </c>
      <c r="H38" s="221">
        <f>(H31+H37)</f>
        <v>8148001</v>
      </c>
    </row>
    <row r="39" spans="1:8" s="8" customFormat="1" x14ac:dyDescent="0.25">
      <c r="A39" s="9"/>
      <c r="B39" s="10"/>
      <c r="C39" s="10"/>
      <c r="D39" s="10"/>
      <c r="E39" s="9"/>
      <c r="F39" s="11"/>
    </row>
    <row r="40" spans="1:8" s="8" customFormat="1" x14ac:dyDescent="0.25">
      <c r="A40" s="82"/>
      <c r="B40" s="83"/>
      <c r="C40" s="83"/>
      <c r="D40" s="83"/>
      <c r="E40" s="9"/>
      <c r="F40" s="11"/>
    </row>
    <row r="41" spans="1:8" s="7" customFormat="1" ht="15" customHeight="1" x14ac:dyDescent="0.2">
      <c r="A41" s="1365" t="s">
        <v>341</v>
      </c>
      <c r="B41" s="1365"/>
      <c r="C41" s="1365"/>
      <c r="D41" s="1365"/>
      <c r="E41" s="1365"/>
      <c r="F41" s="1365"/>
      <c r="G41" s="1365"/>
      <c r="H41" s="1365"/>
    </row>
    <row r="42" spans="1:8" ht="14.25" customHeight="1" thickBot="1" x14ac:dyDescent="0.3">
      <c r="E42" s="12"/>
    </row>
    <row r="43" spans="1:8" s="7" customFormat="1" thickBot="1" x14ac:dyDescent="0.25">
      <c r="A43" s="1366" t="s">
        <v>0</v>
      </c>
      <c r="B43" s="1367"/>
      <c r="C43" s="1368"/>
      <c r="D43" s="252"/>
      <c r="E43" s="1366" t="s">
        <v>1</v>
      </c>
      <c r="F43" s="1367"/>
      <c r="G43" s="1368"/>
      <c r="H43" s="241"/>
    </row>
    <row r="44" spans="1:8" s="7" customFormat="1" thickBot="1" x14ac:dyDescent="0.25">
      <c r="A44" s="13" t="s">
        <v>2</v>
      </c>
      <c r="B44" s="117" t="s">
        <v>3</v>
      </c>
      <c r="C44" s="241" t="s">
        <v>607</v>
      </c>
      <c r="D44" s="241" t="s">
        <v>620</v>
      </c>
      <c r="E44" s="134" t="s">
        <v>2</v>
      </c>
      <c r="F44" s="146" t="s">
        <v>4</v>
      </c>
      <c r="G44" s="241" t="s">
        <v>607</v>
      </c>
      <c r="H44" s="241" t="s">
        <v>621</v>
      </c>
    </row>
    <row r="45" spans="1:8" s="7" customFormat="1" ht="14.25" x14ac:dyDescent="0.2">
      <c r="A45" s="118" t="s">
        <v>327</v>
      </c>
      <c r="B45" s="124">
        <f>'3. sz. melléklet'!K9</f>
        <v>100800</v>
      </c>
      <c r="C45" s="244">
        <f>'3. sz. melléklet'!L9</f>
        <v>800</v>
      </c>
      <c r="D45" s="244">
        <f>'3. sz. melléklet'!M9</f>
        <v>833234</v>
      </c>
      <c r="E45" s="135"/>
      <c r="F45" s="147"/>
      <c r="G45" s="242"/>
      <c r="H45" s="242"/>
    </row>
    <row r="46" spans="1:8" s="7" customFormat="1" x14ac:dyDescent="0.25">
      <c r="A46" s="72" t="s">
        <v>8</v>
      </c>
      <c r="B46" s="133">
        <f>'3. sz. melléklet'!K10</f>
        <v>100800</v>
      </c>
      <c r="C46" s="236">
        <f>'3. sz. melléklet'!L10</f>
        <v>800</v>
      </c>
      <c r="D46" s="236">
        <f>'3. sz. melléklet'!M10</f>
        <v>833234</v>
      </c>
      <c r="E46" s="136"/>
      <c r="F46" s="148"/>
      <c r="G46" s="243"/>
      <c r="H46" s="243"/>
    </row>
    <row r="47" spans="1:8" s="7" customFormat="1" ht="14.25" x14ac:dyDescent="0.2">
      <c r="A47" s="119" t="s">
        <v>32</v>
      </c>
      <c r="B47" s="125">
        <f>SUM(B48:B49)</f>
        <v>3400</v>
      </c>
      <c r="C47" s="231">
        <f>'3. sz. melléklet'!L32</f>
        <v>3470</v>
      </c>
      <c r="D47" s="295">
        <f>'3. sz. melléklet'!M32</f>
        <v>3481</v>
      </c>
      <c r="E47" s="137" t="s">
        <v>62</v>
      </c>
      <c r="F47" s="125">
        <f>'4.sz. melléklet'!M18</f>
        <v>291469</v>
      </c>
      <c r="G47" s="231">
        <f>'4.sz. melléklet'!N18</f>
        <v>411887</v>
      </c>
      <c r="H47" s="231">
        <f>'4.sz. melléklet'!O18</f>
        <v>1467567</v>
      </c>
    </row>
    <row r="48" spans="1:8" s="7" customFormat="1" x14ac:dyDescent="0.25">
      <c r="A48" s="120" t="s">
        <v>471</v>
      </c>
      <c r="B48" s="133">
        <f>'3. sz. melléklet'!K34</f>
        <v>2000</v>
      </c>
      <c r="C48" s="236">
        <f>'3. sz. melléklet'!L34</f>
        <v>2070</v>
      </c>
      <c r="D48" s="236">
        <f>'3. sz. melléklet'!M34</f>
        <v>2070</v>
      </c>
      <c r="E48" s="137"/>
      <c r="F48" s="125"/>
      <c r="G48" s="231"/>
      <c r="H48" s="231"/>
    </row>
    <row r="49" spans="1:8" s="7" customFormat="1" x14ac:dyDescent="0.25">
      <c r="A49" s="14" t="s">
        <v>329</v>
      </c>
      <c r="B49" s="133">
        <f>'3. sz. melléklet'!K33</f>
        <v>1400</v>
      </c>
      <c r="C49" s="236">
        <f>'3. sz. melléklet'!L33</f>
        <v>1400</v>
      </c>
      <c r="D49" s="236">
        <f>'3. sz. melléklet'!M33</f>
        <v>1411</v>
      </c>
      <c r="E49" s="137" t="s">
        <v>63</v>
      </c>
      <c r="F49" s="125">
        <f>'4.sz. melléklet'!M19</f>
        <v>256799</v>
      </c>
      <c r="G49" s="231">
        <f>'4.sz. melléklet'!N19</f>
        <v>143270</v>
      </c>
      <c r="H49" s="231">
        <f>'4.sz. melléklet'!O19</f>
        <v>327641</v>
      </c>
    </row>
    <row r="50" spans="1:8" s="7" customFormat="1" ht="14.25" x14ac:dyDescent="0.2">
      <c r="A50" s="119" t="s">
        <v>85</v>
      </c>
      <c r="B50" s="125">
        <f>'3. sz. melléklet'!K38</f>
        <v>20130</v>
      </c>
      <c r="C50" s="231">
        <f>'3. sz. melléklet'!L38</f>
        <v>20230</v>
      </c>
      <c r="D50" s="295">
        <f>SUM(D51:D52)</f>
        <v>21030</v>
      </c>
      <c r="E50" s="137"/>
      <c r="F50" s="125"/>
      <c r="G50" s="231"/>
      <c r="H50" s="231"/>
    </row>
    <row r="51" spans="1:8" s="7" customFormat="1" x14ac:dyDescent="0.25">
      <c r="A51" s="120" t="s">
        <v>17</v>
      </c>
      <c r="B51" s="112">
        <f>'3. sz. melléklet'!K39</f>
        <v>1496</v>
      </c>
      <c r="C51" s="223">
        <f>'3. sz. melléklet'!L39</f>
        <v>1596</v>
      </c>
      <c r="D51" s="236">
        <f>'3. sz. melléklet'!M39</f>
        <v>1596</v>
      </c>
      <c r="E51" s="138" t="s">
        <v>64</v>
      </c>
      <c r="F51" s="125">
        <f>(F52+F53+F54)</f>
        <v>71814</v>
      </c>
      <c r="G51" s="231">
        <f>'4.sz. melléklet'!N20</f>
        <v>19799</v>
      </c>
      <c r="H51" s="231">
        <f>'4.sz. melléklet'!O20</f>
        <v>49899</v>
      </c>
    </row>
    <row r="52" spans="1:8" x14ac:dyDescent="0.25">
      <c r="A52" s="120" t="s">
        <v>338</v>
      </c>
      <c r="B52" s="112">
        <f>'3. sz. melléklet'!K40</f>
        <v>18634</v>
      </c>
      <c r="C52" s="223">
        <f>'3. sz. melléklet'!L40</f>
        <v>18634</v>
      </c>
      <c r="D52" s="236">
        <f>'3. sz. melléklet'!M40</f>
        <v>19434</v>
      </c>
      <c r="E52" s="139" t="s">
        <v>17</v>
      </c>
      <c r="F52" s="112">
        <f>'4.sz. melléklet'!M21</f>
        <v>1200</v>
      </c>
      <c r="G52" s="223">
        <f>'4.sz. melléklet'!N21</f>
        <v>2700</v>
      </c>
      <c r="H52" s="223">
        <f>'4.sz. melléklet'!O21</f>
        <v>2700</v>
      </c>
    </row>
    <row r="53" spans="1:8" x14ac:dyDescent="0.25">
      <c r="A53" s="119" t="s">
        <v>504</v>
      </c>
      <c r="B53" s="125">
        <f>SUM(B54:B55)</f>
        <v>402301</v>
      </c>
      <c r="C53" s="231">
        <f>SUM(C54:C55)</f>
        <v>665817</v>
      </c>
      <c r="D53" s="231">
        <v>1102723</v>
      </c>
      <c r="E53" s="139" t="s">
        <v>35</v>
      </c>
      <c r="F53" s="112">
        <f>'4.sz. melléklet'!M22</f>
        <v>15614</v>
      </c>
      <c r="G53" s="223">
        <f>'4.sz. melléklet'!N22</f>
        <v>12099</v>
      </c>
      <c r="H53" s="223">
        <f>'4.sz. melléklet'!O22</f>
        <v>12199</v>
      </c>
    </row>
    <row r="54" spans="1:8" x14ac:dyDescent="0.25">
      <c r="A54" s="120" t="s">
        <v>503</v>
      </c>
      <c r="B54" s="112">
        <v>402301</v>
      </c>
      <c r="C54" s="223">
        <v>665817</v>
      </c>
      <c r="D54" s="261"/>
      <c r="E54" s="139" t="s">
        <v>36</v>
      </c>
      <c r="F54" s="112">
        <f>'4.sz. melléklet'!M23</f>
        <v>55000</v>
      </c>
      <c r="G54" s="223">
        <f>'4.sz. melléklet'!N23</f>
        <v>5000</v>
      </c>
      <c r="H54" s="223">
        <f>'4.sz. melléklet'!O23</f>
        <v>35000</v>
      </c>
    </row>
    <row r="55" spans="1:8" ht="30" x14ac:dyDescent="0.25">
      <c r="A55" s="120"/>
      <c r="B55" s="112"/>
      <c r="C55" s="223"/>
      <c r="D55" s="261"/>
      <c r="E55" s="294" t="s">
        <v>913</v>
      </c>
      <c r="F55" s="112">
        <f>'4.sz. melléklet'!M24</f>
        <v>50000</v>
      </c>
      <c r="G55" s="223">
        <f>'4.sz. melléklet'!N24</f>
        <v>0</v>
      </c>
      <c r="H55" s="223">
        <f>'4.sz. melléklet'!O24</f>
        <v>30000</v>
      </c>
    </row>
    <row r="56" spans="1:8" ht="15.75" thickBot="1" x14ac:dyDescent="0.3">
      <c r="A56" s="120"/>
      <c r="B56" s="112"/>
      <c r="C56" s="223"/>
      <c r="D56" s="261"/>
      <c r="E56" s="294" t="s">
        <v>472</v>
      </c>
      <c r="F56" s="112">
        <f>'4.sz. melléklet'!M25</f>
        <v>5000</v>
      </c>
      <c r="G56" s="223">
        <f>'4.sz. melléklet'!N25</f>
        <v>5000</v>
      </c>
      <c r="H56" s="223">
        <f>'4.sz. melléklet'!O25</f>
        <v>5000</v>
      </c>
    </row>
    <row r="57" spans="1:8" thickBot="1" x14ac:dyDescent="0.25">
      <c r="A57" s="121" t="s">
        <v>55</v>
      </c>
      <c r="B57" s="122">
        <f>(B45+B47+B50+B53)</f>
        <v>526631</v>
      </c>
      <c r="C57" s="221">
        <f>(C45+C47+C50+C53)</f>
        <v>690317</v>
      </c>
      <c r="D57" s="221">
        <f>(D45+D47+D50+D53)</f>
        <v>1960468</v>
      </c>
      <c r="E57" s="140" t="s">
        <v>56</v>
      </c>
      <c r="F57" s="122">
        <f>(F47+F49+F51)</f>
        <v>620082</v>
      </c>
      <c r="G57" s="221">
        <f>(G47+G49+G51)</f>
        <v>574956</v>
      </c>
      <c r="H57" s="221">
        <f>(H47+H49+H51)</f>
        <v>1845107</v>
      </c>
    </row>
    <row r="58" spans="1:8" x14ac:dyDescent="0.25">
      <c r="A58" s="123" t="s">
        <v>65</v>
      </c>
      <c r="B58" s="124">
        <f>SUM(B60:B61)</f>
        <v>244749</v>
      </c>
      <c r="C58" s="244">
        <f>SUM(C60:C61)</f>
        <v>48439</v>
      </c>
      <c r="D58" s="244">
        <f>SUM(D59:D61)</f>
        <v>48449</v>
      </c>
      <c r="E58" s="141" t="s">
        <v>40</v>
      </c>
      <c r="F58" s="124">
        <f>'4.sz. melléklet'!M27</f>
        <v>106549</v>
      </c>
      <c r="G58" s="244">
        <f>'4.sz. melléklet'!N27</f>
        <v>115361</v>
      </c>
      <c r="H58" s="244">
        <f>'4.sz. melléklet'!O27</f>
        <v>687942</v>
      </c>
    </row>
    <row r="59" spans="1:8" x14ac:dyDescent="0.25">
      <c r="A59" s="1040"/>
      <c r="B59" s="899"/>
      <c r="C59" s="900"/>
      <c r="D59" s="1038"/>
      <c r="E59" s="901"/>
      <c r="F59" s="149"/>
      <c r="G59" s="245"/>
      <c r="H59" s="245"/>
    </row>
    <row r="60" spans="1:8" x14ac:dyDescent="0.25">
      <c r="A60" s="120" t="s">
        <v>506</v>
      </c>
      <c r="B60" s="112">
        <v>200000</v>
      </c>
      <c r="C60" s="223">
        <f>'3. sz. melléklet'!L44</f>
        <v>0</v>
      </c>
      <c r="D60" s="223"/>
      <c r="E60" s="142" t="s">
        <v>57</v>
      </c>
      <c r="F60" s="149">
        <v>44749</v>
      </c>
      <c r="G60" s="245">
        <v>48439</v>
      </c>
      <c r="H60" s="245">
        <f>D61</f>
        <v>48449</v>
      </c>
    </row>
    <row r="61" spans="1:8" x14ac:dyDescent="0.25">
      <c r="A61" s="113" t="s">
        <v>58</v>
      </c>
      <c r="B61" s="112">
        <v>44749</v>
      </c>
      <c r="C61" s="223">
        <v>48439</v>
      </c>
      <c r="D61" s="261">
        <f>'3. sz. melléklet'!M45-'2. sz. melléklet'!D32</f>
        <v>48449</v>
      </c>
      <c r="E61" s="143"/>
      <c r="F61" s="125"/>
      <c r="G61" s="231"/>
      <c r="H61" s="231"/>
    </row>
    <row r="62" spans="1:8" ht="14.25" x14ac:dyDescent="0.2">
      <c r="A62" s="119" t="s">
        <v>66</v>
      </c>
      <c r="B62" s="125">
        <f>SUM(B63)</f>
        <v>0</v>
      </c>
      <c r="C62" s="231">
        <f>SUM(C63)</f>
        <v>0</v>
      </c>
      <c r="D62" s="231">
        <f>SUM(D63)</f>
        <v>572581</v>
      </c>
      <c r="E62" s="143"/>
      <c r="F62" s="125"/>
      <c r="G62" s="231"/>
      <c r="H62" s="231"/>
    </row>
    <row r="63" spans="1:8" ht="16.5" thickBot="1" x14ac:dyDescent="0.3">
      <c r="A63" s="1040" t="s">
        <v>761</v>
      </c>
      <c r="B63" s="112">
        <v>0</v>
      </c>
      <c r="C63" s="223"/>
      <c r="D63" s="262">
        <v>572581</v>
      </c>
      <c r="E63" s="144"/>
      <c r="F63" s="125"/>
      <c r="G63" s="231"/>
      <c r="H63" s="231"/>
    </row>
    <row r="64" spans="1:8" ht="16.5" thickBot="1" x14ac:dyDescent="0.3">
      <c r="A64" s="1041"/>
      <c r="B64" s="1035"/>
      <c r="C64" s="1036"/>
      <c r="D64" s="1039"/>
      <c r="E64" s="1037"/>
      <c r="F64" s="149"/>
      <c r="G64" s="245"/>
      <c r="H64" s="245"/>
    </row>
    <row r="65" spans="1:8" ht="15.75" customHeight="1" thickBot="1" x14ac:dyDescent="0.25">
      <c r="A65" s="126" t="s">
        <v>59</v>
      </c>
      <c r="B65" s="122">
        <f>B58+B62</f>
        <v>244749</v>
      </c>
      <c r="C65" s="221">
        <f>C58+C62</f>
        <v>48439</v>
      </c>
      <c r="D65" s="221">
        <f>D58+D62</f>
        <v>621030</v>
      </c>
      <c r="E65" s="145" t="s">
        <v>60</v>
      </c>
      <c r="F65" s="122">
        <f>SUM(F58:F63)</f>
        <v>151298</v>
      </c>
      <c r="G65" s="221">
        <f>SUM(G58:G63)</f>
        <v>163800</v>
      </c>
      <c r="H65" s="221">
        <f>SUM(H58:H63)</f>
        <v>736391</v>
      </c>
    </row>
    <row r="66" spans="1:8" thickBot="1" x14ac:dyDescent="0.25">
      <c r="A66" s="16" t="s">
        <v>61</v>
      </c>
      <c r="B66" s="71">
        <f>SUM(B65+B57)</f>
        <v>771380</v>
      </c>
      <c r="C66" s="246">
        <f>SUM(C65+C57)</f>
        <v>738756</v>
      </c>
      <c r="D66" s="246">
        <f>SUM(D65+D57)</f>
        <v>2581498</v>
      </c>
      <c r="E66" s="140" t="s">
        <v>61</v>
      </c>
      <c r="F66" s="71">
        <f>(F57+F65)</f>
        <v>771380</v>
      </c>
      <c r="G66" s="246">
        <f>(G57+G65)</f>
        <v>738756</v>
      </c>
      <c r="H66" s="246">
        <f>(H57+H65)</f>
        <v>2581498</v>
      </c>
    </row>
    <row r="67" spans="1:8" ht="14.25" x14ac:dyDescent="0.2">
      <c r="A67" s="15"/>
      <c r="B67" s="17"/>
      <c r="C67" s="17"/>
      <c r="D67" s="17"/>
      <c r="E67" s="15"/>
      <c r="F67" s="17"/>
      <c r="G67" s="17"/>
      <c r="H67" s="17"/>
    </row>
    <row r="68" spans="1:8" ht="14.25" x14ac:dyDescent="0.2">
      <c r="A68" s="18" t="s">
        <v>67</v>
      </c>
      <c r="B68" s="19">
        <f>B66+B38</f>
        <v>6127261</v>
      </c>
      <c r="C68" s="19">
        <f>C66+C38</f>
        <v>8703470</v>
      </c>
      <c r="D68" s="19">
        <f>D66+D38</f>
        <v>10729499</v>
      </c>
      <c r="E68" s="81" t="s">
        <v>68</v>
      </c>
      <c r="F68" s="20">
        <f>(F38+F66)</f>
        <v>6127261</v>
      </c>
      <c r="G68" s="20">
        <f>(G38+G66)</f>
        <v>8703470</v>
      </c>
      <c r="H68" s="20">
        <f>(H38+H66)</f>
        <v>10729499</v>
      </c>
    </row>
    <row r="70" spans="1:8" x14ac:dyDescent="0.25">
      <c r="A70" s="84"/>
      <c r="B70" s="87"/>
      <c r="C70" s="87"/>
      <c r="D70" s="87"/>
    </row>
    <row r="71" spans="1:8" s="86" customFormat="1" ht="14.25" x14ac:dyDescent="0.2">
      <c r="A71" s="84"/>
      <c r="B71" s="87"/>
      <c r="C71" s="87"/>
      <c r="D71" s="87"/>
      <c r="E71" s="84"/>
      <c r="F71" s="85"/>
    </row>
  </sheetData>
  <sheetProtection selectLockedCells="1" selectUnlockedCells="1"/>
  <mergeCells count="6">
    <mergeCell ref="A1:H1"/>
    <mergeCell ref="E3:G3"/>
    <mergeCell ref="A3:C3"/>
    <mergeCell ref="A43:C43"/>
    <mergeCell ref="E43:G43"/>
    <mergeCell ref="A41:H41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5" firstPageNumber="0" orientation="landscape" r:id="rId1"/>
  <headerFooter alignWithMargins="0">
    <oddHeader xml:space="preserve">&amp;L2. melléklet a 20/2017.(IX.29.) önkormányzati rendelethez
2. melléklet a 24/2016.(XII.16.) önkormányzati rendelethez
</oddHeader>
  </headerFooter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topLeftCell="E1" zoomScale="82" zoomScaleNormal="79" zoomScaleSheetLayoutView="82" workbookViewId="0">
      <selection activeCell="N41" sqref="N41"/>
    </sheetView>
  </sheetViews>
  <sheetFormatPr defaultRowHeight="18.75" x14ac:dyDescent="0.3"/>
  <cols>
    <col min="1" max="1" width="102.85546875" style="21" customWidth="1"/>
    <col min="2" max="2" width="22.140625" style="21" customWidth="1"/>
    <col min="3" max="3" width="23.28515625" style="21" customWidth="1"/>
    <col min="4" max="4" width="22.5703125" style="21" customWidth="1"/>
    <col min="5" max="5" width="23" style="21" customWidth="1"/>
    <col min="6" max="6" width="23.7109375" style="21" customWidth="1"/>
    <col min="7" max="7" width="24.85546875" style="21" customWidth="1"/>
    <col min="8" max="8" width="23.42578125" style="21" customWidth="1"/>
    <col min="9" max="9" width="22.140625" style="21" customWidth="1"/>
    <col min="10" max="10" width="24.140625" style="21" customWidth="1"/>
    <col min="11" max="11" width="21.140625" style="21" customWidth="1"/>
    <col min="12" max="12" width="19.140625" style="21" customWidth="1"/>
    <col min="13" max="13" width="19.28515625" style="21" customWidth="1"/>
    <col min="14" max="16384" width="9.140625" style="21"/>
  </cols>
  <sheetData>
    <row r="1" spans="1:13" x14ac:dyDescent="0.3">
      <c r="A1" s="22"/>
    </row>
    <row r="2" spans="1:13" x14ac:dyDescent="0.3">
      <c r="A2" s="1369" t="s">
        <v>490</v>
      </c>
      <c r="B2" s="1369"/>
      <c r="C2" s="1369"/>
      <c r="D2" s="1369"/>
      <c r="E2" s="1369"/>
      <c r="F2" s="1369"/>
      <c r="G2" s="1369"/>
      <c r="H2" s="1369"/>
      <c r="I2" s="1369"/>
      <c r="J2" s="1369"/>
      <c r="K2" s="1369"/>
      <c r="L2" s="1369"/>
      <c r="M2" s="1369"/>
    </row>
    <row r="3" spans="1:13" ht="19.5" thickBot="1" x14ac:dyDescent="0.35"/>
    <row r="4" spans="1:13" ht="82.5" customHeight="1" thickBot="1" x14ac:dyDescent="0.35">
      <c r="A4" s="1370" t="s">
        <v>321</v>
      </c>
      <c r="B4" s="1372" t="s">
        <v>69</v>
      </c>
      <c r="C4" s="1373"/>
      <c r="D4" s="1374"/>
      <c r="E4" s="1372" t="s">
        <v>70</v>
      </c>
      <c r="F4" s="1373"/>
      <c r="G4" s="1374"/>
      <c r="H4" s="1372" t="s">
        <v>71</v>
      </c>
      <c r="I4" s="1373"/>
      <c r="J4" s="1374"/>
      <c r="K4" s="1371" t="s">
        <v>72</v>
      </c>
      <c r="L4" s="1375"/>
      <c r="M4" s="1376"/>
    </row>
    <row r="5" spans="1:13" ht="25.5" customHeight="1" thickBot="1" x14ac:dyDescent="0.35">
      <c r="A5" s="1371"/>
      <c r="B5" s="279" t="s">
        <v>3</v>
      </c>
      <c r="C5" s="377" t="s">
        <v>567</v>
      </c>
      <c r="D5" s="377" t="s">
        <v>619</v>
      </c>
      <c r="E5" s="279" t="s">
        <v>3</v>
      </c>
      <c r="F5" s="377" t="s">
        <v>567</v>
      </c>
      <c r="G5" s="280" t="s">
        <v>619</v>
      </c>
      <c r="H5" s="159" t="s">
        <v>3</v>
      </c>
      <c r="I5" s="377" t="s">
        <v>567</v>
      </c>
      <c r="J5" s="159" t="s">
        <v>620</v>
      </c>
      <c r="K5" s="279" t="s">
        <v>4</v>
      </c>
      <c r="L5" s="377" t="s">
        <v>567</v>
      </c>
      <c r="M5" s="263" t="s">
        <v>620</v>
      </c>
    </row>
    <row r="6" spans="1:13" s="22" customFormat="1" ht="18.600000000000001" customHeight="1" x14ac:dyDescent="0.3">
      <c r="A6" s="151" t="s">
        <v>5</v>
      </c>
      <c r="B6" s="160">
        <v>974690</v>
      </c>
      <c r="C6" s="378">
        <v>1087989</v>
      </c>
      <c r="D6" s="378">
        <v>1124300</v>
      </c>
      <c r="E6" s="160"/>
      <c r="F6" s="407"/>
      <c r="G6" s="415"/>
      <c r="H6" s="424">
        <v>0</v>
      </c>
      <c r="I6" s="378"/>
      <c r="J6" s="425"/>
      <c r="K6" s="160">
        <f>B6+E6+H6</f>
        <v>974690</v>
      </c>
      <c r="L6" s="407">
        <f>C6+F6+I6</f>
        <v>1087989</v>
      </c>
      <c r="M6" s="150">
        <f>D6+G6+J6</f>
        <v>1124300</v>
      </c>
    </row>
    <row r="7" spans="1:13" ht="18.600000000000001" customHeight="1" x14ac:dyDescent="0.3">
      <c r="A7" s="152" t="s">
        <v>73</v>
      </c>
      <c r="B7" s="382">
        <f t="shared" ref="B7:J7" si="0">SUM(B8:B8)</f>
        <v>150251</v>
      </c>
      <c r="C7" s="386">
        <f t="shared" si="0"/>
        <v>150251</v>
      </c>
      <c r="D7" s="200">
        <f t="shared" si="0"/>
        <v>500488</v>
      </c>
      <c r="E7" s="382">
        <f t="shared" si="0"/>
        <v>17166</v>
      </c>
      <c r="F7" s="386">
        <f t="shared" si="0"/>
        <v>19665</v>
      </c>
      <c r="G7" s="416">
        <f t="shared" si="0"/>
        <v>20965</v>
      </c>
      <c r="H7" s="382">
        <f t="shared" si="0"/>
        <v>70168</v>
      </c>
      <c r="I7" s="386">
        <f t="shared" si="0"/>
        <v>70168</v>
      </c>
      <c r="J7" s="200">
        <f t="shared" si="0"/>
        <v>75316</v>
      </c>
      <c r="K7" s="160">
        <f t="shared" ref="K7:K49" si="1">B7+E7+H7</f>
        <v>237585</v>
      </c>
      <c r="L7" s="407">
        <f t="shared" ref="L7:L49" si="2">C7+F7+I7</f>
        <v>240084</v>
      </c>
      <c r="M7" s="150">
        <f t="shared" ref="M7:M49" si="3">D7+G7+J7</f>
        <v>596769</v>
      </c>
    </row>
    <row r="8" spans="1:13" ht="18.600000000000001" customHeight="1" x14ac:dyDescent="0.3">
      <c r="A8" s="153" t="s">
        <v>8</v>
      </c>
      <c r="B8" s="383">
        <v>150251</v>
      </c>
      <c r="C8" s="379">
        <v>150251</v>
      </c>
      <c r="D8" s="379">
        <v>500488</v>
      </c>
      <c r="E8" s="383">
        <v>17166</v>
      </c>
      <c r="F8" s="379">
        <v>19665</v>
      </c>
      <c r="G8" s="417">
        <v>20965</v>
      </c>
      <c r="H8" s="383">
        <v>70168</v>
      </c>
      <c r="I8" s="379">
        <v>70168</v>
      </c>
      <c r="J8" s="426">
        <v>75316</v>
      </c>
      <c r="K8" s="160">
        <f t="shared" si="1"/>
        <v>237585</v>
      </c>
      <c r="L8" s="407">
        <f t="shared" si="2"/>
        <v>240084</v>
      </c>
      <c r="M8" s="150">
        <f t="shared" si="3"/>
        <v>596769</v>
      </c>
    </row>
    <row r="9" spans="1:13" ht="18.600000000000001" customHeight="1" x14ac:dyDescent="0.3">
      <c r="A9" s="154" t="s">
        <v>325</v>
      </c>
      <c r="B9" s="382">
        <f t="shared" ref="B9:J9" si="4">SUM(B10)</f>
        <v>100000</v>
      </c>
      <c r="C9" s="386">
        <f t="shared" si="4"/>
        <v>0</v>
      </c>
      <c r="D9" s="200">
        <f t="shared" si="4"/>
        <v>833234</v>
      </c>
      <c r="E9" s="382">
        <f t="shared" si="4"/>
        <v>0</v>
      </c>
      <c r="F9" s="386">
        <f t="shared" si="4"/>
        <v>0</v>
      </c>
      <c r="G9" s="416">
        <f t="shared" si="4"/>
        <v>0</v>
      </c>
      <c r="H9" s="382">
        <f t="shared" si="4"/>
        <v>800</v>
      </c>
      <c r="I9" s="386">
        <f t="shared" si="4"/>
        <v>800</v>
      </c>
      <c r="J9" s="200">
        <f t="shared" si="4"/>
        <v>0</v>
      </c>
      <c r="K9" s="160">
        <f t="shared" si="1"/>
        <v>100800</v>
      </c>
      <c r="L9" s="407">
        <f t="shared" si="2"/>
        <v>800</v>
      </c>
      <c r="M9" s="150">
        <f t="shared" si="3"/>
        <v>833234</v>
      </c>
    </row>
    <row r="10" spans="1:13" ht="18.600000000000001" customHeight="1" x14ac:dyDescent="0.3">
      <c r="A10" s="153" t="s">
        <v>8</v>
      </c>
      <c r="B10" s="383">
        <v>100000</v>
      </c>
      <c r="C10" s="379">
        <v>0</v>
      </c>
      <c r="D10" s="379">
        <v>833234</v>
      </c>
      <c r="E10" s="383"/>
      <c r="F10" s="379"/>
      <c r="G10" s="417"/>
      <c r="H10" s="383">
        <v>800</v>
      </c>
      <c r="I10" s="379">
        <v>800</v>
      </c>
      <c r="J10" s="426">
        <v>0</v>
      </c>
      <c r="K10" s="160">
        <f t="shared" si="1"/>
        <v>100800</v>
      </c>
      <c r="L10" s="407">
        <f t="shared" si="2"/>
        <v>800</v>
      </c>
      <c r="M10" s="150">
        <f t="shared" si="3"/>
        <v>833234</v>
      </c>
    </row>
    <row r="11" spans="1:13" s="23" customFormat="1" ht="18.600000000000001" customHeight="1" x14ac:dyDescent="0.3">
      <c r="A11" s="154" t="s">
        <v>74</v>
      </c>
      <c r="B11" s="382">
        <f t="shared" ref="B11:J11" si="5">SUM(B12+B15+B20+B21)</f>
        <v>2114400</v>
      </c>
      <c r="C11" s="386">
        <f>SUM(C12+C15+C20+C21+C22)</f>
        <v>2114490</v>
      </c>
      <c r="D11" s="200">
        <f>SUM(D12+D15+D20+D21+D22)</f>
        <v>2200786</v>
      </c>
      <c r="E11" s="382">
        <f t="shared" si="5"/>
        <v>0</v>
      </c>
      <c r="F11" s="386">
        <f t="shared" si="5"/>
        <v>0</v>
      </c>
      <c r="G11" s="416">
        <f>SUM(G12+G15+G20+G21)</f>
        <v>0</v>
      </c>
      <c r="H11" s="382">
        <f t="shared" si="5"/>
        <v>0</v>
      </c>
      <c r="I11" s="386">
        <f t="shared" si="5"/>
        <v>0</v>
      </c>
      <c r="J11" s="200">
        <f t="shared" si="5"/>
        <v>0</v>
      </c>
      <c r="K11" s="160">
        <f t="shared" si="1"/>
        <v>2114400</v>
      </c>
      <c r="L11" s="407">
        <f t="shared" si="2"/>
        <v>2114490</v>
      </c>
      <c r="M11" s="150">
        <f t="shared" si="3"/>
        <v>2200786</v>
      </c>
    </row>
    <row r="12" spans="1:13" s="23" customFormat="1" ht="18.600000000000001" customHeight="1" x14ac:dyDescent="0.3">
      <c r="A12" s="153" t="s">
        <v>12</v>
      </c>
      <c r="B12" s="384">
        <f>SUM(B13:B14)</f>
        <v>473000</v>
      </c>
      <c r="C12" s="380">
        <f t="shared" ref="C12:D12" si="6">SUM(C13:C14)</f>
        <v>473000</v>
      </c>
      <c r="D12" s="380">
        <f t="shared" si="6"/>
        <v>486700</v>
      </c>
      <c r="E12" s="384"/>
      <c r="F12" s="380"/>
      <c r="G12" s="224"/>
      <c r="H12" s="384"/>
      <c r="I12" s="380"/>
      <c r="J12" s="427"/>
      <c r="K12" s="160">
        <f t="shared" si="1"/>
        <v>473000</v>
      </c>
      <c r="L12" s="407">
        <f t="shared" si="2"/>
        <v>473000</v>
      </c>
      <c r="M12" s="150">
        <f t="shared" si="3"/>
        <v>486700</v>
      </c>
    </row>
    <row r="13" spans="1:13" ht="18.600000000000001" customHeight="1" x14ac:dyDescent="0.3">
      <c r="A13" s="153" t="s">
        <v>75</v>
      </c>
      <c r="B13" s="383">
        <v>333000</v>
      </c>
      <c r="C13" s="379">
        <v>333000</v>
      </c>
      <c r="D13" s="379">
        <v>333000</v>
      </c>
      <c r="E13" s="383"/>
      <c r="F13" s="379"/>
      <c r="G13" s="417"/>
      <c r="H13" s="383"/>
      <c r="I13" s="379"/>
      <c r="J13" s="426"/>
      <c r="K13" s="160">
        <f t="shared" si="1"/>
        <v>333000</v>
      </c>
      <c r="L13" s="407">
        <f t="shared" si="2"/>
        <v>333000</v>
      </c>
      <c r="M13" s="150">
        <f t="shared" si="3"/>
        <v>333000</v>
      </c>
    </row>
    <row r="14" spans="1:13" ht="18.600000000000001" customHeight="1" x14ac:dyDescent="0.3">
      <c r="A14" s="292" t="s">
        <v>76</v>
      </c>
      <c r="B14" s="384">
        <v>140000</v>
      </c>
      <c r="C14" s="380">
        <v>140000</v>
      </c>
      <c r="D14" s="380">
        <v>153700</v>
      </c>
      <c r="E14" s="384"/>
      <c r="F14" s="380"/>
      <c r="G14" s="224"/>
      <c r="H14" s="384"/>
      <c r="I14" s="380"/>
      <c r="J14" s="427"/>
      <c r="K14" s="160">
        <f t="shared" si="1"/>
        <v>140000</v>
      </c>
      <c r="L14" s="407">
        <f t="shared" si="2"/>
        <v>140000</v>
      </c>
      <c r="M14" s="150">
        <f t="shared" si="3"/>
        <v>153700</v>
      </c>
    </row>
    <row r="15" spans="1:13" s="23" customFormat="1" ht="18.600000000000001" customHeight="1" x14ac:dyDescent="0.3">
      <c r="A15" s="153" t="s">
        <v>77</v>
      </c>
      <c r="B15" s="384">
        <f t="shared" ref="B15:C15" si="7">SUM(B16:B19)</f>
        <v>1634500</v>
      </c>
      <c r="C15" s="380">
        <f t="shared" si="7"/>
        <v>1633000</v>
      </c>
      <c r="D15" s="380">
        <f>SUM(D16:D19)</f>
        <v>1705596</v>
      </c>
      <c r="E15" s="384"/>
      <c r="F15" s="380"/>
      <c r="G15" s="224"/>
      <c r="H15" s="384"/>
      <c r="I15" s="380"/>
      <c r="J15" s="198"/>
      <c r="K15" s="160">
        <f t="shared" si="1"/>
        <v>1634500</v>
      </c>
      <c r="L15" s="407">
        <f t="shared" si="2"/>
        <v>1633000</v>
      </c>
      <c r="M15" s="150">
        <f t="shared" si="3"/>
        <v>1705596</v>
      </c>
    </row>
    <row r="16" spans="1:13" ht="18.600000000000001" customHeight="1" x14ac:dyDescent="0.3">
      <c r="A16" s="153" t="s">
        <v>78</v>
      </c>
      <c r="B16" s="384">
        <v>1500000</v>
      </c>
      <c r="C16" s="380">
        <v>1500000</v>
      </c>
      <c r="D16" s="380">
        <v>1572596</v>
      </c>
      <c r="E16" s="384"/>
      <c r="F16" s="380"/>
      <c r="G16" s="224"/>
      <c r="H16" s="384"/>
      <c r="I16" s="380"/>
      <c r="J16" s="427"/>
      <c r="K16" s="160">
        <f t="shared" si="1"/>
        <v>1500000</v>
      </c>
      <c r="L16" s="407">
        <f t="shared" si="2"/>
        <v>1500000</v>
      </c>
      <c r="M16" s="150">
        <f t="shared" si="3"/>
        <v>1572596</v>
      </c>
    </row>
    <row r="17" spans="1:13" ht="18.600000000000001" customHeight="1" x14ac:dyDescent="0.3">
      <c r="A17" s="153" t="s">
        <v>79</v>
      </c>
      <c r="B17" s="384">
        <v>92000</v>
      </c>
      <c r="C17" s="380">
        <v>92000</v>
      </c>
      <c r="D17" s="380">
        <v>92000</v>
      </c>
      <c r="E17" s="384"/>
      <c r="F17" s="380"/>
      <c r="G17" s="224"/>
      <c r="H17" s="384"/>
      <c r="I17" s="380"/>
      <c r="J17" s="427"/>
      <c r="K17" s="160">
        <f t="shared" si="1"/>
        <v>92000</v>
      </c>
      <c r="L17" s="407">
        <f t="shared" si="2"/>
        <v>92000</v>
      </c>
      <c r="M17" s="150">
        <f t="shared" si="3"/>
        <v>92000</v>
      </c>
    </row>
    <row r="18" spans="1:13" ht="18.600000000000001" customHeight="1" x14ac:dyDescent="0.3">
      <c r="A18" s="153" t="s">
        <v>80</v>
      </c>
      <c r="B18" s="384">
        <v>41000</v>
      </c>
      <c r="C18" s="380">
        <v>41000</v>
      </c>
      <c r="D18" s="380">
        <v>41000</v>
      </c>
      <c r="E18" s="384"/>
      <c r="F18" s="380"/>
      <c r="G18" s="224"/>
      <c r="H18" s="384"/>
      <c r="I18" s="380"/>
      <c r="J18" s="427"/>
      <c r="K18" s="160">
        <f t="shared" si="1"/>
        <v>41000</v>
      </c>
      <c r="L18" s="407">
        <f t="shared" si="2"/>
        <v>41000</v>
      </c>
      <c r="M18" s="150">
        <f t="shared" si="3"/>
        <v>41000</v>
      </c>
    </row>
    <row r="19" spans="1:13" ht="18.600000000000001" customHeight="1" x14ac:dyDescent="0.3">
      <c r="A19" s="153" t="s">
        <v>81</v>
      </c>
      <c r="B19" s="384">
        <v>1500</v>
      </c>
      <c r="C19" s="380">
        <v>0</v>
      </c>
      <c r="D19" s="380">
        <v>0</v>
      </c>
      <c r="E19" s="384"/>
      <c r="F19" s="380"/>
      <c r="G19" s="224"/>
      <c r="H19" s="384"/>
      <c r="I19" s="380"/>
      <c r="J19" s="427"/>
      <c r="K19" s="160">
        <f t="shared" si="1"/>
        <v>1500</v>
      </c>
      <c r="L19" s="407">
        <f t="shared" si="2"/>
        <v>0</v>
      </c>
      <c r="M19" s="150">
        <f t="shared" si="3"/>
        <v>0</v>
      </c>
    </row>
    <row r="20" spans="1:13" s="23" customFormat="1" ht="18.600000000000001" customHeight="1" x14ac:dyDescent="0.3">
      <c r="A20" s="155" t="s">
        <v>14</v>
      </c>
      <c r="B20" s="384">
        <v>5000</v>
      </c>
      <c r="C20" s="380">
        <v>5000</v>
      </c>
      <c r="D20" s="380">
        <v>5000</v>
      </c>
      <c r="E20" s="384"/>
      <c r="F20" s="380"/>
      <c r="G20" s="224"/>
      <c r="H20" s="384"/>
      <c r="I20" s="380"/>
      <c r="J20" s="427"/>
      <c r="K20" s="160">
        <f t="shared" si="1"/>
        <v>5000</v>
      </c>
      <c r="L20" s="407">
        <f t="shared" si="2"/>
        <v>5000</v>
      </c>
      <c r="M20" s="150">
        <f t="shared" si="3"/>
        <v>5000</v>
      </c>
    </row>
    <row r="21" spans="1:13" s="23" customFormat="1" ht="18.600000000000001" customHeight="1" x14ac:dyDescent="0.3">
      <c r="A21" s="155" t="s">
        <v>614</v>
      </c>
      <c r="B21" s="384">
        <v>1900</v>
      </c>
      <c r="C21" s="380">
        <v>1990</v>
      </c>
      <c r="D21" s="380">
        <v>1990</v>
      </c>
      <c r="E21" s="385"/>
      <c r="F21" s="381"/>
      <c r="G21" s="408"/>
      <c r="H21" s="385"/>
      <c r="I21" s="381"/>
      <c r="J21" s="421"/>
      <c r="K21" s="160">
        <f t="shared" si="1"/>
        <v>1900</v>
      </c>
      <c r="L21" s="407">
        <f t="shared" si="2"/>
        <v>1990</v>
      </c>
      <c r="M21" s="150">
        <f t="shared" si="3"/>
        <v>1990</v>
      </c>
    </row>
    <row r="22" spans="1:13" s="23" customFormat="1" ht="18.600000000000001" customHeight="1" x14ac:dyDescent="0.3">
      <c r="A22" s="197" t="s">
        <v>609</v>
      </c>
      <c r="B22" s="384"/>
      <c r="C22" s="380">
        <v>1500</v>
      </c>
      <c r="D22" s="380">
        <v>1500</v>
      </c>
      <c r="E22" s="385"/>
      <c r="F22" s="381"/>
      <c r="G22" s="408"/>
      <c r="H22" s="385"/>
      <c r="I22" s="381"/>
      <c r="J22" s="421"/>
      <c r="K22" s="160">
        <f t="shared" si="1"/>
        <v>0</v>
      </c>
      <c r="L22" s="407">
        <f t="shared" si="2"/>
        <v>1500</v>
      </c>
      <c r="M22" s="150">
        <f t="shared" si="3"/>
        <v>1500</v>
      </c>
    </row>
    <row r="23" spans="1:13" ht="18.600000000000001" customHeight="1" x14ac:dyDescent="0.3">
      <c r="A23" s="152" t="s">
        <v>19</v>
      </c>
      <c r="B23" s="385">
        <f t="shared" ref="B23:I23" si="8">SUM(B24:B30)</f>
        <v>654135</v>
      </c>
      <c r="C23" s="381">
        <f>SUM(C24:C31)</f>
        <v>843403</v>
      </c>
      <c r="D23" s="199">
        <f>SUM(D24:D31)</f>
        <v>908659</v>
      </c>
      <c r="E23" s="385">
        <f t="shared" si="8"/>
        <v>6105</v>
      </c>
      <c r="F23" s="381">
        <f t="shared" si="8"/>
        <v>8605</v>
      </c>
      <c r="G23" s="408">
        <f>SUM(G24:G31)</f>
        <v>8605</v>
      </c>
      <c r="H23" s="385">
        <f t="shared" si="8"/>
        <v>192296</v>
      </c>
      <c r="I23" s="381">
        <f t="shared" si="8"/>
        <v>214428</v>
      </c>
      <c r="J23" s="199">
        <f>SUM(J24:J31)</f>
        <v>221020</v>
      </c>
      <c r="K23" s="160">
        <f t="shared" si="1"/>
        <v>852536</v>
      </c>
      <c r="L23" s="407">
        <f t="shared" si="2"/>
        <v>1066436</v>
      </c>
      <c r="M23" s="150">
        <f t="shared" si="3"/>
        <v>1138284</v>
      </c>
    </row>
    <row r="24" spans="1:13" ht="18.600000000000001" customHeight="1" x14ac:dyDescent="0.3">
      <c r="A24" s="153" t="s">
        <v>21</v>
      </c>
      <c r="B24" s="384">
        <v>381913</v>
      </c>
      <c r="C24" s="380">
        <v>486962</v>
      </c>
      <c r="D24" s="380">
        <v>552142</v>
      </c>
      <c r="E24" s="384">
        <v>6105</v>
      </c>
      <c r="F24" s="380">
        <v>6105</v>
      </c>
      <c r="G24" s="224">
        <v>6105</v>
      </c>
      <c r="H24" s="384">
        <v>2000</v>
      </c>
      <c r="I24" s="380">
        <v>2000</v>
      </c>
      <c r="J24" s="427">
        <v>2000</v>
      </c>
      <c r="K24" s="160">
        <f t="shared" si="1"/>
        <v>390018</v>
      </c>
      <c r="L24" s="407">
        <f t="shared" si="2"/>
        <v>495067</v>
      </c>
      <c r="M24" s="150">
        <f t="shared" si="3"/>
        <v>560247</v>
      </c>
    </row>
    <row r="25" spans="1:13" ht="18.600000000000001" customHeight="1" x14ac:dyDescent="0.3">
      <c r="A25" s="153" t="s">
        <v>82</v>
      </c>
      <c r="B25" s="384">
        <v>14144</v>
      </c>
      <c r="C25" s="380">
        <v>84613</v>
      </c>
      <c r="D25" s="380">
        <v>84613</v>
      </c>
      <c r="E25" s="384"/>
      <c r="F25" s="380">
        <v>2500</v>
      </c>
      <c r="G25" s="224">
        <v>2500</v>
      </c>
      <c r="H25" s="384">
        <v>51467</v>
      </c>
      <c r="I25" s="380">
        <v>71045</v>
      </c>
      <c r="J25" s="427">
        <v>71500</v>
      </c>
      <c r="K25" s="160">
        <f t="shared" si="1"/>
        <v>65611</v>
      </c>
      <c r="L25" s="407">
        <f t="shared" si="2"/>
        <v>158158</v>
      </c>
      <c r="M25" s="150">
        <f t="shared" si="3"/>
        <v>158613</v>
      </c>
    </row>
    <row r="26" spans="1:13" ht="18.600000000000001" customHeight="1" x14ac:dyDescent="0.3">
      <c r="A26" s="153" t="s">
        <v>24</v>
      </c>
      <c r="B26" s="384">
        <v>34100</v>
      </c>
      <c r="C26" s="380">
        <v>23389</v>
      </c>
      <c r="D26" s="380">
        <v>23389</v>
      </c>
      <c r="E26" s="384"/>
      <c r="F26" s="380"/>
      <c r="G26" s="224"/>
      <c r="H26" s="384">
        <v>1556</v>
      </c>
      <c r="I26" s="380">
        <v>2854</v>
      </c>
      <c r="J26" s="427">
        <v>2854</v>
      </c>
      <c r="K26" s="160">
        <f t="shared" si="1"/>
        <v>35656</v>
      </c>
      <c r="L26" s="407">
        <f t="shared" si="2"/>
        <v>26243</v>
      </c>
      <c r="M26" s="150">
        <f t="shared" si="3"/>
        <v>26243</v>
      </c>
    </row>
    <row r="27" spans="1:13" ht="21" customHeight="1" x14ac:dyDescent="0.3">
      <c r="A27" s="153" t="s">
        <v>83</v>
      </c>
      <c r="B27" s="384">
        <v>87862</v>
      </c>
      <c r="C27" s="380">
        <v>87862</v>
      </c>
      <c r="D27" s="380">
        <v>87862</v>
      </c>
      <c r="E27" s="384"/>
      <c r="F27" s="380"/>
      <c r="G27" s="224"/>
      <c r="H27" s="384"/>
      <c r="I27" s="380"/>
      <c r="J27" s="427"/>
      <c r="K27" s="160">
        <f t="shared" si="1"/>
        <v>87862</v>
      </c>
      <c r="L27" s="407">
        <f t="shared" si="2"/>
        <v>87862</v>
      </c>
      <c r="M27" s="150">
        <f t="shared" si="3"/>
        <v>87862</v>
      </c>
    </row>
    <row r="28" spans="1:13" ht="18.600000000000001" customHeight="1" x14ac:dyDescent="0.3">
      <c r="A28" s="153" t="s">
        <v>27</v>
      </c>
      <c r="B28" s="384"/>
      <c r="C28" s="380"/>
      <c r="D28" s="380"/>
      <c r="E28" s="384"/>
      <c r="F28" s="380"/>
      <c r="G28" s="224"/>
      <c r="H28" s="384">
        <v>83853</v>
      </c>
      <c r="I28" s="380">
        <v>85109</v>
      </c>
      <c r="J28" s="427">
        <v>85109</v>
      </c>
      <c r="K28" s="160">
        <f t="shared" si="1"/>
        <v>83853</v>
      </c>
      <c r="L28" s="407">
        <f t="shared" si="2"/>
        <v>85109</v>
      </c>
      <c r="M28" s="150">
        <f t="shared" si="3"/>
        <v>85109</v>
      </c>
    </row>
    <row r="29" spans="1:13" ht="18.600000000000001" customHeight="1" x14ac:dyDescent="0.3">
      <c r="A29" s="156" t="s">
        <v>28</v>
      </c>
      <c r="B29" s="384">
        <v>120381</v>
      </c>
      <c r="C29" s="380">
        <v>144835</v>
      </c>
      <c r="D29" s="380">
        <v>144835</v>
      </c>
      <c r="E29" s="384"/>
      <c r="F29" s="380"/>
      <c r="G29" s="224"/>
      <c r="H29" s="384">
        <v>53420</v>
      </c>
      <c r="I29" s="380">
        <v>53420</v>
      </c>
      <c r="J29" s="427">
        <v>59390</v>
      </c>
      <c r="K29" s="160">
        <f t="shared" si="1"/>
        <v>173801</v>
      </c>
      <c r="L29" s="407">
        <f t="shared" si="2"/>
        <v>198255</v>
      </c>
      <c r="M29" s="150">
        <f t="shared" si="3"/>
        <v>204225</v>
      </c>
    </row>
    <row r="30" spans="1:13" s="22" customFormat="1" ht="18.600000000000001" customHeight="1" x14ac:dyDescent="0.3">
      <c r="A30" s="153" t="s">
        <v>30</v>
      </c>
      <c r="B30" s="384">
        <v>15735</v>
      </c>
      <c r="C30" s="380">
        <v>15735</v>
      </c>
      <c r="D30" s="380">
        <v>15735</v>
      </c>
      <c r="E30" s="385"/>
      <c r="F30" s="381"/>
      <c r="G30" s="408"/>
      <c r="H30" s="385"/>
      <c r="I30" s="381"/>
      <c r="J30" s="427">
        <v>9</v>
      </c>
      <c r="K30" s="160">
        <f t="shared" si="1"/>
        <v>15735</v>
      </c>
      <c r="L30" s="407">
        <f t="shared" si="2"/>
        <v>15735</v>
      </c>
      <c r="M30" s="150">
        <f t="shared" si="3"/>
        <v>15744</v>
      </c>
    </row>
    <row r="31" spans="1:13" s="22" customFormat="1" ht="18.600000000000001" customHeight="1" x14ac:dyDescent="0.3">
      <c r="A31" s="201" t="s">
        <v>610</v>
      </c>
      <c r="B31" s="384"/>
      <c r="C31" s="380">
        <v>7</v>
      </c>
      <c r="D31" s="380">
        <v>83</v>
      </c>
      <c r="E31" s="385"/>
      <c r="F31" s="381"/>
      <c r="G31" s="408"/>
      <c r="H31" s="385"/>
      <c r="I31" s="381"/>
      <c r="J31" s="427">
        <v>158</v>
      </c>
      <c r="K31" s="160">
        <f t="shared" si="1"/>
        <v>0</v>
      </c>
      <c r="L31" s="407">
        <f t="shared" si="2"/>
        <v>7</v>
      </c>
      <c r="M31" s="150">
        <f t="shared" si="3"/>
        <v>241</v>
      </c>
    </row>
    <row r="32" spans="1:13" ht="18.600000000000001" customHeight="1" x14ac:dyDescent="0.3">
      <c r="A32" s="154" t="s">
        <v>32</v>
      </c>
      <c r="B32" s="385">
        <f t="shared" ref="B32:J32" si="9">SUM(B33:B34)</f>
        <v>2000</v>
      </c>
      <c r="C32" s="381">
        <f t="shared" si="9"/>
        <v>2070</v>
      </c>
      <c r="D32" s="381">
        <f>SUM(D33:D34)</f>
        <v>2070</v>
      </c>
      <c r="E32" s="385">
        <f t="shared" si="9"/>
        <v>1400</v>
      </c>
      <c r="F32" s="381">
        <f t="shared" si="9"/>
        <v>1400</v>
      </c>
      <c r="G32" s="408">
        <f t="shared" si="9"/>
        <v>1400</v>
      </c>
      <c r="H32" s="385">
        <f t="shared" si="9"/>
        <v>0</v>
      </c>
      <c r="I32" s="381">
        <f t="shared" si="9"/>
        <v>0</v>
      </c>
      <c r="J32" s="199">
        <f t="shared" si="9"/>
        <v>11</v>
      </c>
      <c r="K32" s="160">
        <f t="shared" si="1"/>
        <v>3400</v>
      </c>
      <c r="L32" s="407">
        <f t="shared" si="2"/>
        <v>3470</v>
      </c>
      <c r="M32" s="150">
        <f t="shared" si="3"/>
        <v>3481</v>
      </c>
    </row>
    <row r="33" spans="1:13" s="22" customFormat="1" ht="18.600000000000001" customHeight="1" x14ac:dyDescent="0.3">
      <c r="A33" s="153" t="s">
        <v>329</v>
      </c>
      <c r="B33" s="384"/>
      <c r="C33" s="380"/>
      <c r="D33" s="380"/>
      <c r="E33" s="384">
        <v>1400</v>
      </c>
      <c r="F33" s="380">
        <v>1400</v>
      </c>
      <c r="G33" s="224">
        <v>1400</v>
      </c>
      <c r="H33" s="385"/>
      <c r="I33" s="381"/>
      <c r="J33" s="427">
        <v>11</v>
      </c>
      <c r="K33" s="160">
        <f t="shared" si="1"/>
        <v>1400</v>
      </c>
      <c r="L33" s="407">
        <f t="shared" si="2"/>
        <v>1400</v>
      </c>
      <c r="M33" s="150">
        <f t="shared" si="3"/>
        <v>1411</v>
      </c>
    </row>
    <row r="34" spans="1:13" s="22" customFormat="1" ht="18.600000000000001" customHeight="1" x14ac:dyDescent="0.3">
      <c r="A34" s="153" t="s">
        <v>471</v>
      </c>
      <c r="B34" s="384">
        <v>2000</v>
      </c>
      <c r="C34" s="380">
        <v>2070</v>
      </c>
      <c r="D34" s="380">
        <v>2070</v>
      </c>
      <c r="E34" s="384"/>
      <c r="F34" s="380"/>
      <c r="G34" s="224"/>
      <c r="H34" s="385"/>
      <c r="I34" s="381"/>
      <c r="J34" s="421"/>
      <c r="K34" s="160">
        <f t="shared" si="1"/>
        <v>2000</v>
      </c>
      <c r="L34" s="407">
        <f t="shared" si="2"/>
        <v>2070</v>
      </c>
      <c r="M34" s="150">
        <f t="shared" si="3"/>
        <v>2070</v>
      </c>
    </row>
    <row r="35" spans="1:13" s="22" customFormat="1" ht="18.600000000000001" customHeight="1" x14ac:dyDescent="0.3">
      <c r="A35" s="154" t="s">
        <v>34</v>
      </c>
      <c r="B35" s="385">
        <f>SUM(B36)</f>
        <v>73119</v>
      </c>
      <c r="C35" s="381">
        <f>SUM(C36+C37)</f>
        <v>76119</v>
      </c>
      <c r="D35" s="199">
        <f>SUM(D36+D37)</f>
        <v>122279</v>
      </c>
      <c r="E35" s="385"/>
      <c r="F35" s="381"/>
      <c r="G35" s="408"/>
      <c r="H35" s="385"/>
      <c r="I35" s="381">
        <f>SUM(I36:I37)</f>
        <v>900</v>
      </c>
      <c r="J35" s="199">
        <f>SUM(J36:J37)</f>
        <v>7170</v>
      </c>
      <c r="K35" s="160">
        <f t="shared" si="1"/>
        <v>73119</v>
      </c>
      <c r="L35" s="407">
        <f t="shared" si="2"/>
        <v>77019</v>
      </c>
      <c r="M35" s="150">
        <f t="shared" si="3"/>
        <v>129449</v>
      </c>
    </row>
    <row r="36" spans="1:13" s="22" customFormat="1" ht="18.600000000000001" customHeight="1" x14ac:dyDescent="0.3">
      <c r="A36" s="153" t="s">
        <v>84</v>
      </c>
      <c r="B36" s="384">
        <v>73119</v>
      </c>
      <c r="C36" s="380">
        <v>73119</v>
      </c>
      <c r="D36" s="380">
        <v>119279</v>
      </c>
      <c r="E36" s="385"/>
      <c r="F36" s="381"/>
      <c r="G36" s="408"/>
      <c r="H36" s="385"/>
      <c r="I36" s="380">
        <v>900</v>
      </c>
      <c r="J36" s="427">
        <v>7170</v>
      </c>
      <c r="K36" s="160">
        <f t="shared" si="1"/>
        <v>73119</v>
      </c>
      <c r="L36" s="407">
        <f t="shared" si="2"/>
        <v>74019</v>
      </c>
      <c r="M36" s="150">
        <f t="shared" si="3"/>
        <v>126449</v>
      </c>
    </row>
    <row r="37" spans="1:13" s="22" customFormat="1" ht="18.600000000000001" customHeight="1" x14ac:dyDescent="0.3">
      <c r="A37" s="201" t="s">
        <v>338</v>
      </c>
      <c r="B37" s="384"/>
      <c r="C37" s="380">
        <v>3000</v>
      </c>
      <c r="D37" s="380">
        <v>3000</v>
      </c>
      <c r="E37" s="385"/>
      <c r="F37" s="381"/>
      <c r="G37" s="408"/>
      <c r="H37" s="385"/>
      <c r="I37" s="381"/>
      <c r="J37" s="421"/>
      <c r="K37" s="160">
        <f t="shared" si="1"/>
        <v>0</v>
      </c>
      <c r="L37" s="407">
        <f t="shared" si="2"/>
        <v>3000</v>
      </c>
      <c r="M37" s="150">
        <f t="shared" si="3"/>
        <v>3000</v>
      </c>
    </row>
    <row r="38" spans="1:13" ht="18.600000000000001" customHeight="1" x14ac:dyDescent="0.3">
      <c r="A38" s="157" t="s">
        <v>85</v>
      </c>
      <c r="B38" s="385">
        <f t="shared" ref="B38:G38" si="10">SUM(B39:B40)</f>
        <v>19530</v>
      </c>
      <c r="C38" s="381">
        <f t="shared" si="10"/>
        <v>19630</v>
      </c>
      <c r="D38" s="199">
        <f t="shared" si="10"/>
        <v>19630</v>
      </c>
      <c r="E38" s="385">
        <f t="shared" si="10"/>
        <v>600</v>
      </c>
      <c r="F38" s="381">
        <f t="shared" si="10"/>
        <v>600</v>
      </c>
      <c r="G38" s="408">
        <f t="shared" si="10"/>
        <v>600</v>
      </c>
      <c r="H38" s="385">
        <f>SUM(H39)</f>
        <v>0</v>
      </c>
      <c r="I38" s="381">
        <f>SUM(I39)</f>
        <v>0</v>
      </c>
      <c r="J38" s="199">
        <f>SUM(J39:J40)</f>
        <v>800</v>
      </c>
      <c r="K38" s="160">
        <f t="shared" si="1"/>
        <v>20130</v>
      </c>
      <c r="L38" s="407">
        <f t="shared" si="2"/>
        <v>20230</v>
      </c>
      <c r="M38" s="150">
        <f t="shared" si="3"/>
        <v>21030</v>
      </c>
    </row>
    <row r="39" spans="1:13" s="23" customFormat="1" ht="18.600000000000001" customHeight="1" x14ac:dyDescent="0.3">
      <c r="A39" s="158" t="s">
        <v>84</v>
      </c>
      <c r="B39" s="384">
        <v>896</v>
      </c>
      <c r="C39" s="380">
        <v>996</v>
      </c>
      <c r="D39" s="380">
        <v>996</v>
      </c>
      <c r="E39" s="409">
        <v>600</v>
      </c>
      <c r="F39" s="410">
        <v>600</v>
      </c>
      <c r="G39" s="418">
        <v>600</v>
      </c>
      <c r="H39" s="409"/>
      <c r="I39" s="410"/>
      <c r="J39" s="428"/>
      <c r="K39" s="160">
        <f t="shared" si="1"/>
        <v>1496</v>
      </c>
      <c r="L39" s="407">
        <f t="shared" si="2"/>
        <v>1596</v>
      </c>
      <c r="M39" s="150">
        <f t="shared" si="3"/>
        <v>1596</v>
      </c>
    </row>
    <row r="40" spans="1:13" s="23" customFormat="1" ht="18.600000000000001" customHeight="1" thickBot="1" x14ac:dyDescent="0.35">
      <c r="A40" s="387" t="s">
        <v>8</v>
      </c>
      <c r="B40" s="388">
        <v>18634</v>
      </c>
      <c r="C40" s="389">
        <v>18634</v>
      </c>
      <c r="D40" s="389">
        <v>18634</v>
      </c>
      <c r="E40" s="411"/>
      <c r="F40" s="412"/>
      <c r="G40" s="419"/>
      <c r="H40" s="411"/>
      <c r="I40" s="412"/>
      <c r="J40" s="429">
        <v>800</v>
      </c>
      <c r="K40" s="390">
        <f t="shared" si="1"/>
        <v>18634</v>
      </c>
      <c r="L40" s="431">
        <f t="shared" si="2"/>
        <v>18634</v>
      </c>
      <c r="M40" s="391">
        <f t="shared" si="3"/>
        <v>19434</v>
      </c>
    </row>
    <row r="41" spans="1:13" ht="18.600000000000001" customHeight="1" thickBot="1" x14ac:dyDescent="0.35">
      <c r="A41" s="395" t="s">
        <v>86</v>
      </c>
      <c r="B41" s="396">
        <f>SUM(B6+B7+B9+B11+B23+B32+B38+B35)</f>
        <v>4088125</v>
      </c>
      <c r="C41" s="397">
        <f>SUM(C6+C7+C9+C11+C23+C32+C38+C35)</f>
        <v>4293952</v>
      </c>
      <c r="D41" s="398">
        <f>SUM(D6+D7+D9+D11+D23+D32+D38+D35)</f>
        <v>5711446</v>
      </c>
      <c r="E41" s="396">
        <f>SUM(E6+E7+E11+E23+E32+E38)</f>
        <v>25271</v>
      </c>
      <c r="F41" s="397">
        <f>SUM(F6+F7+F11+F23+F32+F38)</f>
        <v>30270</v>
      </c>
      <c r="G41" s="420">
        <f>SUM(G6+G7+G11+G23+G32+G38)</f>
        <v>31570</v>
      </c>
      <c r="H41" s="396">
        <f>SUM(H6+H7+H9+H11+H23+H32+H38)</f>
        <v>263264</v>
      </c>
      <c r="I41" s="397">
        <f>SUM(I6+I7+I9+I11+I23+I32+I38+I35)</f>
        <v>286296</v>
      </c>
      <c r="J41" s="398">
        <f>SUM(J6+J7+J9+J11+J23+J32+J38+J35)</f>
        <v>304317</v>
      </c>
      <c r="K41" s="399">
        <f t="shared" si="1"/>
        <v>4376660</v>
      </c>
      <c r="L41" s="432">
        <f t="shared" si="2"/>
        <v>4610518</v>
      </c>
      <c r="M41" s="400">
        <f t="shared" si="3"/>
        <v>6047333</v>
      </c>
    </row>
    <row r="42" spans="1:13" ht="18.600000000000001" customHeight="1" x14ac:dyDescent="0.3">
      <c r="A42" s="896" t="s">
        <v>726</v>
      </c>
      <c r="B42" s="897"/>
      <c r="C42" s="897"/>
      <c r="D42" s="897">
        <v>572581</v>
      </c>
      <c r="E42" s="897"/>
      <c r="F42" s="897"/>
      <c r="G42" s="897"/>
      <c r="H42" s="897"/>
      <c r="I42" s="897"/>
      <c r="J42" s="897"/>
      <c r="K42" s="898"/>
      <c r="L42" s="898"/>
      <c r="M42" s="150">
        <f>D42+G42+J42</f>
        <v>572581</v>
      </c>
    </row>
    <row r="43" spans="1:13" s="24" customFormat="1" ht="18.600000000000001" customHeight="1" x14ac:dyDescent="0.35">
      <c r="A43" s="392" t="s">
        <v>502</v>
      </c>
      <c r="B43" s="393">
        <v>25000</v>
      </c>
      <c r="C43" s="394">
        <v>38000</v>
      </c>
      <c r="D43" s="394">
        <v>40010</v>
      </c>
      <c r="E43" s="413"/>
      <c r="F43" s="414"/>
      <c r="G43" s="421"/>
      <c r="H43" s="413"/>
      <c r="I43" s="414"/>
      <c r="J43" s="421"/>
      <c r="K43" s="160">
        <f t="shared" si="1"/>
        <v>25000</v>
      </c>
      <c r="L43" s="407">
        <f t="shared" si="2"/>
        <v>38000</v>
      </c>
      <c r="M43" s="150">
        <f>D43+G43+J43</f>
        <v>40010</v>
      </c>
    </row>
    <row r="44" spans="1:13" x14ac:dyDescent="0.3">
      <c r="A44" s="157" t="s">
        <v>505</v>
      </c>
      <c r="B44" s="384">
        <v>200000</v>
      </c>
      <c r="C44" s="380">
        <v>0</v>
      </c>
      <c r="D44" s="380">
        <v>0</v>
      </c>
      <c r="E44" s="384"/>
      <c r="F44" s="380"/>
      <c r="G44" s="224">
        <v>4986</v>
      </c>
      <c r="H44" s="384"/>
      <c r="I44" s="380"/>
      <c r="J44" s="427">
        <v>4826</v>
      </c>
      <c r="K44" s="160">
        <f t="shared" si="1"/>
        <v>200000</v>
      </c>
      <c r="L44" s="407">
        <f t="shared" si="2"/>
        <v>0</v>
      </c>
      <c r="M44" s="150">
        <f>D44+G44+J44</f>
        <v>9812</v>
      </c>
    </row>
    <row r="45" spans="1:13" x14ac:dyDescent="0.3">
      <c r="A45" s="157" t="s">
        <v>87</v>
      </c>
      <c r="B45" s="384"/>
      <c r="C45" s="380"/>
      <c r="D45" s="380"/>
      <c r="E45" s="384">
        <v>539566</v>
      </c>
      <c r="F45" s="380">
        <v>572168</v>
      </c>
      <c r="G45" s="224">
        <v>560210</v>
      </c>
      <c r="H45" s="384">
        <v>986035</v>
      </c>
      <c r="I45" s="380">
        <v>1014225</v>
      </c>
      <c r="J45" s="427">
        <v>1030994</v>
      </c>
      <c r="K45" s="160">
        <f t="shared" si="1"/>
        <v>1525601</v>
      </c>
      <c r="L45" s="407">
        <f t="shared" si="2"/>
        <v>1586393</v>
      </c>
      <c r="M45" s="150">
        <f t="shared" si="3"/>
        <v>1591204</v>
      </c>
    </row>
    <row r="46" spans="1:13" x14ac:dyDescent="0.3">
      <c r="A46" s="202" t="s">
        <v>611</v>
      </c>
      <c r="B46" s="384"/>
      <c r="C46" s="380">
        <v>2388559</v>
      </c>
      <c r="D46" s="380">
        <v>2388559</v>
      </c>
      <c r="E46" s="384"/>
      <c r="F46" s="380"/>
      <c r="G46" s="224"/>
      <c r="H46" s="384"/>
      <c r="I46" s="380"/>
      <c r="J46" s="427"/>
      <c r="K46" s="160">
        <f t="shared" si="1"/>
        <v>0</v>
      </c>
      <c r="L46" s="407">
        <f t="shared" si="2"/>
        <v>2388559</v>
      </c>
      <c r="M46" s="1163">
        <f t="shared" si="3"/>
        <v>2388559</v>
      </c>
    </row>
    <row r="47" spans="1:13" ht="19.5" thickBot="1" x14ac:dyDescent="0.35">
      <c r="A47" s="401" t="s">
        <v>613</v>
      </c>
      <c r="B47" s="388"/>
      <c r="C47" s="389">
        <v>80000</v>
      </c>
      <c r="D47" s="389">
        <v>80000</v>
      </c>
      <c r="E47" s="388"/>
      <c r="F47" s="389"/>
      <c r="G47" s="422"/>
      <c r="H47" s="388"/>
      <c r="I47" s="389"/>
      <c r="J47" s="429"/>
      <c r="K47" s="390">
        <f t="shared" si="1"/>
        <v>0</v>
      </c>
      <c r="L47" s="431">
        <f t="shared" si="2"/>
        <v>80000</v>
      </c>
      <c r="M47" s="431">
        <f t="shared" si="3"/>
        <v>80000</v>
      </c>
    </row>
    <row r="48" spans="1:13" ht="19.5" thickBot="1" x14ac:dyDescent="0.35">
      <c r="A48" s="406" t="s">
        <v>88</v>
      </c>
      <c r="B48" s="396">
        <f>SUM(B42:B47)</f>
        <v>225000</v>
      </c>
      <c r="C48" s="396">
        <f t="shared" ref="C48:D48" si="11">SUM(C42:C47)</f>
        <v>2506559</v>
      </c>
      <c r="D48" s="396">
        <f t="shared" si="11"/>
        <v>3081150</v>
      </c>
      <c r="E48" s="396">
        <f t="shared" ref="E48" si="12">SUM(E42:E47)</f>
        <v>539566</v>
      </c>
      <c r="F48" s="396">
        <f t="shared" ref="F48" si="13">SUM(F42:F47)</f>
        <v>572168</v>
      </c>
      <c r="G48" s="396">
        <f t="shared" ref="G48" si="14">SUM(G42:G47)</f>
        <v>565196</v>
      </c>
      <c r="H48" s="396">
        <f t="shared" ref="H48" si="15">SUM(H42:H47)</f>
        <v>986035</v>
      </c>
      <c r="I48" s="396">
        <f t="shared" ref="I48" si="16">SUM(I42:I47)</f>
        <v>1014225</v>
      </c>
      <c r="J48" s="396">
        <f t="shared" ref="J48" si="17">SUM(J42:J47)</f>
        <v>1035820</v>
      </c>
      <c r="K48" s="396">
        <f t="shared" ref="K48" si="18">SUM(K42:K47)</f>
        <v>1750601</v>
      </c>
      <c r="L48" s="396">
        <f t="shared" ref="L48" si="19">SUM(L42:L47)</f>
        <v>4092952</v>
      </c>
      <c r="M48" s="397">
        <f>SUM(M42:M47)</f>
        <v>4682166</v>
      </c>
    </row>
    <row r="49" spans="1:13" s="22" customFormat="1" ht="19.5" thickBot="1" x14ac:dyDescent="0.35">
      <c r="A49" s="402" t="s">
        <v>47</v>
      </c>
      <c r="B49" s="403">
        <f t="shared" ref="B49:J49" si="20">SUM(B41+B48)</f>
        <v>4313125</v>
      </c>
      <c r="C49" s="404">
        <f t="shared" si="20"/>
        <v>6800511</v>
      </c>
      <c r="D49" s="405">
        <f>SUM(D41+D48)</f>
        <v>8792596</v>
      </c>
      <c r="E49" s="403">
        <f t="shared" si="20"/>
        <v>564837</v>
      </c>
      <c r="F49" s="404">
        <f t="shared" si="20"/>
        <v>602438</v>
      </c>
      <c r="G49" s="423">
        <f>SUM(G41+G48)</f>
        <v>596766</v>
      </c>
      <c r="H49" s="403">
        <f t="shared" si="20"/>
        <v>1249299</v>
      </c>
      <c r="I49" s="404">
        <f t="shared" si="20"/>
        <v>1300521</v>
      </c>
      <c r="J49" s="405">
        <f t="shared" si="20"/>
        <v>1340137</v>
      </c>
      <c r="K49" s="430">
        <f t="shared" si="1"/>
        <v>6127261</v>
      </c>
      <c r="L49" s="433">
        <f t="shared" si="2"/>
        <v>8703470</v>
      </c>
      <c r="M49" s="433">
        <f t="shared" si="3"/>
        <v>10729499</v>
      </c>
    </row>
  </sheetData>
  <sheetProtection selectLockedCells="1" selectUnlockedCells="1"/>
  <mergeCells count="6">
    <mergeCell ref="A2:M2"/>
    <mergeCell ref="A4:A5"/>
    <mergeCell ref="B4:D4"/>
    <mergeCell ref="E4:G4"/>
    <mergeCell ref="H4:J4"/>
    <mergeCell ref="K4:M4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37" firstPageNumber="0" orientation="landscape" horizontalDpi="300" verticalDpi="300" r:id="rId1"/>
  <headerFooter alignWithMargins="0">
    <oddHeader xml:space="preserve">&amp;L&amp;11 3. melléklet a 20/2017.( IX.29.) önkormányzati rendelethez
3. melléklet a 24/2016.(XII.16.)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view="pageBreakPreview" topLeftCell="C19" zoomScale="90" zoomScaleNormal="79" zoomScaleSheetLayoutView="90" workbookViewId="0">
      <selection activeCell="F32" sqref="F32"/>
    </sheetView>
  </sheetViews>
  <sheetFormatPr defaultRowHeight="25.5" customHeight="1" x14ac:dyDescent="0.25"/>
  <cols>
    <col min="1" max="2" width="0" style="25" hidden="1" customWidth="1"/>
    <col min="3" max="3" width="60.28515625" style="25" customWidth="1"/>
    <col min="4" max="4" width="14.7109375" style="25" customWidth="1"/>
    <col min="5" max="5" width="15.140625" style="25" customWidth="1"/>
    <col min="6" max="6" width="15.7109375" style="25" customWidth="1"/>
    <col min="7" max="7" width="15.85546875" style="25" customWidth="1"/>
    <col min="8" max="8" width="16.28515625" style="25" customWidth="1"/>
    <col min="9" max="9" width="14.85546875" style="25" customWidth="1"/>
    <col min="10" max="10" width="15.140625" style="25" customWidth="1"/>
    <col min="11" max="12" width="15.7109375" style="25" customWidth="1"/>
    <col min="13" max="13" width="15.42578125" style="25" customWidth="1"/>
    <col min="14" max="14" width="16.140625" style="25" customWidth="1"/>
    <col min="15" max="15" width="14.85546875" style="25" customWidth="1"/>
    <col min="16" max="16384" width="9.140625" style="25"/>
  </cols>
  <sheetData>
    <row r="1" spans="1:23" s="26" customFormat="1" ht="18" customHeight="1" x14ac:dyDescent="0.25">
      <c r="C1" s="1377" t="s">
        <v>342</v>
      </c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</row>
    <row r="2" spans="1:23" s="26" customFormat="1" ht="18" customHeight="1" x14ac:dyDescent="0.25">
      <c r="C2" s="1377" t="s">
        <v>491</v>
      </c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7"/>
    </row>
    <row r="3" spans="1:23" s="26" customFormat="1" ht="18" customHeight="1" thickBot="1" x14ac:dyDescent="0.3"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23" ht="69.75" customHeight="1" thickBot="1" x14ac:dyDescent="0.3">
      <c r="A4" s="28"/>
      <c r="B4" s="26"/>
      <c r="C4" s="1378" t="s">
        <v>89</v>
      </c>
      <c r="D4" s="1380" t="s">
        <v>69</v>
      </c>
      <c r="E4" s="1381"/>
      <c r="F4" s="1382"/>
      <c r="G4" s="1380" t="s">
        <v>70</v>
      </c>
      <c r="H4" s="1381"/>
      <c r="I4" s="1382"/>
      <c r="J4" s="1380" t="s">
        <v>71</v>
      </c>
      <c r="K4" s="1381"/>
      <c r="L4" s="1382"/>
      <c r="M4" s="1383" t="s">
        <v>72</v>
      </c>
      <c r="N4" s="1384"/>
      <c r="O4" s="1385"/>
      <c r="P4" s="26"/>
      <c r="Q4" s="26"/>
      <c r="R4" s="26"/>
      <c r="S4" s="26"/>
      <c r="T4" s="26"/>
      <c r="U4" s="26"/>
      <c r="V4" s="26"/>
      <c r="W4" s="26"/>
    </row>
    <row r="5" spans="1:23" ht="18.75" customHeight="1" thickBot="1" x14ac:dyDescent="0.3">
      <c r="A5" s="29"/>
      <c r="B5" s="30"/>
      <c r="C5" s="1379"/>
      <c r="D5" s="166" t="s">
        <v>3</v>
      </c>
      <c r="E5" s="264" t="s">
        <v>567</v>
      </c>
      <c r="F5" s="264" t="s">
        <v>620</v>
      </c>
      <c r="G5" s="169" t="s">
        <v>3</v>
      </c>
      <c r="H5" s="264" t="s">
        <v>567</v>
      </c>
      <c r="I5" s="264" t="s">
        <v>619</v>
      </c>
      <c r="J5" s="169" t="s">
        <v>3</v>
      </c>
      <c r="K5" s="264" t="s">
        <v>567</v>
      </c>
      <c r="L5" s="253" t="s">
        <v>622</v>
      </c>
      <c r="M5" s="109" t="s">
        <v>4</v>
      </c>
      <c r="N5" s="172" t="s">
        <v>567</v>
      </c>
      <c r="O5" s="264" t="s">
        <v>619</v>
      </c>
      <c r="P5" s="26"/>
      <c r="Q5" s="26"/>
      <c r="R5" s="26"/>
      <c r="S5" s="26"/>
      <c r="T5" s="26"/>
      <c r="U5" s="26"/>
      <c r="V5" s="26"/>
      <c r="W5" s="26"/>
    </row>
    <row r="6" spans="1:23" s="33" customFormat="1" ht="19.5" customHeight="1" x14ac:dyDescent="0.25">
      <c r="A6" s="31"/>
      <c r="B6" s="32"/>
      <c r="C6" s="434" t="s">
        <v>6</v>
      </c>
      <c r="D6" s="442">
        <v>218792</v>
      </c>
      <c r="E6" s="272">
        <v>219792</v>
      </c>
      <c r="F6" s="265">
        <v>247176</v>
      </c>
      <c r="G6" s="161">
        <v>346703</v>
      </c>
      <c r="H6" s="272">
        <v>375284</v>
      </c>
      <c r="I6" s="272">
        <v>369451</v>
      </c>
      <c r="J6" s="161">
        <v>646786</v>
      </c>
      <c r="K6" s="272">
        <v>658440</v>
      </c>
      <c r="L6" s="274">
        <v>662541</v>
      </c>
      <c r="M6" s="108">
        <f t="shared" ref="M6:M31" si="0">SUM(D6+G6+J6)</f>
        <v>1212281</v>
      </c>
      <c r="N6" s="108">
        <f t="shared" ref="N6:O32" si="1">SUM(E6+H6+K6)</f>
        <v>1253516</v>
      </c>
      <c r="O6" s="108">
        <f t="shared" si="1"/>
        <v>1279168</v>
      </c>
      <c r="P6" s="32"/>
      <c r="Q6" s="32"/>
      <c r="R6" s="32"/>
      <c r="S6" s="32"/>
      <c r="T6" s="32"/>
      <c r="U6" s="32"/>
      <c r="V6" s="32"/>
      <c r="W6" s="32"/>
    </row>
    <row r="7" spans="1:23" s="33" customFormat="1" ht="20.100000000000001" customHeight="1" x14ac:dyDescent="0.25">
      <c r="A7" s="31"/>
      <c r="B7" s="32"/>
      <c r="C7" s="435" t="s">
        <v>90</v>
      </c>
      <c r="D7" s="443">
        <v>46978</v>
      </c>
      <c r="E7" s="266">
        <v>47042</v>
      </c>
      <c r="F7" s="266">
        <v>54818</v>
      </c>
      <c r="G7" s="162">
        <v>93119</v>
      </c>
      <c r="H7" s="266">
        <v>99671</v>
      </c>
      <c r="I7" s="266">
        <v>98050</v>
      </c>
      <c r="J7" s="162">
        <v>142666</v>
      </c>
      <c r="K7" s="266">
        <v>145210</v>
      </c>
      <c r="L7" s="275">
        <v>146015</v>
      </c>
      <c r="M7" s="127">
        <f t="shared" si="0"/>
        <v>282763</v>
      </c>
      <c r="N7" s="127">
        <f t="shared" si="1"/>
        <v>291923</v>
      </c>
      <c r="O7" s="108">
        <f t="shared" si="1"/>
        <v>298883</v>
      </c>
      <c r="P7" s="32"/>
      <c r="Q7" s="32"/>
      <c r="R7" s="32"/>
      <c r="S7" s="32"/>
      <c r="T7" s="32"/>
      <c r="U7" s="32"/>
      <c r="V7" s="32"/>
      <c r="W7" s="32"/>
    </row>
    <row r="8" spans="1:23" s="33" customFormat="1" ht="20.100000000000001" customHeight="1" x14ac:dyDescent="0.25">
      <c r="A8" s="31"/>
      <c r="B8" s="32"/>
      <c r="C8" s="436" t="s">
        <v>11</v>
      </c>
      <c r="D8" s="445">
        <v>660582</v>
      </c>
      <c r="E8" s="267">
        <v>717440</v>
      </c>
      <c r="F8" s="267">
        <v>803959</v>
      </c>
      <c r="G8" s="163">
        <v>114238</v>
      </c>
      <c r="H8" s="267">
        <v>116206</v>
      </c>
      <c r="I8" s="267">
        <v>117988</v>
      </c>
      <c r="J8" s="163">
        <v>425875</v>
      </c>
      <c r="K8" s="267">
        <v>459709</v>
      </c>
      <c r="L8" s="276">
        <v>494409</v>
      </c>
      <c r="M8" s="127">
        <f t="shared" si="0"/>
        <v>1200695</v>
      </c>
      <c r="N8" s="127">
        <f t="shared" si="1"/>
        <v>1293355</v>
      </c>
      <c r="O8" s="108">
        <f t="shared" si="1"/>
        <v>1416356</v>
      </c>
      <c r="P8" s="32"/>
      <c r="Q8" s="32"/>
      <c r="R8" s="32"/>
      <c r="S8" s="32"/>
      <c r="T8" s="32"/>
      <c r="U8" s="32"/>
      <c r="V8" s="32"/>
      <c r="W8" s="32"/>
    </row>
    <row r="9" spans="1:23" s="33" customFormat="1" ht="20.100000000000001" customHeight="1" x14ac:dyDescent="0.25">
      <c r="A9" s="31"/>
      <c r="B9" s="32"/>
      <c r="C9" s="435" t="s">
        <v>13</v>
      </c>
      <c r="D9" s="445">
        <v>77825</v>
      </c>
      <c r="E9" s="267">
        <v>70325</v>
      </c>
      <c r="F9" s="267">
        <v>68061</v>
      </c>
      <c r="G9" s="163"/>
      <c r="H9" s="267"/>
      <c r="I9" s="267"/>
      <c r="J9" s="163"/>
      <c r="K9" s="267"/>
      <c r="L9" s="276"/>
      <c r="M9" s="127">
        <f t="shared" si="0"/>
        <v>77825</v>
      </c>
      <c r="N9" s="127">
        <f t="shared" si="1"/>
        <v>70325</v>
      </c>
      <c r="O9" s="108">
        <f t="shared" si="1"/>
        <v>68061</v>
      </c>
      <c r="P9" s="32"/>
      <c r="Q9" s="32"/>
      <c r="R9" s="32"/>
      <c r="S9" s="32"/>
      <c r="T9" s="32"/>
      <c r="U9" s="32"/>
      <c r="V9" s="32"/>
      <c r="W9" s="32"/>
    </row>
    <row r="10" spans="1:23" s="33" customFormat="1" ht="19.5" customHeight="1" x14ac:dyDescent="0.25">
      <c r="A10" s="31"/>
      <c r="B10" s="32"/>
      <c r="C10" s="436" t="s">
        <v>50</v>
      </c>
      <c r="D10" s="445">
        <f>(D12+D13+D14+D11)</f>
        <v>1076465</v>
      </c>
      <c r="E10" s="267">
        <f>(E12+E13+E14+E11)</f>
        <v>1011082</v>
      </c>
      <c r="F10" s="446">
        <f>SUM(F11:F14)</f>
        <v>1034209</v>
      </c>
      <c r="G10" s="163">
        <f t="shared" ref="G10:L10" si="2">(G12+G13+G14)</f>
        <v>0</v>
      </c>
      <c r="H10" s="267">
        <f t="shared" si="2"/>
        <v>0</v>
      </c>
      <c r="I10" s="168">
        <f t="shared" si="2"/>
        <v>0</v>
      </c>
      <c r="J10" s="163">
        <f t="shared" si="2"/>
        <v>0</v>
      </c>
      <c r="K10" s="267">
        <f t="shared" si="2"/>
        <v>0</v>
      </c>
      <c r="L10" s="168">
        <f t="shared" si="2"/>
        <v>0</v>
      </c>
      <c r="M10" s="127">
        <f t="shared" si="0"/>
        <v>1076465</v>
      </c>
      <c r="N10" s="127">
        <f t="shared" si="1"/>
        <v>1011082</v>
      </c>
      <c r="O10" s="108">
        <f t="shared" si="1"/>
        <v>1034209</v>
      </c>
      <c r="P10" s="32"/>
      <c r="Q10" s="32"/>
      <c r="R10" s="32"/>
      <c r="S10" s="32"/>
      <c r="T10" s="32"/>
      <c r="U10" s="32"/>
      <c r="V10" s="32"/>
      <c r="W10" s="32"/>
    </row>
    <row r="11" spans="1:23" s="33" customFormat="1" ht="20.100000000000001" customHeight="1" x14ac:dyDescent="0.25">
      <c r="A11" s="31"/>
      <c r="B11" s="32"/>
      <c r="C11" s="437" t="s">
        <v>330</v>
      </c>
      <c r="D11" s="447">
        <v>18000</v>
      </c>
      <c r="E11" s="268">
        <v>15213</v>
      </c>
      <c r="F11" s="268">
        <v>15136</v>
      </c>
      <c r="G11" s="163"/>
      <c r="H11" s="267"/>
      <c r="I11" s="267"/>
      <c r="J11" s="163"/>
      <c r="K11" s="267"/>
      <c r="L11" s="276"/>
      <c r="M11" s="127">
        <f t="shared" si="0"/>
        <v>18000</v>
      </c>
      <c r="N11" s="127">
        <f t="shared" si="1"/>
        <v>15213</v>
      </c>
      <c r="O11" s="108">
        <f t="shared" si="1"/>
        <v>15136</v>
      </c>
      <c r="P11" s="32"/>
      <c r="Q11" s="32"/>
      <c r="R11" s="32"/>
      <c r="S11" s="32"/>
      <c r="T11" s="32"/>
      <c r="U11" s="32"/>
      <c r="V11" s="32"/>
      <c r="W11" s="32"/>
    </row>
    <row r="12" spans="1:23" ht="19.5" customHeight="1" x14ac:dyDescent="0.25">
      <c r="A12" s="28"/>
      <c r="B12" s="26"/>
      <c r="C12" s="438" t="s">
        <v>17</v>
      </c>
      <c r="D12" s="448">
        <v>32000</v>
      </c>
      <c r="E12" s="269">
        <v>32000</v>
      </c>
      <c r="F12" s="269">
        <v>48160</v>
      </c>
      <c r="G12" s="164"/>
      <c r="H12" s="269"/>
      <c r="I12" s="269"/>
      <c r="J12" s="164"/>
      <c r="K12" s="269"/>
      <c r="L12" s="225"/>
      <c r="M12" s="127">
        <f t="shared" si="0"/>
        <v>32000</v>
      </c>
      <c r="N12" s="127">
        <f t="shared" si="1"/>
        <v>32000</v>
      </c>
      <c r="O12" s="108">
        <f t="shared" si="1"/>
        <v>48160</v>
      </c>
      <c r="P12" s="26"/>
      <c r="Q12" s="26"/>
      <c r="R12" s="26"/>
      <c r="S12" s="26"/>
      <c r="T12" s="26"/>
      <c r="U12" s="26"/>
      <c r="V12" s="26"/>
      <c r="W12" s="26"/>
    </row>
    <row r="13" spans="1:23" ht="19.5" customHeight="1" x14ac:dyDescent="0.25">
      <c r="A13" s="28"/>
      <c r="B13" s="26"/>
      <c r="C13" s="438" t="s">
        <v>18</v>
      </c>
      <c r="D13" s="448">
        <f>'10. sz. melléklet'!C71</f>
        <v>917165</v>
      </c>
      <c r="E13" s="269">
        <f>'10. sz. melléklet'!E71</f>
        <v>921522</v>
      </c>
      <c r="F13" s="269">
        <v>966282</v>
      </c>
      <c r="G13" s="164"/>
      <c r="H13" s="269"/>
      <c r="I13" s="269"/>
      <c r="J13" s="164"/>
      <c r="K13" s="269"/>
      <c r="L13" s="225"/>
      <c r="M13" s="127">
        <f t="shared" si="0"/>
        <v>917165</v>
      </c>
      <c r="N13" s="127">
        <f t="shared" si="1"/>
        <v>921522</v>
      </c>
      <c r="O13" s="108">
        <f t="shared" si="1"/>
        <v>966282</v>
      </c>
      <c r="P13" s="26"/>
      <c r="Q13" s="26"/>
      <c r="R13" s="26"/>
      <c r="S13" s="26"/>
      <c r="T13" s="26"/>
      <c r="U13" s="26"/>
      <c r="V13" s="26"/>
      <c r="W13" s="26"/>
    </row>
    <row r="14" spans="1:23" s="33" customFormat="1" ht="20.100000000000001" customHeight="1" x14ac:dyDescent="0.25">
      <c r="A14" s="31"/>
      <c r="B14" s="32"/>
      <c r="C14" s="439" t="s">
        <v>20</v>
      </c>
      <c r="D14" s="448">
        <f>SUM(D15:D17)</f>
        <v>109300</v>
      </c>
      <c r="E14" s="269">
        <f>SUM(E15:E17)</f>
        <v>42347</v>
      </c>
      <c r="F14" s="269">
        <v>4631</v>
      </c>
      <c r="G14" s="164"/>
      <c r="H14" s="269"/>
      <c r="I14" s="269"/>
      <c r="J14" s="164"/>
      <c r="K14" s="269"/>
      <c r="L14" s="225"/>
      <c r="M14" s="127">
        <f t="shared" si="0"/>
        <v>109300</v>
      </c>
      <c r="N14" s="127">
        <f t="shared" si="1"/>
        <v>42347</v>
      </c>
      <c r="O14" s="108">
        <f t="shared" si="1"/>
        <v>4631</v>
      </c>
      <c r="P14" s="32"/>
      <c r="Q14" s="32"/>
      <c r="R14" s="32"/>
      <c r="S14" s="32"/>
      <c r="T14" s="32"/>
      <c r="U14" s="32"/>
      <c r="V14" s="32"/>
      <c r="W14" s="32"/>
    </row>
    <row r="15" spans="1:23" s="287" customFormat="1" ht="20.100000000000001" customHeight="1" x14ac:dyDescent="0.25">
      <c r="A15" s="282"/>
      <c r="B15" s="283"/>
      <c r="C15" s="437" t="s">
        <v>22</v>
      </c>
      <c r="D15" s="449">
        <v>15000</v>
      </c>
      <c r="E15" s="270">
        <v>13084</v>
      </c>
      <c r="F15" s="270">
        <v>3715</v>
      </c>
      <c r="G15" s="284"/>
      <c r="H15" s="270"/>
      <c r="I15" s="270"/>
      <c r="J15" s="284"/>
      <c r="K15" s="270"/>
      <c r="L15" s="285"/>
      <c r="M15" s="286">
        <f t="shared" si="0"/>
        <v>15000</v>
      </c>
      <c r="N15" s="286">
        <f t="shared" si="1"/>
        <v>13084</v>
      </c>
      <c r="O15" s="108">
        <f t="shared" si="1"/>
        <v>3715</v>
      </c>
      <c r="P15" s="283"/>
      <c r="Q15" s="283"/>
      <c r="R15" s="283"/>
      <c r="S15" s="283"/>
      <c r="T15" s="283"/>
      <c r="U15" s="283"/>
      <c r="V15" s="283"/>
      <c r="W15" s="283"/>
    </row>
    <row r="16" spans="1:23" s="287" customFormat="1" ht="18" customHeight="1" x14ac:dyDescent="0.25">
      <c r="A16" s="282"/>
      <c r="B16" s="283"/>
      <c r="C16" s="437" t="s">
        <v>475</v>
      </c>
      <c r="D16" s="449">
        <v>80000</v>
      </c>
      <c r="E16" s="270">
        <v>14963</v>
      </c>
      <c r="F16" s="270">
        <v>916</v>
      </c>
      <c r="G16" s="284"/>
      <c r="H16" s="270"/>
      <c r="I16" s="270"/>
      <c r="J16" s="284"/>
      <c r="K16" s="270"/>
      <c r="L16" s="285"/>
      <c r="M16" s="286">
        <f t="shared" si="0"/>
        <v>80000</v>
      </c>
      <c r="N16" s="286">
        <f t="shared" si="1"/>
        <v>14963</v>
      </c>
      <c r="O16" s="108">
        <f t="shared" si="1"/>
        <v>916</v>
      </c>
      <c r="P16" s="283"/>
      <c r="Q16" s="283"/>
      <c r="R16" s="283"/>
      <c r="S16" s="283"/>
      <c r="T16" s="283"/>
      <c r="U16" s="283"/>
      <c r="V16" s="283"/>
      <c r="W16" s="283"/>
    </row>
    <row r="17" spans="1:23" s="287" customFormat="1" ht="20.100000000000001" customHeight="1" x14ac:dyDescent="0.25">
      <c r="A17" s="282"/>
      <c r="B17" s="283"/>
      <c r="C17" s="437" t="s">
        <v>25</v>
      </c>
      <c r="D17" s="449">
        <v>14300</v>
      </c>
      <c r="E17" s="270">
        <v>14300</v>
      </c>
      <c r="F17" s="270">
        <v>0</v>
      </c>
      <c r="G17" s="284"/>
      <c r="H17" s="270"/>
      <c r="I17" s="270"/>
      <c r="J17" s="284"/>
      <c r="K17" s="270"/>
      <c r="L17" s="285"/>
      <c r="M17" s="286">
        <f t="shared" si="0"/>
        <v>14300</v>
      </c>
      <c r="N17" s="286">
        <f t="shared" si="1"/>
        <v>14300</v>
      </c>
      <c r="O17" s="108">
        <f t="shared" si="1"/>
        <v>0</v>
      </c>
      <c r="P17" s="283"/>
      <c r="Q17" s="283"/>
      <c r="R17" s="283"/>
      <c r="S17" s="283"/>
      <c r="T17" s="283"/>
      <c r="U17" s="283"/>
      <c r="V17" s="283"/>
      <c r="W17" s="283"/>
    </row>
    <row r="18" spans="1:23" s="33" customFormat="1" ht="20.100000000000001" customHeight="1" x14ac:dyDescent="0.25">
      <c r="A18" s="32"/>
      <c r="B18" s="32"/>
      <c r="C18" s="435" t="s">
        <v>91</v>
      </c>
      <c r="D18" s="443">
        <f>'7. sz. melléklet'!F6</f>
        <v>259597</v>
      </c>
      <c r="E18" s="266">
        <v>376325</v>
      </c>
      <c r="F18" s="266">
        <v>1432365</v>
      </c>
      <c r="G18" s="162">
        <v>9577</v>
      </c>
      <c r="H18" s="266">
        <v>10077</v>
      </c>
      <c r="I18" s="266">
        <v>10077</v>
      </c>
      <c r="J18" s="162">
        <v>22295</v>
      </c>
      <c r="K18" s="266">
        <v>25485</v>
      </c>
      <c r="L18" s="275">
        <v>25125</v>
      </c>
      <c r="M18" s="127">
        <f t="shared" si="0"/>
        <v>291469</v>
      </c>
      <c r="N18" s="127">
        <f t="shared" si="1"/>
        <v>411887</v>
      </c>
      <c r="O18" s="108">
        <f t="shared" si="1"/>
        <v>1467567</v>
      </c>
      <c r="P18" s="32"/>
      <c r="Q18" s="32"/>
      <c r="R18" s="32"/>
      <c r="S18" s="32"/>
      <c r="T18" s="32"/>
      <c r="U18" s="32"/>
      <c r="V18" s="32"/>
      <c r="W18" s="32"/>
    </row>
    <row r="19" spans="1:23" s="33" customFormat="1" ht="20.100000000000001" customHeight="1" x14ac:dyDescent="0.25">
      <c r="A19" s="32"/>
      <c r="B19" s="32"/>
      <c r="C19" s="1151" t="s">
        <v>92</v>
      </c>
      <c r="D19" s="1150">
        <f>'[10]8. sz. melléklet'!E6</f>
        <v>245122</v>
      </c>
      <c r="E19" s="936">
        <f>'[10]8. sz. melléklet'!G6</f>
        <v>131593</v>
      </c>
      <c r="F19" s="266">
        <v>315594</v>
      </c>
      <c r="G19" s="162"/>
      <c r="H19" s="266"/>
      <c r="I19" s="266"/>
      <c r="J19" s="162">
        <v>11677</v>
      </c>
      <c r="K19" s="266">
        <v>11677</v>
      </c>
      <c r="L19" s="275">
        <v>12047</v>
      </c>
      <c r="M19" s="127">
        <f t="shared" si="0"/>
        <v>256799</v>
      </c>
      <c r="N19" s="127">
        <f t="shared" si="1"/>
        <v>143270</v>
      </c>
      <c r="O19" s="108">
        <f t="shared" si="1"/>
        <v>327641</v>
      </c>
      <c r="P19" s="32"/>
      <c r="Q19" s="32"/>
      <c r="R19" s="32"/>
      <c r="S19" s="32"/>
      <c r="T19" s="32"/>
      <c r="U19" s="32"/>
      <c r="V19" s="32"/>
      <c r="W19" s="32"/>
    </row>
    <row r="20" spans="1:23" s="33" customFormat="1" ht="20.100000000000001" customHeight="1" x14ac:dyDescent="0.25">
      <c r="A20" s="32"/>
      <c r="B20" s="32"/>
      <c r="C20" s="435" t="s">
        <v>33</v>
      </c>
      <c r="D20" s="443">
        <f t="shared" ref="D20:L20" si="3">SUM(D21:D23)</f>
        <v>70614</v>
      </c>
      <c r="E20" s="266">
        <f t="shared" si="3"/>
        <v>18599</v>
      </c>
      <c r="F20" s="444">
        <v>48699</v>
      </c>
      <c r="G20" s="162">
        <f t="shared" si="3"/>
        <v>1200</v>
      </c>
      <c r="H20" s="266">
        <f t="shared" si="3"/>
        <v>1200</v>
      </c>
      <c r="I20" s="167">
        <f t="shared" si="3"/>
        <v>1200</v>
      </c>
      <c r="J20" s="162">
        <f t="shared" si="3"/>
        <v>0</v>
      </c>
      <c r="K20" s="266">
        <f t="shared" si="3"/>
        <v>0</v>
      </c>
      <c r="L20" s="167">
        <f t="shared" si="3"/>
        <v>0</v>
      </c>
      <c r="M20" s="127">
        <f t="shared" si="0"/>
        <v>71814</v>
      </c>
      <c r="N20" s="127">
        <f t="shared" si="1"/>
        <v>19799</v>
      </c>
      <c r="O20" s="108">
        <f t="shared" si="1"/>
        <v>49899</v>
      </c>
      <c r="P20" s="32"/>
      <c r="Q20" s="32"/>
      <c r="R20" s="32"/>
      <c r="S20" s="32"/>
      <c r="T20" s="32"/>
      <c r="U20" s="32"/>
      <c r="V20" s="32"/>
      <c r="W20" s="32"/>
    </row>
    <row r="21" spans="1:23" s="33" customFormat="1" ht="20.100000000000001" customHeight="1" x14ac:dyDescent="0.25">
      <c r="A21" s="32"/>
      <c r="B21" s="32"/>
      <c r="C21" s="439" t="s">
        <v>17</v>
      </c>
      <c r="D21" s="443"/>
      <c r="E21" s="270">
        <v>1500</v>
      </c>
      <c r="F21" s="270">
        <v>1500</v>
      </c>
      <c r="G21" s="164">
        <v>1200</v>
      </c>
      <c r="H21" s="269">
        <v>1200</v>
      </c>
      <c r="I21" s="269">
        <v>1200</v>
      </c>
      <c r="J21" s="162"/>
      <c r="K21" s="266"/>
      <c r="L21" s="275"/>
      <c r="M21" s="127">
        <f t="shared" si="0"/>
        <v>1200</v>
      </c>
      <c r="N21" s="127">
        <f t="shared" si="1"/>
        <v>2700</v>
      </c>
      <c r="O21" s="108">
        <f t="shared" si="1"/>
        <v>2700</v>
      </c>
      <c r="P21" s="32"/>
      <c r="Q21" s="32"/>
      <c r="R21" s="32"/>
      <c r="S21" s="32"/>
      <c r="T21" s="32"/>
      <c r="U21" s="32"/>
      <c r="V21" s="32"/>
      <c r="W21" s="32"/>
    </row>
    <row r="22" spans="1:23" s="287" customFormat="1" ht="20.100000000000001" customHeight="1" x14ac:dyDescent="0.25">
      <c r="A22" s="283"/>
      <c r="B22" s="283"/>
      <c r="C22" s="440" t="s">
        <v>35</v>
      </c>
      <c r="D22" s="449">
        <v>15614</v>
      </c>
      <c r="E22" s="270">
        <v>12099</v>
      </c>
      <c r="F22" s="270">
        <v>12199</v>
      </c>
      <c r="G22" s="284"/>
      <c r="H22" s="270"/>
      <c r="I22" s="270"/>
      <c r="J22" s="290"/>
      <c r="K22" s="452"/>
      <c r="L22" s="291"/>
      <c r="M22" s="286">
        <f t="shared" si="0"/>
        <v>15614</v>
      </c>
      <c r="N22" s="286">
        <f t="shared" si="1"/>
        <v>12099</v>
      </c>
      <c r="O22" s="108">
        <f t="shared" si="1"/>
        <v>12199</v>
      </c>
      <c r="P22" s="283"/>
      <c r="Q22" s="283"/>
      <c r="R22" s="283"/>
      <c r="S22" s="283"/>
      <c r="T22" s="283"/>
      <c r="U22" s="283"/>
      <c r="V22" s="283"/>
      <c r="W22" s="283"/>
    </row>
    <row r="23" spans="1:23" s="289" customFormat="1" ht="20.100000000000001" customHeight="1" x14ac:dyDescent="0.25">
      <c r="A23" s="288"/>
      <c r="B23" s="288"/>
      <c r="C23" s="440" t="s">
        <v>93</v>
      </c>
      <c r="D23" s="449">
        <f>SUM(D24:D25)</f>
        <v>55000</v>
      </c>
      <c r="E23" s="270">
        <f>SUM(E24:E25)</f>
        <v>5000</v>
      </c>
      <c r="F23" s="450">
        <v>35000</v>
      </c>
      <c r="G23" s="284">
        <f t="shared" ref="G23:L23" si="4">SUM(G24:G24)</f>
        <v>0</v>
      </c>
      <c r="H23" s="270">
        <f t="shared" si="4"/>
        <v>0</v>
      </c>
      <c r="I23" s="251">
        <f t="shared" si="4"/>
        <v>0</v>
      </c>
      <c r="J23" s="284">
        <f t="shared" si="4"/>
        <v>0</v>
      </c>
      <c r="K23" s="270">
        <f t="shared" si="4"/>
        <v>0</v>
      </c>
      <c r="L23" s="251">
        <f t="shared" si="4"/>
        <v>0</v>
      </c>
      <c r="M23" s="286">
        <f t="shared" si="0"/>
        <v>55000</v>
      </c>
      <c r="N23" s="286">
        <f t="shared" si="1"/>
        <v>5000</v>
      </c>
      <c r="O23" s="108">
        <f t="shared" si="1"/>
        <v>35000</v>
      </c>
      <c r="P23" s="288"/>
      <c r="Q23" s="288"/>
      <c r="R23" s="288"/>
      <c r="S23" s="288"/>
      <c r="T23" s="288"/>
      <c r="U23" s="288"/>
      <c r="V23" s="288"/>
      <c r="W23" s="288"/>
    </row>
    <row r="24" spans="1:23" s="289" customFormat="1" ht="33.75" customHeight="1" x14ac:dyDescent="0.25">
      <c r="A24" s="288"/>
      <c r="B24" s="288"/>
      <c r="C24" s="441" t="s">
        <v>913</v>
      </c>
      <c r="D24" s="449">
        <v>50000</v>
      </c>
      <c r="E24" s="270">
        <v>0</v>
      </c>
      <c r="F24" s="270">
        <v>30000</v>
      </c>
      <c r="G24" s="284"/>
      <c r="H24" s="270"/>
      <c r="I24" s="270"/>
      <c r="J24" s="284"/>
      <c r="K24" s="270"/>
      <c r="L24" s="285"/>
      <c r="M24" s="286">
        <f t="shared" si="0"/>
        <v>50000</v>
      </c>
      <c r="N24" s="286">
        <f t="shared" si="1"/>
        <v>0</v>
      </c>
      <c r="O24" s="108">
        <f t="shared" si="1"/>
        <v>30000</v>
      </c>
      <c r="P24" s="288"/>
      <c r="Q24" s="288"/>
      <c r="R24" s="288"/>
      <c r="S24" s="288"/>
      <c r="T24" s="288"/>
      <c r="U24" s="288"/>
      <c r="V24" s="288"/>
      <c r="W24" s="288"/>
    </row>
    <row r="25" spans="1:23" s="289" customFormat="1" ht="21.75" customHeight="1" thickBot="1" x14ac:dyDescent="0.3">
      <c r="A25" s="288"/>
      <c r="B25" s="288"/>
      <c r="C25" s="453" t="s">
        <v>472</v>
      </c>
      <c r="D25" s="454">
        <v>5000</v>
      </c>
      <c r="E25" s="455">
        <v>5000</v>
      </c>
      <c r="F25" s="455">
        <v>5000</v>
      </c>
      <c r="G25" s="456"/>
      <c r="H25" s="455"/>
      <c r="I25" s="455"/>
      <c r="J25" s="456"/>
      <c r="K25" s="455"/>
      <c r="L25" s="457"/>
      <c r="M25" s="458">
        <f t="shared" si="0"/>
        <v>5000</v>
      </c>
      <c r="N25" s="458">
        <f t="shared" si="1"/>
        <v>5000</v>
      </c>
      <c r="O25" s="459">
        <f t="shared" si="1"/>
        <v>5000</v>
      </c>
      <c r="P25" s="288"/>
      <c r="Q25" s="288"/>
      <c r="R25" s="288"/>
      <c r="S25" s="288"/>
      <c r="T25" s="288"/>
      <c r="U25" s="288"/>
      <c r="V25" s="288"/>
      <c r="W25" s="288"/>
    </row>
    <row r="26" spans="1:23" s="33" customFormat="1" ht="20.100000000000001" customHeight="1" thickBot="1" x14ac:dyDescent="0.3">
      <c r="C26" s="460" t="s">
        <v>94</v>
      </c>
      <c r="D26" s="461">
        <f t="shared" ref="D26:L26" si="5">SUM(D6+D7+D8+D9+D10+D18+D19+D20)</f>
        <v>2655975</v>
      </c>
      <c r="E26" s="462">
        <f t="shared" si="5"/>
        <v>2592198</v>
      </c>
      <c r="F26" s="1174">
        <f t="shared" si="5"/>
        <v>4004881</v>
      </c>
      <c r="G26" s="463">
        <f t="shared" si="5"/>
        <v>564837</v>
      </c>
      <c r="H26" s="481">
        <f t="shared" si="5"/>
        <v>602438</v>
      </c>
      <c r="I26" s="464">
        <f t="shared" si="5"/>
        <v>596766</v>
      </c>
      <c r="J26" s="463">
        <f t="shared" si="5"/>
        <v>1249299</v>
      </c>
      <c r="K26" s="481">
        <f t="shared" si="5"/>
        <v>1300521</v>
      </c>
      <c r="L26" s="464">
        <f t="shared" si="5"/>
        <v>1340137</v>
      </c>
      <c r="M26" s="465">
        <f t="shared" si="0"/>
        <v>4470111</v>
      </c>
      <c r="N26" s="465">
        <f t="shared" si="1"/>
        <v>4495157</v>
      </c>
      <c r="O26" s="465">
        <f t="shared" si="1"/>
        <v>5941784</v>
      </c>
      <c r="P26" s="32"/>
      <c r="Q26" s="32"/>
      <c r="R26" s="32"/>
      <c r="S26" s="32"/>
      <c r="T26" s="32"/>
      <c r="U26" s="32"/>
      <c r="V26" s="32"/>
      <c r="W26" s="32"/>
    </row>
    <row r="27" spans="1:23" s="33" customFormat="1" ht="20.100000000000001" customHeight="1" x14ac:dyDescent="0.25">
      <c r="C27" s="434" t="s">
        <v>40</v>
      </c>
      <c r="D27" s="442">
        <v>106549</v>
      </c>
      <c r="E27" s="272">
        <v>115361</v>
      </c>
      <c r="F27" s="272">
        <v>687942</v>
      </c>
      <c r="G27" s="161"/>
      <c r="H27" s="272"/>
      <c r="I27" s="272"/>
      <c r="J27" s="161"/>
      <c r="K27" s="272"/>
      <c r="L27" s="274"/>
      <c r="M27" s="108">
        <f t="shared" si="0"/>
        <v>106549</v>
      </c>
      <c r="N27" s="108">
        <f t="shared" si="1"/>
        <v>115361</v>
      </c>
      <c r="O27" s="108">
        <f t="shared" si="1"/>
        <v>687942</v>
      </c>
      <c r="P27" s="32"/>
      <c r="Q27" s="32"/>
      <c r="R27" s="32"/>
      <c r="S27" s="32"/>
      <c r="T27" s="32"/>
      <c r="U27" s="32"/>
      <c r="V27" s="32"/>
      <c r="W27" s="32"/>
    </row>
    <row r="28" spans="1:23" s="33" customFormat="1" ht="20.100000000000001" customHeight="1" x14ac:dyDescent="0.25">
      <c r="C28" s="435" t="s">
        <v>326</v>
      </c>
      <c r="D28" s="443">
        <v>25000</v>
      </c>
      <c r="E28" s="266">
        <v>38000</v>
      </c>
      <c r="F28" s="266">
        <v>40010</v>
      </c>
      <c r="G28" s="162"/>
      <c r="H28" s="266"/>
      <c r="I28" s="266"/>
      <c r="J28" s="162"/>
      <c r="K28" s="266"/>
      <c r="L28" s="275"/>
      <c r="M28" s="127">
        <f t="shared" si="0"/>
        <v>25000</v>
      </c>
      <c r="N28" s="127">
        <f t="shared" si="1"/>
        <v>38000</v>
      </c>
      <c r="O28" s="108">
        <f t="shared" si="1"/>
        <v>40010</v>
      </c>
      <c r="P28" s="32"/>
      <c r="Q28" s="32"/>
      <c r="R28" s="32"/>
      <c r="S28" s="32"/>
      <c r="T28" s="32"/>
      <c r="U28" s="32"/>
      <c r="V28" s="32"/>
      <c r="W28" s="32"/>
    </row>
    <row r="29" spans="1:23" s="26" customFormat="1" ht="25.5" customHeight="1" x14ac:dyDescent="0.25">
      <c r="C29" s="435" t="s">
        <v>44</v>
      </c>
      <c r="D29" s="451">
        <v>1525601</v>
      </c>
      <c r="E29" s="271">
        <v>1586393</v>
      </c>
      <c r="F29" s="271">
        <v>1591204</v>
      </c>
      <c r="G29" s="165"/>
      <c r="H29" s="273"/>
      <c r="I29" s="273"/>
      <c r="J29" s="165"/>
      <c r="K29" s="273"/>
      <c r="L29" s="277"/>
      <c r="M29" s="127">
        <f t="shared" si="0"/>
        <v>1525601</v>
      </c>
      <c r="N29" s="127">
        <f t="shared" si="1"/>
        <v>1586393</v>
      </c>
      <c r="O29" s="108">
        <f t="shared" si="1"/>
        <v>1591204</v>
      </c>
    </row>
    <row r="30" spans="1:23" s="26" customFormat="1" ht="25.5" customHeight="1" x14ac:dyDescent="0.25">
      <c r="C30" s="435" t="s">
        <v>615</v>
      </c>
      <c r="D30" s="451"/>
      <c r="E30" s="271">
        <v>2388559</v>
      </c>
      <c r="F30" s="271">
        <v>2388559</v>
      </c>
      <c r="G30" s="203"/>
      <c r="H30" s="273"/>
      <c r="I30" s="273"/>
      <c r="J30" s="203"/>
      <c r="K30" s="273"/>
      <c r="L30" s="277"/>
      <c r="M30" s="127">
        <f t="shared" si="0"/>
        <v>0</v>
      </c>
      <c r="N30" s="127">
        <f t="shared" si="1"/>
        <v>2388559</v>
      </c>
      <c r="O30" s="108">
        <f t="shared" si="1"/>
        <v>2388559</v>
      </c>
    </row>
    <row r="31" spans="1:23" s="26" customFormat="1" ht="25.5" customHeight="1" thickBot="1" x14ac:dyDescent="0.3">
      <c r="C31" s="466" t="s">
        <v>612</v>
      </c>
      <c r="D31" s="467"/>
      <c r="E31" s="458">
        <v>80000</v>
      </c>
      <c r="F31" s="458">
        <v>80000</v>
      </c>
      <c r="G31" s="468"/>
      <c r="H31" s="469"/>
      <c r="I31" s="469"/>
      <c r="J31" s="468"/>
      <c r="K31" s="469"/>
      <c r="L31" s="470"/>
      <c r="M31" s="471">
        <f t="shared" si="0"/>
        <v>0</v>
      </c>
      <c r="N31" s="471">
        <f t="shared" si="1"/>
        <v>80000</v>
      </c>
      <c r="O31" s="471">
        <f t="shared" si="1"/>
        <v>80000</v>
      </c>
    </row>
    <row r="32" spans="1:23" s="26" customFormat="1" ht="25.5" customHeight="1" thickBot="1" x14ac:dyDescent="0.3">
      <c r="C32" s="460" t="s">
        <v>95</v>
      </c>
      <c r="D32" s="477">
        <f>(D29+D27+D28)</f>
        <v>1657150</v>
      </c>
      <c r="E32" s="478">
        <f>SUM(E27:E31)</f>
        <v>4208313</v>
      </c>
      <c r="F32" s="1175">
        <f>SUM(F27:F31)</f>
        <v>4787715</v>
      </c>
      <c r="G32" s="479">
        <f t="shared" ref="G32:L32" si="6">(G29+G27)</f>
        <v>0</v>
      </c>
      <c r="H32" s="465">
        <f t="shared" si="6"/>
        <v>0</v>
      </c>
      <c r="I32" s="480">
        <f t="shared" si="6"/>
        <v>0</v>
      </c>
      <c r="J32" s="479">
        <f t="shared" si="6"/>
        <v>0</v>
      </c>
      <c r="K32" s="465">
        <f t="shared" si="6"/>
        <v>0</v>
      </c>
      <c r="L32" s="480">
        <f t="shared" si="6"/>
        <v>0</v>
      </c>
      <c r="M32" s="465">
        <f>(M29+M27+M28)</f>
        <v>1657150</v>
      </c>
      <c r="N32" s="465">
        <f t="shared" si="1"/>
        <v>4208313</v>
      </c>
      <c r="O32" s="465">
        <f t="shared" si="1"/>
        <v>4787715</v>
      </c>
    </row>
    <row r="33" spans="3:23" ht="25.5" customHeight="1" thickBot="1" x14ac:dyDescent="0.3">
      <c r="C33" s="472" t="s">
        <v>48</v>
      </c>
      <c r="D33" s="473">
        <f t="shared" ref="D33:N33" si="7">SUM(D26+D32)</f>
        <v>4313125</v>
      </c>
      <c r="E33" s="474">
        <f t="shared" si="7"/>
        <v>6800511</v>
      </c>
      <c r="F33" s="475">
        <f t="shared" si="7"/>
        <v>8792596</v>
      </c>
      <c r="G33" s="476">
        <f t="shared" si="7"/>
        <v>564837</v>
      </c>
      <c r="H33" s="474">
        <f t="shared" si="7"/>
        <v>602438</v>
      </c>
      <c r="I33" s="475">
        <f t="shared" si="7"/>
        <v>596766</v>
      </c>
      <c r="J33" s="476">
        <f t="shared" si="7"/>
        <v>1249299</v>
      </c>
      <c r="K33" s="474">
        <f t="shared" si="7"/>
        <v>1300521</v>
      </c>
      <c r="L33" s="475">
        <f t="shared" si="7"/>
        <v>1340137</v>
      </c>
      <c r="M33" s="474">
        <f t="shared" si="7"/>
        <v>6127261</v>
      </c>
      <c r="N33" s="474">
        <f t="shared" si="7"/>
        <v>8703470</v>
      </c>
      <c r="O33" s="108">
        <f t="shared" ref="O33" si="8">SUM(F33+I33+L33)</f>
        <v>10729499</v>
      </c>
      <c r="P33" s="26"/>
      <c r="Q33" s="26"/>
      <c r="R33" s="26"/>
      <c r="S33" s="26"/>
      <c r="T33" s="26"/>
      <c r="U33" s="26"/>
      <c r="V33" s="26"/>
      <c r="W33" s="26"/>
    </row>
  </sheetData>
  <sheetProtection selectLockedCells="1" selectUnlockedCells="1"/>
  <mergeCells count="7">
    <mergeCell ref="C1:O1"/>
    <mergeCell ref="C2:O2"/>
    <mergeCell ref="C4:C5"/>
    <mergeCell ref="J4:L4"/>
    <mergeCell ref="G4:I4"/>
    <mergeCell ref="D4:F4"/>
    <mergeCell ref="M4:O4"/>
  </mergeCells>
  <printOptions horizontalCentered="1"/>
  <pageMargins left="0.39370078740157483" right="0" top="0.62992125984251968" bottom="0.31496062992125984" header="0.27559055118110237" footer="0.51181102362204722"/>
  <pageSetup paperSize="9" scale="59" firstPageNumber="0" orientation="landscape" horizontalDpi="300" verticalDpi="300" r:id="rId1"/>
  <headerFooter alignWithMargins="0">
    <oddHeader xml:space="preserve">&amp;L&amp;11 4. melléklet a 20/2017.(IX.29.) önkormányzati rendelethez
4. melléklet a 24/2016.(XII.16.)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9"/>
  <sheetViews>
    <sheetView zoomScale="40" zoomScaleNormal="40" workbookViewId="0">
      <pane ySplit="6" topLeftCell="A61" activePane="bottomLeft" state="frozen"/>
      <selection pane="bottomLeft" activeCell="J42" sqref="J42"/>
    </sheetView>
  </sheetViews>
  <sheetFormatPr defaultRowHeight="12.75" x14ac:dyDescent="0.2"/>
  <cols>
    <col min="1" max="1" width="23.7109375" bestFit="1" customWidth="1"/>
    <col min="2" max="2" width="13.7109375" bestFit="1" customWidth="1"/>
    <col min="3" max="3" width="160.5703125" bestFit="1" customWidth="1"/>
    <col min="4" max="4" width="20.5703125" bestFit="1" customWidth="1"/>
    <col min="5" max="6" width="16.5703125" bestFit="1" customWidth="1"/>
    <col min="7" max="8" width="20.5703125" customWidth="1"/>
    <col min="9" max="9" width="13.7109375" bestFit="1" customWidth="1"/>
    <col min="10" max="10" width="17.5703125" customWidth="1"/>
    <col min="11" max="11" width="15.5703125" customWidth="1"/>
    <col min="12" max="12" width="17" customWidth="1"/>
    <col min="13" max="13" width="14.85546875" bestFit="1" customWidth="1"/>
    <col min="14" max="14" width="17.7109375" bestFit="1" customWidth="1"/>
    <col min="15" max="15" width="20.5703125" customWidth="1"/>
    <col min="16" max="16" width="20.85546875" customWidth="1"/>
    <col min="17" max="17" width="31.42578125" bestFit="1" customWidth="1"/>
    <col min="18" max="18" width="16.42578125" bestFit="1" customWidth="1"/>
    <col min="19" max="19" width="20.140625" bestFit="1" customWidth="1"/>
  </cols>
  <sheetData>
    <row r="1" spans="1:19" ht="20.25" x14ac:dyDescent="0.3">
      <c r="A1" s="1106"/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  <c r="O1" s="1106"/>
      <c r="P1" s="1106"/>
      <c r="Q1" s="1106"/>
      <c r="R1" s="1106"/>
      <c r="S1" s="1116"/>
    </row>
    <row r="2" spans="1:19" ht="99" customHeight="1" x14ac:dyDescent="0.35">
      <c r="A2" s="1106"/>
      <c r="B2" s="1391" t="s">
        <v>762</v>
      </c>
      <c r="C2" s="1391"/>
      <c r="D2" s="1391"/>
      <c r="E2" s="1391"/>
      <c r="F2" s="1391"/>
      <c r="G2" s="1391"/>
      <c r="H2" s="1391"/>
      <c r="I2" s="1391"/>
      <c r="J2" s="1391"/>
      <c r="K2" s="1391"/>
      <c r="L2" s="1391"/>
      <c r="M2" s="1391"/>
      <c r="N2" s="1391"/>
      <c r="O2" s="1391"/>
      <c r="P2" s="1391"/>
      <c r="Q2" s="1391"/>
      <c r="R2" s="1391"/>
      <c r="S2" s="1391"/>
    </row>
    <row r="3" spans="1:19" ht="27.75" thickBot="1" x14ac:dyDescent="0.4">
      <c r="A3" s="1392"/>
      <c r="B3" s="1392"/>
      <c r="C3" s="1392"/>
      <c r="D3" s="1392"/>
      <c r="E3" s="1392"/>
      <c r="F3" s="1392"/>
      <c r="G3" s="1392"/>
      <c r="H3" s="1392"/>
      <c r="I3" s="1392"/>
      <c r="J3" s="1392"/>
      <c r="K3" s="1392"/>
      <c r="L3" s="1392"/>
      <c r="M3" s="1392"/>
      <c r="N3" s="1392"/>
      <c r="O3" s="1392"/>
      <c r="P3" s="1392"/>
      <c r="Q3" s="1392"/>
      <c r="R3" s="1392"/>
      <c r="S3" s="1392"/>
    </row>
    <row r="4" spans="1:19" ht="20.25" x14ac:dyDescent="0.3">
      <c r="A4" s="1393" t="s">
        <v>2</v>
      </c>
      <c r="B4" s="1394"/>
      <c r="C4" s="1394"/>
      <c r="D4" s="1394"/>
      <c r="E4" s="1394" t="s">
        <v>96</v>
      </c>
      <c r="F4" s="1394" t="s">
        <v>729</v>
      </c>
      <c r="G4" s="1396" t="s">
        <v>675</v>
      </c>
      <c r="H4" s="1396"/>
      <c r="I4" s="1396"/>
      <c r="J4" s="1396"/>
      <c r="K4" s="1396"/>
      <c r="L4" s="1396"/>
      <c r="M4" s="1396" t="s">
        <v>676</v>
      </c>
      <c r="N4" s="1396"/>
      <c r="O4" s="1396"/>
      <c r="P4" s="1396"/>
      <c r="Q4" s="1396" t="s">
        <v>60</v>
      </c>
      <c r="R4" s="1396"/>
      <c r="S4" s="1397" t="s">
        <v>763</v>
      </c>
    </row>
    <row r="5" spans="1:19" ht="12.75" customHeight="1" x14ac:dyDescent="0.2">
      <c r="A5" s="1395"/>
      <c r="B5" s="1387"/>
      <c r="C5" s="1387"/>
      <c r="D5" s="1387"/>
      <c r="E5" s="1387"/>
      <c r="F5" s="1387"/>
      <c r="G5" s="1388" t="s">
        <v>6</v>
      </c>
      <c r="H5" s="1388" t="s">
        <v>730</v>
      </c>
      <c r="I5" s="1388" t="s">
        <v>680</v>
      </c>
      <c r="J5" s="1388" t="s">
        <v>50</v>
      </c>
      <c r="K5" s="1388" t="s">
        <v>731</v>
      </c>
      <c r="L5" s="1388" t="s">
        <v>20</v>
      </c>
      <c r="M5" s="1387" t="s">
        <v>63</v>
      </c>
      <c r="N5" s="1387" t="s">
        <v>62</v>
      </c>
      <c r="O5" s="1388" t="s">
        <v>33</v>
      </c>
      <c r="P5" s="1389" t="s">
        <v>36</v>
      </c>
      <c r="Q5" s="1389" t="s">
        <v>732</v>
      </c>
      <c r="R5" s="1388" t="s">
        <v>733</v>
      </c>
      <c r="S5" s="1398"/>
    </row>
    <row r="6" spans="1:19" ht="66" customHeight="1" x14ac:dyDescent="0.2">
      <c r="A6" s="1395"/>
      <c r="B6" s="1387"/>
      <c r="C6" s="1387"/>
      <c r="D6" s="1387"/>
      <c r="E6" s="1387"/>
      <c r="F6" s="1387"/>
      <c r="G6" s="1388"/>
      <c r="H6" s="1388"/>
      <c r="I6" s="1388"/>
      <c r="J6" s="1388"/>
      <c r="K6" s="1388"/>
      <c r="L6" s="1388"/>
      <c r="M6" s="1387"/>
      <c r="N6" s="1387"/>
      <c r="O6" s="1388"/>
      <c r="P6" s="1389"/>
      <c r="Q6" s="1389"/>
      <c r="R6" s="1388"/>
      <c r="S6" s="1398"/>
    </row>
    <row r="7" spans="1:19" ht="20.25" x14ac:dyDescent="0.3">
      <c r="A7" s="1098" t="s">
        <v>734</v>
      </c>
      <c r="B7" s="1102" t="s">
        <v>764</v>
      </c>
      <c r="C7" s="1101" t="s">
        <v>765</v>
      </c>
      <c r="D7" s="1097" t="s">
        <v>3</v>
      </c>
      <c r="E7" s="1100">
        <v>200000</v>
      </c>
      <c r="F7" s="1100">
        <f t="shared" ref="F7:F38" si="0">SUM(G7:S7)</f>
        <v>0</v>
      </c>
      <c r="G7" s="1107"/>
      <c r="H7" s="1107"/>
      <c r="I7" s="1107"/>
      <c r="J7" s="1107"/>
      <c r="K7" s="1100"/>
      <c r="L7" s="1107"/>
      <c r="M7" s="1107"/>
      <c r="N7" s="1107"/>
      <c r="O7" s="1107"/>
      <c r="P7" s="1107"/>
      <c r="Q7" s="1107"/>
      <c r="R7" s="1103"/>
      <c r="S7" s="1099"/>
    </row>
    <row r="8" spans="1:19" ht="28.5" customHeight="1" x14ac:dyDescent="0.3">
      <c r="A8" s="1098"/>
      <c r="B8" s="1102"/>
      <c r="C8" s="1101"/>
      <c r="D8" s="1097" t="s">
        <v>567</v>
      </c>
      <c r="E8" s="1100">
        <v>0</v>
      </c>
      <c r="F8" s="1100">
        <f t="shared" si="0"/>
        <v>0</v>
      </c>
      <c r="G8" s="1107"/>
      <c r="H8" s="1107"/>
      <c r="I8" s="1107"/>
      <c r="J8" s="1107"/>
      <c r="K8" s="1100"/>
      <c r="L8" s="1107"/>
      <c r="M8" s="1107"/>
      <c r="N8" s="1107"/>
      <c r="O8" s="1107"/>
      <c r="P8" s="1107"/>
      <c r="Q8" s="1107"/>
      <c r="R8" s="1103"/>
      <c r="S8" s="1099"/>
    </row>
    <row r="9" spans="1:19" ht="20.25" x14ac:dyDescent="0.3">
      <c r="A9" s="1098"/>
      <c r="B9" s="1102"/>
      <c r="C9" s="1101"/>
      <c r="D9" s="1097" t="s">
        <v>619</v>
      </c>
      <c r="E9" s="1100"/>
      <c r="F9" s="1100">
        <f t="shared" si="0"/>
        <v>0</v>
      </c>
      <c r="G9" s="1107"/>
      <c r="H9" s="1107"/>
      <c r="I9" s="1107"/>
      <c r="J9" s="1107"/>
      <c r="K9" s="1100"/>
      <c r="L9" s="1107"/>
      <c r="M9" s="1107"/>
      <c r="N9" s="1107"/>
      <c r="O9" s="1107"/>
      <c r="P9" s="1107"/>
      <c r="Q9" s="1107"/>
      <c r="R9" s="1103"/>
      <c r="S9" s="1099"/>
    </row>
    <row r="10" spans="1:19" ht="20.25" x14ac:dyDescent="0.3">
      <c r="A10" s="1098" t="s">
        <v>734</v>
      </c>
      <c r="B10" s="1102" t="s">
        <v>764</v>
      </c>
      <c r="C10" s="1101" t="s">
        <v>766</v>
      </c>
      <c r="D10" s="1097" t="s">
        <v>3</v>
      </c>
      <c r="E10" s="1100">
        <v>20661</v>
      </c>
      <c r="F10" s="1100">
        <f t="shared" si="0"/>
        <v>249366</v>
      </c>
      <c r="G10" s="1107">
        <v>58366</v>
      </c>
      <c r="H10" s="1107">
        <v>15045</v>
      </c>
      <c r="I10" s="1107">
        <v>150370</v>
      </c>
      <c r="J10" s="1107">
        <v>18000</v>
      </c>
      <c r="K10" s="1100"/>
      <c r="L10" s="1107"/>
      <c r="M10" s="1107">
        <v>3775</v>
      </c>
      <c r="N10" s="1107">
        <v>3810</v>
      </c>
      <c r="O10" s="1107"/>
      <c r="P10" s="1107"/>
      <c r="Q10" s="1107"/>
      <c r="R10" s="1103"/>
      <c r="S10" s="1099"/>
    </row>
    <row r="11" spans="1:19" ht="20.25" x14ac:dyDescent="0.3">
      <c r="A11" s="1098"/>
      <c r="B11" s="1102"/>
      <c r="C11" s="1101"/>
      <c r="D11" s="1097" t="s">
        <v>567</v>
      </c>
      <c r="E11" s="1100">
        <f>20661+13263</f>
        <v>33924</v>
      </c>
      <c r="F11" s="1100">
        <f t="shared" si="0"/>
        <v>263149</v>
      </c>
      <c r="G11" s="1107">
        <v>55366</v>
      </c>
      <c r="H11" s="1107">
        <f>15045-650</f>
        <v>14395</v>
      </c>
      <c r="I11" s="1107">
        <f>150370+23826</f>
        <v>174196</v>
      </c>
      <c r="J11" s="1107">
        <f>18000+1039-2787</f>
        <v>16252</v>
      </c>
      <c r="K11" s="1100"/>
      <c r="L11" s="1107"/>
      <c r="M11" s="1107">
        <f>3775-835</f>
        <v>2940</v>
      </c>
      <c r="N11" s="1107">
        <v>0</v>
      </c>
      <c r="O11" s="1107"/>
      <c r="P11" s="1107"/>
      <c r="Q11" s="1107"/>
      <c r="R11" s="1103"/>
      <c r="S11" s="1099"/>
    </row>
    <row r="12" spans="1:19" ht="20.25" x14ac:dyDescent="0.3">
      <c r="A12" s="1098"/>
      <c r="B12" s="1102"/>
      <c r="C12" s="1101"/>
      <c r="D12" s="1097" t="s">
        <v>619</v>
      </c>
      <c r="E12" s="1100">
        <v>42924</v>
      </c>
      <c r="F12" s="1100">
        <f t="shared" si="0"/>
        <v>266546</v>
      </c>
      <c r="G12" s="1107">
        <v>57698</v>
      </c>
      <c r="H12" s="1107">
        <v>15530</v>
      </c>
      <c r="I12" s="1107">
        <v>179533</v>
      </c>
      <c r="J12" s="1107">
        <v>6639</v>
      </c>
      <c r="K12" s="1107"/>
      <c r="L12" s="1107"/>
      <c r="M12" s="1107">
        <v>921</v>
      </c>
      <c r="N12" s="1107">
        <v>6225</v>
      </c>
      <c r="O12" s="1107"/>
      <c r="P12" s="1107"/>
      <c r="Q12" s="1107"/>
      <c r="R12" s="1107"/>
      <c r="S12" s="1105"/>
    </row>
    <row r="13" spans="1:19" ht="20.25" x14ac:dyDescent="0.3">
      <c r="A13" s="1098" t="s">
        <v>742</v>
      </c>
      <c r="B13" s="1102" t="s">
        <v>767</v>
      </c>
      <c r="C13" s="1101" t="s">
        <v>768</v>
      </c>
      <c r="D13" s="1097" t="s">
        <v>3</v>
      </c>
      <c r="E13" s="1100"/>
      <c r="F13" s="1100">
        <f t="shared" si="0"/>
        <v>3600</v>
      </c>
      <c r="G13" s="1104"/>
      <c r="H13" s="1104"/>
      <c r="I13" s="1104">
        <v>3600</v>
      </c>
      <c r="J13" s="1104"/>
      <c r="K13" s="1100"/>
      <c r="L13" s="1104"/>
      <c r="M13" s="1104"/>
      <c r="N13" s="1104"/>
      <c r="O13" s="1104"/>
      <c r="P13" s="1104"/>
      <c r="Q13" s="1104"/>
      <c r="R13" s="1103"/>
      <c r="S13" s="1099"/>
    </row>
    <row r="14" spans="1:19" ht="20.25" x14ac:dyDescent="0.3">
      <c r="A14" s="1098"/>
      <c r="B14" s="1102"/>
      <c r="C14" s="1101"/>
      <c r="D14" s="1097" t="s">
        <v>567</v>
      </c>
      <c r="E14" s="1100"/>
      <c r="F14" s="1100">
        <f t="shared" si="0"/>
        <v>3600</v>
      </c>
      <c r="G14" s="1104"/>
      <c r="H14" s="1104"/>
      <c r="I14" s="1104">
        <v>3600</v>
      </c>
      <c r="J14" s="1104"/>
      <c r="K14" s="1100"/>
      <c r="L14" s="1104"/>
      <c r="M14" s="1104"/>
      <c r="N14" s="1104"/>
      <c r="O14" s="1104"/>
      <c r="P14" s="1104"/>
      <c r="Q14" s="1104"/>
      <c r="R14" s="1103"/>
      <c r="S14" s="1099"/>
    </row>
    <row r="15" spans="1:19" ht="20.25" x14ac:dyDescent="0.3">
      <c r="A15" s="1098"/>
      <c r="B15" s="1102"/>
      <c r="C15" s="1101"/>
      <c r="D15" s="1097" t="s">
        <v>619</v>
      </c>
      <c r="E15" s="1100">
        <v>16160</v>
      </c>
      <c r="F15" s="1100">
        <f t="shared" si="0"/>
        <v>19942</v>
      </c>
      <c r="G15" s="1100"/>
      <c r="H15" s="1100"/>
      <c r="I15" s="1107">
        <v>3782</v>
      </c>
      <c r="J15" s="1107">
        <v>16160</v>
      </c>
      <c r="K15" s="1100"/>
      <c r="L15" s="1100"/>
      <c r="M15" s="1100"/>
      <c r="N15" s="1100"/>
      <c r="O15" s="1100"/>
      <c r="P15" s="1100"/>
      <c r="Q15" s="1100"/>
      <c r="R15" s="1100"/>
      <c r="S15" s="1164"/>
    </row>
    <row r="16" spans="1:19" ht="20.25" x14ac:dyDescent="0.3">
      <c r="A16" s="1098" t="s">
        <v>646</v>
      </c>
      <c r="B16" s="1102" t="s">
        <v>769</v>
      </c>
      <c r="C16" s="1101" t="s">
        <v>770</v>
      </c>
      <c r="D16" s="1097" t="s">
        <v>3</v>
      </c>
      <c r="E16" s="1100">
        <v>8255</v>
      </c>
      <c r="F16" s="1100">
        <f t="shared" si="0"/>
        <v>15655</v>
      </c>
      <c r="G16" s="1107"/>
      <c r="H16" s="1107"/>
      <c r="I16" s="1107">
        <v>15655</v>
      </c>
      <c r="J16" s="1107"/>
      <c r="K16" s="1100"/>
      <c r="L16" s="1107"/>
      <c r="M16" s="1107"/>
      <c r="N16" s="1107"/>
      <c r="O16" s="1107"/>
      <c r="P16" s="1107"/>
      <c r="Q16" s="1107"/>
      <c r="R16" s="1103"/>
      <c r="S16" s="1099"/>
    </row>
    <row r="17" spans="1:19" ht="20.25" x14ac:dyDescent="0.3">
      <c r="A17" s="1098"/>
      <c r="B17" s="1102"/>
      <c r="C17" s="1101"/>
      <c r="D17" s="1097" t="s">
        <v>567</v>
      </c>
      <c r="E17" s="1100">
        <f>8255+596</f>
        <v>8851</v>
      </c>
      <c r="F17" s="1100">
        <f t="shared" si="0"/>
        <v>17188</v>
      </c>
      <c r="G17" s="1107"/>
      <c r="H17" s="1107"/>
      <c r="I17" s="1107">
        <f>15655+1533</f>
        <v>17188</v>
      </c>
      <c r="J17" s="1107"/>
      <c r="K17" s="1100"/>
      <c r="L17" s="1107"/>
      <c r="M17" s="1107"/>
      <c r="N17" s="1107"/>
      <c r="O17" s="1107"/>
      <c r="P17" s="1107"/>
      <c r="Q17" s="1107"/>
      <c r="R17" s="1103"/>
      <c r="S17" s="1099"/>
    </row>
    <row r="18" spans="1:19" ht="20.25" x14ac:dyDescent="0.3">
      <c r="A18" s="1098"/>
      <c r="B18" s="1102"/>
      <c r="C18" s="1101"/>
      <c r="D18" s="1097" t="s">
        <v>619</v>
      </c>
      <c r="E18" s="1100">
        <v>8851</v>
      </c>
      <c r="F18" s="1100">
        <f t="shared" si="0"/>
        <v>20358</v>
      </c>
      <c r="G18" s="1107"/>
      <c r="H18" s="1107"/>
      <c r="I18" s="1107">
        <v>20358</v>
      </c>
      <c r="J18" s="1107"/>
      <c r="K18" s="1100"/>
      <c r="L18" s="1107"/>
      <c r="M18" s="1107"/>
      <c r="N18" s="1107"/>
      <c r="O18" s="1107"/>
      <c r="P18" s="1107"/>
      <c r="Q18" s="1107"/>
      <c r="R18" s="1103"/>
      <c r="S18" s="1099"/>
    </row>
    <row r="19" spans="1:19" ht="20.25" x14ac:dyDescent="0.3">
      <c r="A19" s="1098" t="s">
        <v>646</v>
      </c>
      <c r="B19" s="1102" t="s">
        <v>771</v>
      </c>
      <c r="C19" s="1101" t="s">
        <v>772</v>
      </c>
      <c r="D19" s="1097" t="s">
        <v>3</v>
      </c>
      <c r="E19" s="1100">
        <f>764309</f>
        <v>764309</v>
      </c>
      <c r="F19" s="1100">
        <f t="shared" si="0"/>
        <v>306844</v>
      </c>
      <c r="G19" s="1107"/>
      <c r="H19" s="1107"/>
      <c r="I19" s="1107">
        <v>76327</v>
      </c>
      <c r="J19" s="1107">
        <v>30000</v>
      </c>
      <c r="K19" s="1100"/>
      <c r="L19" s="1107"/>
      <c r="M19" s="1107">
        <f>7350</f>
        <v>7350</v>
      </c>
      <c r="N19" s="1107">
        <v>193167</v>
      </c>
      <c r="O19" s="1107"/>
      <c r="P19" s="1107"/>
      <c r="Q19" s="1107"/>
      <c r="R19" s="1103"/>
      <c r="S19" s="1099"/>
    </row>
    <row r="20" spans="1:19" ht="20.25" x14ac:dyDescent="0.3">
      <c r="A20" s="1098"/>
      <c r="B20" s="1102"/>
      <c r="C20" s="1101"/>
      <c r="D20" s="1097" t="s">
        <v>567</v>
      </c>
      <c r="E20" s="1100">
        <f>764309-21831+11500</f>
        <v>753978</v>
      </c>
      <c r="F20" s="1100">
        <f t="shared" si="0"/>
        <v>300876</v>
      </c>
      <c r="G20" s="1107"/>
      <c r="H20" s="1107"/>
      <c r="I20" s="1107">
        <f>76327-13603</f>
        <v>62724</v>
      </c>
      <c r="J20" s="1107">
        <v>30000</v>
      </c>
      <c r="K20" s="1107"/>
      <c r="L20" s="1107"/>
      <c r="M20" s="1107">
        <f>7350+2500-1500</f>
        <v>8350</v>
      </c>
      <c r="N20" s="1107">
        <f>193167+635+6000</f>
        <v>199802</v>
      </c>
      <c r="O20" s="1107"/>
      <c r="P20" s="1107"/>
      <c r="Q20" s="1107"/>
      <c r="R20" s="1103"/>
      <c r="S20" s="1099"/>
    </row>
    <row r="21" spans="1:19" ht="20.25" x14ac:dyDescent="0.3">
      <c r="A21" s="1098"/>
      <c r="B21" s="1102"/>
      <c r="C21" s="1101"/>
      <c r="D21" s="1097" t="s">
        <v>619</v>
      </c>
      <c r="E21" s="1100">
        <v>849158</v>
      </c>
      <c r="F21" s="1100">
        <f t="shared" si="0"/>
        <v>320765</v>
      </c>
      <c r="G21" s="1100"/>
      <c r="H21" s="1107"/>
      <c r="I21" s="1107">
        <v>62438</v>
      </c>
      <c r="J21" s="1107">
        <v>30000</v>
      </c>
      <c r="K21" s="1107"/>
      <c r="L21" s="1107"/>
      <c r="M21" s="1107">
        <v>18085</v>
      </c>
      <c r="N21" s="1107">
        <v>210242</v>
      </c>
      <c r="O21" s="1107"/>
      <c r="P21" s="1107"/>
      <c r="Q21" s="1107"/>
      <c r="R21" s="1107"/>
      <c r="S21" s="1105"/>
    </row>
    <row r="22" spans="1:19" ht="20.25" x14ac:dyDescent="0.3">
      <c r="A22" s="1098" t="s">
        <v>742</v>
      </c>
      <c r="B22" s="1102" t="s">
        <v>773</v>
      </c>
      <c r="C22" s="1101" t="s">
        <v>774</v>
      </c>
      <c r="D22" s="1097" t="s">
        <v>3</v>
      </c>
      <c r="E22" s="1100"/>
      <c r="F22" s="1100">
        <f t="shared" si="0"/>
        <v>3075</v>
      </c>
      <c r="G22" s="1104">
        <v>2050</v>
      </c>
      <c r="H22" s="1104">
        <v>1025</v>
      </c>
      <c r="I22" s="1104"/>
      <c r="J22" s="1104"/>
      <c r="K22" s="1107"/>
      <c r="L22" s="1104"/>
      <c r="M22" s="1104"/>
      <c r="N22" s="1104"/>
      <c r="O22" s="1104"/>
      <c r="P22" s="1104"/>
      <c r="Q22" s="1104"/>
      <c r="R22" s="1103"/>
      <c r="S22" s="1099"/>
    </row>
    <row r="23" spans="1:19" ht="20.25" x14ac:dyDescent="0.3">
      <c r="A23" s="1098"/>
      <c r="B23" s="1102"/>
      <c r="C23" s="1101"/>
      <c r="D23" s="1097" t="s">
        <v>567</v>
      </c>
      <c r="E23" s="1100"/>
      <c r="F23" s="1100">
        <f t="shared" si="0"/>
        <v>3075</v>
      </c>
      <c r="G23" s="1104">
        <v>2050</v>
      </c>
      <c r="H23" s="1104">
        <v>1025</v>
      </c>
      <c r="I23" s="1104"/>
      <c r="J23" s="1104"/>
      <c r="K23" s="1100"/>
      <c r="L23" s="1104"/>
      <c r="M23" s="1104"/>
      <c r="N23" s="1104"/>
      <c r="O23" s="1104"/>
      <c r="P23" s="1104"/>
      <c r="Q23" s="1104"/>
      <c r="R23" s="1103"/>
      <c r="S23" s="1099"/>
    </row>
    <row r="24" spans="1:19" ht="20.25" x14ac:dyDescent="0.3">
      <c r="A24" s="1098"/>
      <c r="B24" s="1102"/>
      <c r="C24" s="1101"/>
      <c r="D24" s="1097" t="s">
        <v>619</v>
      </c>
      <c r="E24" s="1100"/>
      <c r="F24" s="1100">
        <f t="shared" si="0"/>
        <v>3075</v>
      </c>
      <c r="G24" s="1104">
        <v>2050</v>
      </c>
      <c r="H24" s="1104">
        <v>1025</v>
      </c>
      <c r="I24" s="1104"/>
      <c r="J24" s="1104"/>
      <c r="K24" s="1100"/>
      <c r="L24" s="1104"/>
      <c r="M24" s="1104"/>
      <c r="N24" s="1104"/>
      <c r="O24" s="1104"/>
      <c r="P24" s="1104"/>
      <c r="Q24" s="1104"/>
      <c r="R24" s="1103"/>
      <c r="S24" s="1099"/>
    </row>
    <row r="25" spans="1:19" ht="20.25" x14ac:dyDescent="0.3">
      <c r="A25" s="1098" t="s">
        <v>742</v>
      </c>
      <c r="B25" s="1102" t="s">
        <v>773</v>
      </c>
      <c r="C25" s="1101" t="s">
        <v>775</v>
      </c>
      <c r="D25" s="1097" t="s">
        <v>3</v>
      </c>
      <c r="E25" s="1100">
        <v>1524</v>
      </c>
      <c r="F25" s="1100">
        <f t="shared" si="0"/>
        <v>4700</v>
      </c>
      <c r="G25" s="1104">
        <v>2646</v>
      </c>
      <c r="H25" s="1104">
        <v>1354</v>
      </c>
      <c r="I25" s="1104">
        <f>1700-1000</f>
        <v>700</v>
      </c>
      <c r="J25" s="1104"/>
      <c r="K25" s="1100"/>
      <c r="L25" s="1104"/>
      <c r="M25" s="1104"/>
      <c r="N25" s="1104"/>
      <c r="O25" s="1104"/>
      <c r="P25" s="1104"/>
      <c r="Q25" s="1104"/>
      <c r="R25" s="1103"/>
      <c r="S25" s="1099"/>
    </row>
    <row r="26" spans="1:19" ht="20.25" x14ac:dyDescent="0.3">
      <c r="A26" s="1098"/>
      <c r="B26" s="1102"/>
      <c r="C26" s="1101"/>
      <c r="D26" s="1097" t="s">
        <v>567</v>
      </c>
      <c r="E26" s="1100">
        <v>1524</v>
      </c>
      <c r="F26" s="1100">
        <f t="shared" si="0"/>
        <v>4700</v>
      </c>
      <c r="G26" s="1104">
        <v>2646</v>
      </c>
      <c r="H26" s="1104">
        <v>1354</v>
      </c>
      <c r="I26" s="1104">
        <v>700</v>
      </c>
      <c r="J26" s="1104"/>
      <c r="K26" s="1100"/>
      <c r="L26" s="1104"/>
      <c r="M26" s="1104"/>
      <c r="N26" s="1104"/>
      <c r="O26" s="1104"/>
      <c r="P26" s="1104"/>
      <c r="Q26" s="1104"/>
      <c r="R26" s="1103"/>
      <c r="S26" s="1105"/>
    </row>
    <row r="27" spans="1:19" ht="20.25" x14ac:dyDescent="0.3">
      <c r="A27" s="1098"/>
      <c r="B27" s="1102"/>
      <c r="C27" s="1101"/>
      <c r="D27" s="1097" t="s">
        <v>619</v>
      </c>
      <c r="E27" s="1100">
        <v>1524</v>
      </c>
      <c r="F27" s="1100">
        <f t="shared" si="0"/>
        <v>4700</v>
      </c>
      <c r="G27" s="1104">
        <v>2646</v>
      </c>
      <c r="H27" s="1104">
        <v>1354</v>
      </c>
      <c r="I27" s="1104">
        <v>700</v>
      </c>
      <c r="J27" s="1104"/>
      <c r="K27" s="1100"/>
      <c r="L27" s="1104"/>
      <c r="M27" s="1104"/>
      <c r="N27" s="1104"/>
      <c r="O27" s="1104"/>
      <c r="P27" s="1104"/>
      <c r="Q27" s="1104"/>
      <c r="R27" s="1103"/>
      <c r="S27" s="1105"/>
    </row>
    <row r="28" spans="1:19" ht="20.25" x14ac:dyDescent="0.3">
      <c r="A28" s="1098" t="s">
        <v>742</v>
      </c>
      <c r="B28" s="1102" t="s">
        <v>773</v>
      </c>
      <c r="C28" s="1101" t="s">
        <v>776</v>
      </c>
      <c r="D28" s="1097" t="s">
        <v>3</v>
      </c>
      <c r="E28" s="1100"/>
      <c r="F28" s="1100">
        <f t="shared" si="0"/>
        <v>9120</v>
      </c>
      <c r="G28" s="1104">
        <v>6080</v>
      </c>
      <c r="H28" s="1104">
        <v>3040</v>
      </c>
      <c r="I28" s="1104"/>
      <c r="J28" s="1104"/>
      <c r="K28" s="1100"/>
      <c r="L28" s="1104"/>
      <c r="M28" s="1104"/>
      <c r="N28" s="1104"/>
      <c r="O28" s="1104"/>
      <c r="P28" s="1104"/>
      <c r="Q28" s="1104"/>
      <c r="R28" s="1103"/>
      <c r="S28" s="1099"/>
    </row>
    <row r="29" spans="1:19" ht="20.25" x14ac:dyDescent="0.3">
      <c r="A29" s="1098"/>
      <c r="B29" s="1102"/>
      <c r="C29" s="1101"/>
      <c r="D29" s="1097" t="s">
        <v>567</v>
      </c>
      <c r="E29" s="1100"/>
      <c r="F29" s="1100">
        <f t="shared" si="0"/>
        <v>9020</v>
      </c>
      <c r="G29" s="1104">
        <v>5980</v>
      </c>
      <c r="H29" s="1104">
        <v>3040</v>
      </c>
      <c r="I29" s="1104"/>
      <c r="J29" s="1104"/>
      <c r="K29" s="1100"/>
      <c r="L29" s="1104"/>
      <c r="M29" s="1104"/>
      <c r="N29" s="1104"/>
      <c r="O29" s="1104"/>
      <c r="P29" s="1104"/>
      <c r="Q29" s="1104"/>
      <c r="R29" s="1103"/>
      <c r="S29" s="1099"/>
    </row>
    <row r="30" spans="1:19" ht="20.25" x14ac:dyDescent="0.3">
      <c r="A30" s="1098"/>
      <c r="B30" s="1102"/>
      <c r="C30" s="1101"/>
      <c r="D30" s="1097" t="s">
        <v>619</v>
      </c>
      <c r="E30" s="1100"/>
      <c r="F30" s="1100">
        <f t="shared" si="0"/>
        <v>11181</v>
      </c>
      <c r="G30" s="1104">
        <v>7776</v>
      </c>
      <c r="H30" s="1104">
        <v>3405</v>
      </c>
      <c r="I30" s="1104"/>
      <c r="J30" s="1104"/>
      <c r="K30" s="1100"/>
      <c r="L30" s="1104"/>
      <c r="M30" s="1104"/>
      <c r="N30" s="1104"/>
      <c r="O30" s="1104"/>
      <c r="P30" s="1104"/>
      <c r="Q30" s="1104"/>
      <c r="R30" s="1103"/>
      <c r="S30" s="1099"/>
    </row>
    <row r="31" spans="1:19" ht="20.25" x14ac:dyDescent="0.3">
      <c r="A31" s="1098" t="s">
        <v>742</v>
      </c>
      <c r="B31" s="1102" t="s">
        <v>773</v>
      </c>
      <c r="C31" s="1101" t="s">
        <v>777</v>
      </c>
      <c r="D31" s="1097" t="s">
        <v>3</v>
      </c>
      <c r="E31" s="1100"/>
      <c r="F31" s="1100">
        <f t="shared" si="0"/>
        <v>6190</v>
      </c>
      <c r="G31" s="1104">
        <v>4500</v>
      </c>
      <c r="H31" s="1104">
        <v>1690</v>
      </c>
      <c r="I31" s="1104"/>
      <c r="J31" s="1104"/>
      <c r="K31" s="1100"/>
      <c r="L31" s="1104"/>
      <c r="M31" s="1104"/>
      <c r="N31" s="1104"/>
      <c r="O31" s="1104"/>
      <c r="P31" s="1104"/>
      <c r="Q31" s="1104"/>
      <c r="R31" s="1103"/>
      <c r="S31" s="1099"/>
    </row>
    <row r="32" spans="1:19" ht="20.25" x14ac:dyDescent="0.3">
      <c r="A32" s="1098"/>
      <c r="B32" s="1102"/>
      <c r="C32" s="1101"/>
      <c r="D32" s="1097" t="s">
        <v>567</v>
      </c>
      <c r="E32" s="1100"/>
      <c r="F32" s="1100">
        <f t="shared" si="0"/>
        <v>6190</v>
      </c>
      <c r="G32" s="1104">
        <v>4500</v>
      </c>
      <c r="H32" s="1104">
        <v>1690</v>
      </c>
      <c r="I32" s="1104"/>
      <c r="J32" s="1104"/>
      <c r="K32" s="1100"/>
      <c r="L32" s="1104"/>
      <c r="M32" s="1104"/>
      <c r="N32" s="1104"/>
      <c r="O32" s="1104"/>
      <c r="P32" s="1104"/>
      <c r="Q32" s="1104"/>
      <c r="R32" s="1103"/>
      <c r="S32" s="1099"/>
    </row>
    <row r="33" spans="1:19" ht="20.25" x14ac:dyDescent="0.3">
      <c r="A33" s="1098"/>
      <c r="B33" s="1102"/>
      <c r="C33" s="1101"/>
      <c r="D33" s="1097" t="s">
        <v>619</v>
      </c>
      <c r="E33" s="1100"/>
      <c r="F33" s="1100">
        <f t="shared" si="0"/>
        <v>5497</v>
      </c>
      <c r="G33" s="1104">
        <v>3932</v>
      </c>
      <c r="H33" s="1104">
        <v>1565</v>
      </c>
      <c r="I33" s="1104"/>
      <c r="J33" s="1104"/>
      <c r="K33" s="1100"/>
      <c r="L33" s="1104"/>
      <c r="M33" s="1104"/>
      <c r="N33" s="1104"/>
      <c r="O33" s="1104"/>
      <c r="P33" s="1104"/>
      <c r="Q33" s="1104"/>
      <c r="R33" s="1103"/>
      <c r="S33" s="1099"/>
    </row>
    <row r="34" spans="1:19" ht="20.25" x14ac:dyDescent="0.3">
      <c r="A34" s="1098" t="s">
        <v>734</v>
      </c>
      <c r="B34" s="1102" t="s">
        <v>778</v>
      </c>
      <c r="C34" s="1101" t="s">
        <v>779</v>
      </c>
      <c r="D34" s="1097" t="s">
        <v>3</v>
      </c>
      <c r="E34" s="1100">
        <v>999690</v>
      </c>
      <c r="F34" s="1100">
        <f t="shared" si="0"/>
        <v>25000</v>
      </c>
      <c r="G34" s="1107"/>
      <c r="H34" s="1107"/>
      <c r="I34" s="1107"/>
      <c r="J34" s="1107"/>
      <c r="K34" s="1100"/>
      <c r="L34" s="1107"/>
      <c r="M34" s="1107"/>
      <c r="N34" s="1107"/>
      <c r="O34" s="1107"/>
      <c r="P34" s="1107"/>
      <c r="Q34" s="1107">
        <v>25000</v>
      </c>
      <c r="R34" s="1103"/>
      <c r="S34" s="1099"/>
    </row>
    <row r="35" spans="1:19" ht="20.25" x14ac:dyDescent="0.3">
      <c r="A35" s="1098"/>
      <c r="B35" s="1102"/>
      <c r="C35" s="1101"/>
      <c r="D35" s="1097" t="s">
        <v>567</v>
      </c>
      <c r="E35" s="1100">
        <f>999690+116086-2787+13000</f>
        <v>1125989</v>
      </c>
      <c r="F35" s="1100">
        <f t="shared" si="0"/>
        <v>38000</v>
      </c>
      <c r="G35" s="1107"/>
      <c r="H35" s="1107"/>
      <c r="I35" s="1107"/>
      <c r="J35" s="1107"/>
      <c r="K35" s="1100"/>
      <c r="L35" s="1107"/>
      <c r="M35" s="1107"/>
      <c r="N35" s="1107"/>
      <c r="O35" s="1107"/>
      <c r="P35" s="1107"/>
      <c r="Q35" s="1107">
        <f>25000+13000</f>
        <v>38000</v>
      </c>
      <c r="R35" s="1103"/>
      <c r="S35" s="1099"/>
    </row>
    <row r="36" spans="1:19" ht="20.25" x14ac:dyDescent="0.3">
      <c r="A36" s="1098"/>
      <c r="B36" s="1102"/>
      <c r="C36" s="1101"/>
      <c r="D36" s="1097" t="s">
        <v>619</v>
      </c>
      <c r="E36" s="1100">
        <v>1164716</v>
      </c>
      <c r="F36" s="1100">
        <f t="shared" si="0"/>
        <v>40010</v>
      </c>
      <c r="G36" s="1100"/>
      <c r="H36" s="1100"/>
      <c r="I36" s="1100"/>
      <c r="J36" s="1100"/>
      <c r="K36" s="1100"/>
      <c r="L36" s="1100"/>
      <c r="M36" s="1100"/>
      <c r="N36" s="1100"/>
      <c r="O36" s="1100"/>
      <c r="P36" s="1100"/>
      <c r="Q36" s="1107">
        <v>40010</v>
      </c>
      <c r="R36" s="1107"/>
      <c r="S36" s="1105"/>
    </row>
    <row r="37" spans="1:19" ht="20.25" x14ac:dyDescent="0.3">
      <c r="A37" s="1098" t="s">
        <v>734</v>
      </c>
      <c r="B37" s="1102" t="s">
        <v>780</v>
      </c>
      <c r="C37" s="1101" t="s">
        <v>781</v>
      </c>
      <c r="D37" s="1097" t="s">
        <v>3</v>
      </c>
      <c r="E37" s="1100"/>
      <c r="F37" s="1100">
        <f t="shared" si="0"/>
        <v>0</v>
      </c>
      <c r="G37" s="1104"/>
      <c r="H37" s="1104"/>
      <c r="I37" s="1104"/>
      <c r="J37" s="1104"/>
      <c r="K37" s="1100"/>
      <c r="L37" s="1104"/>
      <c r="M37" s="1104"/>
      <c r="N37" s="1104"/>
      <c r="O37" s="1104"/>
      <c r="P37" s="1104"/>
      <c r="Q37" s="1104"/>
      <c r="R37" s="1103"/>
      <c r="S37" s="1099"/>
    </row>
    <row r="38" spans="1:19" ht="20.25" x14ac:dyDescent="0.3">
      <c r="A38" s="1098"/>
      <c r="B38" s="1102"/>
      <c r="C38" s="1101"/>
      <c r="D38" s="1097" t="s">
        <v>567</v>
      </c>
      <c r="E38" s="1100"/>
      <c r="F38" s="1100">
        <f t="shared" si="0"/>
        <v>0</v>
      </c>
      <c r="G38" s="1104"/>
      <c r="H38" s="1104"/>
      <c r="I38" s="1104"/>
      <c r="J38" s="1104"/>
      <c r="K38" s="1100"/>
      <c r="L38" s="1104"/>
      <c r="M38" s="1104"/>
      <c r="N38" s="1104"/>
      <c r="O38" s="1104"/>
      <c r="P38" s="1104"/>
      <c r="Q38" s="1104"/>
      <c r="R38" s="1103"/>
      <c r="S38" s="1099"/>
    </row>
    <row r="39" spans="1:19" ht="20.25" x14ac:dyDescent="0.3">
      <c r="A39" s="1098"/>
      <c r="B39" s="1102"/>
      <c r="C39" s="1106"/>
      <c r="D39" s="1097" t="s">
        <v>619</v>
      </c>
      <c r="E39" s="1115"/>
      <c r="F39" s="1115">
        <f t="shared" ref="F39:F70" si="1">SUM(G39:S39)</f>
        <v>15213</v>
      </c>
      <c r="G39" s="1115"/>
      <c r="H39" s="1115"/>
      <c r="I39" s="1114">
        <v>77</v>
      </c>
      <c r="J39" s="1114">
        <v>15136</v>
      </c>
      <c r="K39" s="1115"/>
      <c r="L39" s="1115"/>
      <c r="M39" s="1115"/>
      <c r="N39" s="1115"/>
      <c r="O39" s="1115"/>
      <c r="P39" s="1115"/>
      <c r="Q39" s="1114"/>
      <c r="R39" s="1114"/>
      <c r="S39" s="1176"/>
    </row>
    <row r="40" spans="1:19" ht="20.25" x14ac:dyDescent="0.3">
      <c r="A40" s="1098" t="s">
        <v>734</v>
      </c>
      <c r="B40" s="1102" t="s">
        <v>782</v>
      </c>
      <c r="C40" s="1101" t="s">
        <v>741</v>
      </c>
      <c r="D40" s="1097" t="s">
        <v>3</v>
      </c>
      <c r="E40" s="1100"/>
      <c r="F40" s="1100">
        <f t="shared" si="1"/>
        <v>1859736</v>
      </c>
      <c r="G40" s="1104"/>
      <c r="H40" s="1104"/>
      <c r="I40" s="1104"/>
      <c r="J40" s="1104">
        <v>334135</v>
      </c>
      <c r="K40" s="1100"/>
      <c r="L40" s="1104"/>
      <c r="M40" s="1104"/>
      <c r="N40" s="1104"/>
      <c r="O40" s="1104"/>
      <c r="P40" s="1104"/>
      <c r="Q40" s="1104"/>
      <c r="R40" s="1107">
        <v>1525601</v>
      </c>
      <c r="S40" s="1099"/>
    </row>
    <row r="41" spans="1:19" ht="20.25" x14ac:dyDescent="0.3">
      <c r="A41" s="1098"/>
      <c r="B41" s="1102"/>
      <c r="C41" s="1101"/>
      <c r="D41" s="1097" t="s">
        <v>567</v>
      </c>
      <c r="E41" s="1100"/>
      <c r="F41" s="1100">
        <f t="shared" si="1"/>
        <v>1935648</v>
      </c>
      <c r="G41" s="1104"/>
      <c r="H41" s="1104"/>
      <c r="I41" s="1104"/>
      <c r="J41" s="1104">
        <f>334135+15120</f>
        <v>349255</v>
      </c>
      <c r="K41" s="1100"/>
      <c r="L41" s="1104"/>
      <c r="M41" s="1104"/>
      <c r="N41" s="1104"/>
      <c r="O41" s="1104"/>
      <c r="P41" s="1104"/>
      <c r="Q41" s="1104"/>
      <c r="R41" s="1107">
        <f>1525601+60792</f>
        <v>1586393</v>
      </c>
      <c r="S41" s="1099"/>
    </row>
    <row r="42" spans="1:19" ht="20.25" x14ac:dyDescent="0.3">
      <c r="A42" s="1098"/>
      <c r="B42" s="1102"/>
      <c r="C42" s="1101"/>
      <c r="D42" s="1097" t="s">
        <v>619</v>
      </c>
      <c r="E42" s="1100"/>
      <c r="F42" s="1100">
        <f t="shared" si="1"/>
        <v>1960657</v>
      </c>
      <c r="G42" s="1100"/>
      <c r="H42" s="1100"/>
      <c r="I42" s="1100"/>
      <c r="J42" s="1107">
        <v>369453</v>
      </c>
      <c r="K42" s="1100"/>
      <c r="L42" s="1100"/>
      <c r="M42" s="1100"/>
      <c r="N42" s="1100"/>
      <c r="O42" s="1100"/>
      <c r="P42" s="1100"/>
      <c r="Q42" s="1107"/>
      <c r="R42" s="1107">
        <v>1591204</v>
      </c>
      <c r="S42" s="1105"/>
    </row>
    <row r="43" spans="1:19" ht="20.25" x14ac:dyDescent="0.3">
      <c r="A43" s="1098" t="s">
        <v>646</v>
      </c>
      <c r="B43" s="1102" t="s">
        <v>783</v>
      </c>
      <c r="C43" s="1101" t="s">
        <v>784</v>
      </c>
      <c r="D43" s="1097" t="s">
        <v>3</v>
      </c>
      <c r="E43" s="1100"/>
      <c r="F43" s="1100">
        <f t="shared" si="1"/>
        <v>5000</v>
      </c>
      <c r="G43" s="1104"/>
      <c r="H43" s="1104"/>
      <c r="I43" s="1104"/>
      <c r="J43" s="1104">
        <v>5000</v>
      </c>
      <c r="K43" s="1100"/>
      <c r="L43" s="1104"/>
      <c r="M43" s="1104"/>
      <c r="N43" s="1104"/>
      <c r="O43" s="1104"/>
      <c r="P43" s="1104"/>
      <c r="Q43" s="1104"/>
      <c r="R43" s="1103"/>
      <c r="S43" s="1099"/>
    </row>
    <row r="44" spans="1:19" ht="20.25" x14ac:dyDescent="0.3">
      <c r="A44" s="1098"/>
      <c r="B44" s="1102"/>
      <c r="C44" s="1101"/>
      <c r="D44" s="1097" t="s">
        <v>567</v>
      </c>
      <c r="E44" s="1100"/>
      <c r="F44" s="1100">
        <f t="shared" si="1"/>
        <v>4000</v>
      </c>
      <c r="G44" s="1104"/>
      <c r="H44" s="1104"/>
      <c r="I44" s="1104"/>
      <c r="J44" s="1104">
        <f>5000-1000</f>
        <v>4000</v>
      </c>
      <c r="K44" s="1100"/>
      <c r="L44" s="1104"/>
      <c r="M44" s="1104"/>
      <c r="N44" s="1104"/>
      <c r="O44" s="1104"/>
      <c r="P44" s="1104"/>
      <c r="Q44" s="1104"/>
      <c r="R44" s="1103"/>
      <c r="S44" s="1099"/>
    </row>
    <row r="45" spans="1:19" ht="20.25" x14ac:dyDescent="0.3">
      <c r="A45" s="1098"/>
      <c r="B45" s="1102"/>
      <c r="C45" s="1101"/>
      <c r="D45" s="1097" t="s">
        <v>619</v>
      </c>
      <c r="E45" s="1100"/>
      <c r="F45" s="1100">
        <f t="shared" si="1"/>
        <v>4000</v>
      </c>
      <c r="G45" s="1104"/>
      <c r="H45" s="1104"/>
      <c r="I45" s="1104"/>
      <c r="J45" s="1104">
        <v>4000</v>
      </c>
      <c r="K45" s="1100"/>
      <c r="L45" s="1104"/>
      <c r="M45" s="1104"/>
      <c r="N45" s="1104"/>
      <c r="O45" s="1104"/>
      <c r="P45" s="1104"/>
      <c r="Q45" s="1104"/>
      <c r="R45" s="1103"/>
      <c r="S45" s="1099"/>
    </row>
    <row r="46" spans="1:19" ht="20.25" x14ac:dyDescent="0.3">
      <c r="A46" s="1098" t="s">
        <v>646</v>
      </c>
      <c r="B46" s="1102" t="s">
        <v>785</v>
      </c>
      <c r="C46" s="1101" t="s">
        <v>786</v>
      </c>
      <c r="D46" s="1097" t="s">
        <v>3</v>
      </c>
      <c r="E46" s="1100"/>
      <c r="F46" s="1100">
        <f t="shared" si="1"/>
        <v>240</v>
      </c>
      <c r="G46" s="1104"/>
      <c r="H46" s="1104"/>
      <c r="I46" s="1104">
        <v>240</v>
      </c>
      <c r="J46" s="1104"/>
      <c r="K46" s="1100"/>
      <c r="L46" s="1104"/>
      <c r="M46" s="1104"/>
      <c r="N46" s="1104"/>
      <c r="O46" s="1104"/>
      <c r="P46" s="1104"/>
      <c r="Q46" s="1104"/>
      <c r="R46" s="1103"/>
      <c r="S46" s="1099"/>
    </row>
    <row r="47" spans="1:19" ht="20.25" x14ac:dyDescent="0.3">
      <c r="A47" s="1098"/>
      <c r="B47" s="1102"/>
      <c r="C47" s="1101"/>
      <c r="D47" s="1097" t="s">
        <v>567</v>
      </c>
      <c r="E47" s="1100"/>
      <c r="F47" s="1100">
        <f t="shared" si="1"/>
        <v>240</v>
      </c>
      <c r="G47" s="1104"/>
      <c r="H47" s="1104"/>
      <c r="I47" s="1104">
        <v>240</v>
      </c>
      <c r="J47" s="1104"/>
      <c r="K47" s="1100"/>
      <c r="L47" s="1104"/>
      <c r="M47" s="1104"/>
      <c r="N47" s="1104"/>
      <c r="O47" s="1104"/>
      <c r="P47" s="1104"/>
      <c r="Q47" s="1104"/>
      <c r="R47" s="1103"/>
      <c r="S47" s="1099"/>
    </row>
    <row r="48" spans="1:19" ht="20.25" x14ac:dyDescent="0.3">
      <c r="A48" s="1098"/>
      <c r="B48" s="1102"/>
      <c r="C48" s="1101"/>
      <c r="D48" s="1097" t="s">
        <v>619</v>
      </c>
      <c r="E48" s="1100"/>
      <c r="F48" s="1100">
        <f t="shared" si="1"/>
        <v>240</v>
      </c>
      <c r="G48" s="1104"/>
      <c r="H48" s="1104"/>
      <c r="I48" s="1104">
        <v>240</v>
      </c>
      <c r="J48" s="1104"/>
      <c r="K48" s="1100"/>
      <c r="L48" s="1104"/>
      <c r="M48" s="1104"/>
      <c r="N48" s="1104"/>
      <c r="O48" s="1104"/>
      <c r="P48" s="1104"/>
      <c r="Q48" s="1104"/>
      <c r="R48" s="1103"/>
      <c r="S48" s="1099"/>
    </row>
    <row r="49" spans="1:19" ht="20.25" x14ac:dyDescent="0.3">
      <c r="A49" s="1098" t="s">
        <v>646</v>
      </c>
      <c r="B49" s="1102" t="s">
        <v>787</v>
      </c>
      <c r="C49" s="1101" t="s">
        <v>788</v>
      </c>
      <c r="D49" s="1097" t="s">
        <v>3</v>
      </c>
      <c r="E49" s="1100">
        <v>128050</v>
      </c>
      <c r="F49" s="1100">
        <f t="shared" si="1"/>
        <v>148056</v>
      </c>
      <c r="G49" s="1107">
        <v>129600</v>
      </c>
      <c r="H49" s="1107">
        <v>17496</v>
      </c>
      <c r="I49" s="1107">
        <v>960</v>
      </c>
      <c r="J49" s="1107"/>
      <c r="K49" s="1100"/>
      <c r="L49" s="1107"/>
      <c r="M49" s="1107"/>
      <c r="N49" s="1107"/>
      <c r="O49" s="1107"/>
      <c r="P49" s="1107"/>
      <c r="Q49" s="1107"/>
      <c r="R49" s="1103"/>
      <c r="S49" s="1099"/>
    </row>
    <row r="50" spans="1:19" ht="20.25" x14ac:dyDescent="0.3">
      <c r="A50" s="1098"/>
      <c r="B50" s="1102"/>
      <c r="C50" s="1101"/>
      <c r="D50" s="1097" t="s">
        <v>567</v>
      </c>
      <c r="E50" s="1100">
        <v>128050</v>
      </c>
      <c r="F50" s="1100">
        <f t="shared" si="1"/>
        <v>148056</v>
      </c>
      <c r="G50" s="1107">
        <v>129600</v>
      </c>
      <c r="H50" s="1107">
        <v>17496</v>
      </c>
      <c r="I50" s="1107">
        <v>960</v>
      </c>
      <c r="J50" s="1107"/>
      <c r="K50" s="1100"/>
      <c r="L50" s="1107"/>
      <c r="M50" s="1107"/>
      <c r="N50" s="1107"/>
      <c r="O50" s="1107"/>
      <c r="P50" s="1107"/>
      <c r="Q50" s="1107"/>
      <c r="R50" s="1103"/>
      <c r="S50" s="1099"/>
    </row>
    <row r="51" spans="1:19" ht="20.25" x14ac:dyDescent="0.3">
      <c r="A51" s="1098"/>
      <c r="B51" s="1102"/>
      <c r="C51" s="1101"/>
      <c r="D51" s="1097" t="s">
        <v>619</v>
      </c>
      <c r="E51" s="1100">
        <v>128050</v>
      </c>
      <c r="F51" s="1100">
        <f t="shared" si="1"/>
        <v>148056</v>
      </c>
      <c r="G51" s="1107">
        <v>129600</v>
      </c>
      <c r="H51" s="1107">
        <v>17496</v>
      </c>
      <c r="I51" s="1107">
        <v>960</v>
      </c>
      <c r="J51" s="1107"/>
      <c r="K51" s="1100"/>
      <c r="L51" s="1107"/>
      <c r="M51" s="1107"/>
      <c r="N51" s="1107"/>
      <c r="O51" s="1107"/>
      <c r="P51" s="1107"/>
      <c r="Q51" s="1107"/>
      <c r="R51" s="1103"/>
      <c r="S51" s="1099"/>
    </row>
    <row r="52" spans="1:19" ht="20.25" x14ac:dyDescent="0.3">
      <c r="A52" s="1098" t="s">
        <v>646</v>
      </c>
      <c r="B52" s="1102" t="s">
        <v>789</v>
      </c>
      <c r="C52" s="1101" t="s">
        <v>790</v>
      </c>
      <c r="D52" s="1097" t="s">
        <v>3</v>
      </c>
      <c r="E52" s="1100"/>
      <c r="F52" s="1100">
        <f t="shared" si="1"/>
        <v>9850</v>
      </c>
      <c r="G52" s="1107"/>
      <c r="H52" s="1107"/>
      <c r="I52" s="1107">
        <v>9850</v>
      </c>
      <c r="J52" s="1107"/>
      <c r="K52" s="1100"/>
      <c r="L52" s="1107"/>
      <c r="M52" s="1107"/>
      <c r="N52" s="1107"/>
      <c r="O52" s="1107"/>
      <c r="P52" s="1107"/>
      <c r="Q52" s="1107"/>
      <c r="R52" s="1103"/>
      <c r="S52" s="1099"/>
    </row>
    <row r="53" spans="1:19" ht="20.25" x14ac:dyDescent="0.3">
      <c r="A53" s="1098"/>
      <c r="B53" s="1102"/>
      <c r="C53" s="1101"/>
      <c r="D53" s="1097" t="s">
        <v>567</v>
      </c>
      <c r="E53" s="1100"/>
      <c r="F53" s="1100">
        <f t="shared" si="1"/>
        <v>9850</v>
      </c>
      <c r="G53" s="1107"/>
      <c r="H53" s="1107"/>
      <c r="I53" s="1107">
        <v>9850</v>
      </c>
      <c r="J53" s="1107"/>
      <c r="K53" s="1100"/>
      <c r="L53" s="1107"/>
      <c r="M53" s="1107"/>
      <c r="N53" s="1107"/>
      <c r="O53" s="1107"/>
      <c r="P53" s="1107"/>
      <c r="Q53" s="1107"/>
      <c r="R53" s="1103"/>
      <c r="S53" s="1099"/>
    </row>
    <row r="54" spans="1:19" ht="20.25" x14ac:dyDescent="0.3">
      <c r="A54" s="1098"/>
      <c r="B54" s="1102"/>
      <c r="C54" s="1101"/>
      <c r="D54" s="1097" t="s">
        <v>619</v>
      </c>
      <c r="E54" s="1100"/>
      <c r="F54" s="1100">
        <f t="shared" si="1"/>
        <v>9850</v>
      </c>
      <c r="G54" s="1107"/>
      <c r="H54" s="1107"/>
      <c r="I54" s="1107">
        <v>9850</v>
      </c>
      <c r="J54" s="1107"/>
      <c r="K54" s="1100"/>
      <c r="L54" s="1107"/>
      <c r="M54" s="1107"/>
      <c r="N54" s="1107"/>
      <c r="O54" s="1107"/>
      <c r="P54" s="1107"/>
      <c r="Q54" s="1107"/>
      <c r="R54" s="1103"/>
      <c r="S54" s="1099"/>
    </row>
    <row r="55" spans="1:19" ht="20.25" x14ac:dyDescent="0.3">
      <c r="A55" s="1098" t="s">
        <v>646</v>
      </c>
      <c r="B55" s="1102" t="s">
        <v>791</v>
      </c>
      <c r="C55" s="1101" t="s">
        <v>792</v>
      </c>
      <c r="D55" s="1097" t="s">
        <v>3</v>
      </c>
      <c r="E55" s="1100">
        <v>3810</v>
      </c>
      <c r="F55" s="1100">
        <f t="shared" si="1"/>
        <v>101057</v>
      </c>
      <c r="G55" s="1107"/>
      <c r="H55" s="1107"/>
      <c r="I55" s="1107">
        <v>11970</v>
      </c>
      <c r="J55" s="1107"/>
      <c r="K55" s="1100"/>
      <c r="L55" s="1107"/>
      <c r="M55" s="1107">
        <v>79737</v>
      </c>
      <c r="N55" s="1107">
        <v>9350</v>
      </c>
      <c r="O55" s="1107"/>
      <c r="P55" s="1107"/>
      <c r="Q55" s="1107"/>
      <c r="R55" s="1103"/>
      <c r="S55" s="1099"/>
    </row>
    <row r="56" spans="1:19" ht="20.25" x14ac:dyDescent="0.3">
      <c r="A56" s="1098"/>
      <c r="B56" s="1102"/>
      <c r="C56" s="1101"/>
      <c r="D56" s="1097" t="s">
        <v>567</v>
      </c>
      <c r="E56" s="1100">
        <v>3810</v>
      </c>
      <c r="F56" s="1100">
        <f t="shared" si="1"/>
        <v>68037</v>
      </c>
      <c r="G56" s="1107"/>
      <c r="H56" s="1107"/>
      <c r="I56" s="1107">
        <f>11970+1550</f>
        <v>13520</v>
      </c>
      <c r="J56" s="1107"/>
      <c r="K56" s="1107"/>
      <c r="L56" s="1107"/>
      <c r="M56" s="1107">
        <f>79737-48841</f>
        <v>30896</v>
      </c>
      <c r="N56" s="1107">
        <f>9350+14271</f>
        <v>23621</v>
      </c>
      <c r="O56" s="1107"/>
      <c r="P56" s="1107"/>
      <c r="Q56" s="1107"/>
      <c r="R56" s="1103"/>
      <c r="S56" s="1099"/>
    </row>
    <row r="57" spans="1:19" ht="20.25" x14ac:dyDescent="0.3">
      <c r="A57" s="1098"/>
      <c r="B57" s="1102"/>
      <c r="C57" s="1101"/>
      <c r="D57" s="1097" t="s">
        <v>619</v>
      </c>
      <c r="E57" s="1100">
        <v>3810</v>
      </c>
      <c r="F57" s="1100">
        <f t="shared" si="1"/>
        <v>62475</v>
      </c>
      <c r="G57" s="1100"/>
      <c r="H57" s="1100"/>
      <c r="I57" s="1107">
        <v>13806</v>
      </c>
      <c r="J57" s="1107"/>
      <c r="K57" s="1107"/>
      <c r="L57" s="1107"/>
      <c r="M57" s="1107">
        <v>21111</v>
      </c>
      <c r="N57" s="1107">
        <v>27558</v>
      </c>
      <c r="O57" s="1107"/>
      <c r="P57" s="1100"/>
      <c r="Q57" s="1107"/>
      <c r="R57" s="1107"/>
      <c r="S57" s="1105"/>
    </row>
    <row r="58" spans="1:19" ht="20.25" x14ac:dyDescent="0.3">
      <c r="A58" s="1098" t="s">
        <v>646</v>
      </c>
      <c r="B58" s="1102" t="s">
        <v>793</v>
      </c>
      <c r="C58" s="1101" t="s">
        <v>794</v>
      </c>
      <c r="D58" s="1097" t="s">
        <v>3</v>
      </c>
      <c r="E58" s="1100"/>
      <c r="F58" s="1100">
        <f t="shared" si="1"/>
        <v>35280</v>
      </c>
      <c r="G58" s="1107"/>
      <c r="H58" s="1107"/>
      <c r="I58" s="1107">
        <v>35280</v>
      </c>
      <c r="J58" s="1107"/>
      <c r="K58" s="1100"/>
      <c r="L58" s="1107"/>
      <c r="M58" s="1107"/>
      <c r="N58" s="1107"/>
      <c r="O58" s="1107"/>
      <c r="P58" s="1107"/>
      <c r="Q58" s="1107"/>
      <c r="R58" s="1103"/>
      <c r="S58" s="1099"/>
    </row>
    <row r="59" spans="1:19" ht="20.25" x14ac:dyDescent="0.3">
      <c r="A59" s="1098"/>
      <c r="B59" s="1102"/>
      <c r="C59" s="1101"/>
      <c r="D59" s="1097" t="s">
        <v>567</v>
      </c>
      <c r="E59" s="1100"/>
      <c r="F59" s="1100">
        <f t="shared" si="1"/>
        <v>37862</v>
      </c>
      <c r="G59" s="1107"/>
      <c r="H59" s="1107"/>
      <c r="I59" s="1107">
        <f>35280+2582</f>
        <v>37862</v>
      </c>
      <c r="J59" s="1107"/>
      <c r="K59" s="1100"/>
      <c r="L59" s="1107"/>
      <c r="M59" s="1107"/>
      <c r="N59" s="1107"/>
      <c r="O59" s="1107"/>
      <c r="P59" s="1107"/>
      <c r="Q59" s="1107"/>
      <c r="R59" s="1103"/>
      <c r="S59" s="1099"/>
    </row>
    <row r="60" spans="1:19" ht="20.25" x14ac:dyDescent="0.3">
      <c r="A60" s="1098"/>
      <c r="B60" s="1102"/>
      <c r="C60" s="1101"/>
      <c r="D60" s="1097" t="s">
        <v>619</v>
      </c>
      <c r="E60" s="1100"/>
      <c r="F60" s="1100">
        <f t="shared" si="1"/>
        <v>37862</v>
      </c>
      <c r="G60" s="1107"/>
      <c r="H60" s="1107"/>
      <c r="I60" s="1107">
        <v>37862</v>
      </c>
      <c r="J60" s="1107"/>
      <c r="K60" s="1100"/>
      <c r="L60" s="1107"/>
      <c r="M60" s="1107"/>
      <c r="N60" s="1107"/>
      <c r="O60" s="1107"/>
      <c r="P60" s="1107"/>
      <c r="Q60" s="1107"/>
      <c r="R60" s="1103"/>
      <c r="S60" s="1099"/>
    </row>
    <row r="61" spans="1:19" ht="20.25" x14ac:dyDescent="0.3">
      <c r="A61" s="1098" t="s">
        <v>742</v>
      </c>
      <c r="B61" s="1102" t="s">
        <v>795</v>
      </c>
      <c r="C61" s="1101" t="s">
        <v>796</v>
      </c>
      <c r="D61" s="1097" t="s">
        <v>3</v>
      </c>
      <c r="E61" s="1100">
        <v>7000</v>
      </c>
      <c r="F61" s="1100">
        <f t="shared" si="1"/>
        <v>38375</v>
      </c>
      <c r="G61" s="1107"/>
      <c r="H61" s="1107"/>
      <c r="I61" s="1107"/>
      <c r="J61" s="1107">
        <v>38375</v>
      </c>
      <c r="K61" s="1100"/>
      <c r="L61" s="1107"/>
      <c r="M61" s="1107"/>
      <c r="N61" s="1107"/>
      <c r="O61" s="1107"/>
      <c r="P61" s="1107"/>
      <c r="Q61" s="1107"/>
      <c r="R61" s="1103"/>
      <c r="S61" s="1099"/>
    </row>
    <row r="62" spans="1:19" ht="20.25" x14ac:dyDescent="0.3">
      <c r="A62" s="1098"/>
      <c r="B62" s="1102"/>
      <c r="C62" s="1101"/>
      <c r="D62" s="1097" t="s">
        <v>567</v>
      </c>
      <c r="E62" s="1100">
        <v>7000</v>
      </c>
      <c r="F62" s="1100">
        <f t="shared" si="1"/>
        <v>32630</v>
      </c>
      <c r="G62" s="1107"/>
      <c r="H62" s="1107"/>
      <c r="I62" s="1107"/>
      <c r="J62" s="1107">
        <f>38375-5745</f>
        <v>32630</v>
      </c>
      <c r="K62" s="1100"/>
      <c r="L62" s="1107"/>
      <c r="M62" s="1107"/>
      <c r="N62" s="1107"/>
      <c r="O62" s="1107"/>
      <c r="P62" s="1107"/>
      <c r="Q62" s="1107"/>
      <c r="R62" s="1103"/>
      <c r="S62" s="1099"/>
    </row>
    <row r="63" spans="1:19" ht="24" customHeight="1" x14ac:dyDescent="0.3">
      <c r="A63" s="1098"/>
      <c r="B63" s="1102"/>
      <c r="C63" s="1101"/>
      <c r="D63" s="1097" t="s">
        <v>619</v>
      </c>
      <c r="E63" s="1100">
        <v>7000</v>
      </c>
      <c r="F63" s="1100">
        <f t="shared" si="1"/>
        <v>32830</v>
      </c>
      <c r="G63" s="1107"/>
      <c r="H63" s="1107"/>
      <c r="I63" s="1107"/>
      <c r="J63" s="1107">
        <v>32830</v>
      </c>
      <c r="K63" s="1100"/>
      <c r="L63" s="1107"/>
      <c r="M63" s="1107"/>
      <c r="N63" s="1107"/>
      <c r="O63" s="1107"/>
      <c r="P63" s="1107"/>
      <c r="Q63" s="1107"/>
      <c r="R63" s="1103"/>
      <c r="S63" s="1099"/>
    </row>
    <row r="64" spans="1:19" ht="19.5" customHeight="1" x14ac:dyDescent="0.3">
      <c r="A64" s="1098" t="s">
        <v>646</v>
      </c>
      <c r="B64" s="1102" t="s">
        <v>797</v>
      </c>
      <c r="C64" s="1109" t="s">
        <v>798</v>
      </c>
      <c r="D64" s="1097" t="s">
        <v>3</v>
      </c>
      <c r="E64" s="1100"/>
      <c r="F64" s="1100">
        <f t="shared" si="1"/>
        <v>27350</v>
      </c>
      <c r="G64" s="1107"/>
      <c r="H64" s="1107"/>
      <c r="I64" s="1107">
        <v>27350</v>
      </c>
      <c r="J64" s="1107"/>
      <c r="K64" s="1100"/>
      <c r="L64" s="1107"/>
      <c r="M64" s="1107"/>
      <c r="N64" s="1107"/>
      <c r="O64" s="1107"/>
      <c r="P64" s="1107"/>
      <c r="Q64" s="1107"/>
      <c r="R64" s="1103"/>
      <c r="S64" s="1099"/>
    </row>
    <row r="65" spans="1:19" ht="20.25" x14ac:dyDescent="0.3">
      <c r="A65" s="1098"/>
      <c r="B65" s="1102"/>
      <c r="C65" s="1109"/>
      <c r="D65" s="1097" t="s">
        <v>567</v>
      </c>
      <c r="E65" s="1100"/>
      <c r="F65" s="1100">
        <f t="shared" si="1"/>
        <v>33510</v>
      </c>
      <c r="G65" s="1107"/>
      <c r="H65" s="1107"/>
      <c r="I65" s="1107">
        <f>27350+6160</f>
        <v>33510</v>
      </c>
      <c r="J65" s="1107"/>
      <c r="K65" s="1100"/>
      <c r="L65" s="1107"/>
      <c r="M65" s="1107"/>
      <c r="N65" s="1107"/>
      <c r="O65" s="1107"/>
      <c r="P65" s="1107"/>
      <c r="Q65" s="1107"/>
      <c r="R65" s="1103"/>
      <c r="S65" s="1099"/>
    </row>
    <row r="66" spans="1:19" ht="20.25" x14ac:dyDescent="0.3">
      <c r="A66" s="1098"/>
      <c r="B66" s="1102"/>
      <c r="C66" s="1109"/>
      <c r="D66" s="1097" t="s">
        <v>619</v>
      </c>
      <c r="E66" s="1100"/>
      <c r="F66" s="1100">
        <f t="shared" si="1"/>
        <v>39210</v>
      </c>
      <c r="G66" s="1107"/>
      <c r="H66" s="1107"/>
      <c r="I66" s="1107">
        <v>39210</v>
      </c>
      <c r="J66" s="1107"/>
      <c r="K66" s="1100"/>
      <c r="L66" s="1107"/>
      <c r="M66" s="1107"/>
      <c r="N66" s="1107"/>
      <c r="O66" s="1107"/>
      <c r="P66" s="1107"/>
      <c r="Q66" s="1107"/>
      <c r="R66" s="1103"/>
      <c r="S66" s="1099"/>
    </row>
    <row r="67" spans="1:19" ht="20.25" x14ac:dyDescent="0.3">
      <c r="A67" s="1098" t="s">
        <v>646</v>
      </c>
      <c r="B67" s="1102" t="s">
        <v>799</v>
      </c>
      <c r="C67" s="1101" t="s">
        <v>800</v>
      </c>
      <c r="D67" s="1097" t="s">
        <v>3</v>
      </c>
      <c r="E67" s="1100">
        <v>15260</v>
      </c>
      <c r="F67" s="1100">
        <f t="shared" si="1"/>
        <v>21260</v>
      </c>
      <c r="G67" s="1107"/>
      <c r="H67" s="1107"/>
      <c r="I67" s="1107">
        <v>6000</v>
      </c>
      <c r="J67" s="1107"/>
      <c r="K67" s="1100"/>
      <c r="L67" s="1107"/>
      <c r="M67" s="1107">
        <v>15260</v>
      </c>
      <c r="N67" s="1107"/>
      <c r="O67" s="1107"/>
      <c r="P67" s="1107"/>
      <c r="Q67" s="1107"/>
      <c r="R67" s="1103"/>
      <c r="S67" s="1099"/>
    </row>
    <row r="68" spans="1:19" ht="20.25" x14ac:dyDescent="0.3">
      <c r="A68" s="1098"/>
      <c r="B68" s="1102"/>
      <c r="C68" s="1101"/>
      <c r="D68" s="1097" t="s">
        <v>567</v>
      </c>
      <c r="E68" s="1100">
        <v>15260</v>
      </c>
      <c r="F68" s="1100">
        <f t="shared" si="1"/>
        <v>21260</v>
      </c>
      <c r="G68" s="1107"/>
      <c r="H68" s="1107"/>
      <c r="I68" s="1107">
        <v>6000</v>
      </c>
      <c r="J68" s="1107"/>
      <c r="K68" s="1100"/>
      <c r="L68" s="1107"/>
      <c r="M68" s="1107">
        <v>15260</v>
      </c>
      <c r="N68" s="1107"/>
      <c r="O68" s="1107"/>
      <c r="P68" s="1107"/>
      <c r="Q68" s="1107"/>
      <c r="R68" s="1103"/>
      <c r="S68" s="1099"/>
    </row>
    <row r="69" spans="1:19" ht="20.25" x14ac:dyDescent="0.3">
      <c r="A69" s="1098"/>
      <c r="B69" s="1102"/>
      <c r="C69" s="1101"/>
      <c r="D69" s="1113" t="s">
        <v>619</v>
      </c>
      <c r="E69" s="1100">
        <v>15260</v>
      </c>
      <c r="F69" s="1100">
        <f t="shared" si="1"/>
        <v>25885</v>
      </c>
      <c r="G69" s="1107"/>
      <c r="H69" s="1107"/>
      <c r="I69" s="1107">
        <v>9500</v>
      </c>
      <c r="J69" s="1107"/>
      <c r="K69" s="1100"/>
      <c r="L69" s="1107"/>
      <c r="M69" s="1107">
        <v>16385</v>
      </c>
      <c r="N69" s="1107"/>
      <c r="O69" s="1107"/>
      <c r="P69" s="1107"/>
      <c r="Q69" s="1107"/>
      <c r="R69" s="1103"/>
      <c r="S69" s="1099"/>
    </row>
    <row r="70" spans="1:19" ht="20.25" x14ac:dyDescent="0.3">
      <c r="A70" s="1098" t="s">
        <v>646</v>
      </c>
      <c r="B70" s="1102" t="s">
        <v>801</v>
      </c>
      <c r="C70" s="1101" t="s">
        <v>802</v>
      </c>
      <c r="D70" s="1097" t="s">
        <v>3</v>
      </c>
      <c r="E70" s="1100">
        <v>5320</v>
      </c>
      <c r="F70" s="1100">
        <f t="shared" si="1"/>
        <v>64651</v>
      </c>
      <c r="G70" s="1104">
        <v>400</v>
      </c>
      <c r="H70" s="1104">
        <v>200</v>
      </c>
      <c r="I70" s="1104">
        <v>28651</v>
      </c>
      <c r="J70" s="1104">
        <v>4000</v>
      </c>
      <c r="K70" s="1107"/>
      <c r="L70" s="1104"/>
      <c r="M70" s="1104"/>
      <c r="N70" s="1104">
        <v>31400</v>
      </c>
      <c r="O70" s="1104"/>
      <c r="P70" s="1104"/>
      <c r="Q70" s="1104"/>
      <c r="R70" s="1103"/>
      <c r="S70" s="1099"/>
    </row>
    <row r="71" spans="1:19" ht="20.25" x14ac:dyDescent="0.3">
      <c r="A71" s="1098"/>
      <c r="B71" s="1102"/>
      <c r="C71" s="1101"/>
      <c r="D71" s="1097" t="s">
        <v>567</v>
      </c>
      <c r="E71" s="1100">
        <v>5320</v>
      </c>
      <c r="F71" s="1100">
        <f t="shared" ref="F71:F102" si="2">SUM(G71:S71)</f>
        <v>69544</v>
      </c>
      <c r="G71" s="1104">
        <v>400</v>
      </c>
      <c r="H71" s="1104">
        <v>200</v>
      </c>
      <c r="I71" s="1104">
        <f>28651+4893</f>
        <v>33544</v>
      </c>
      <c r="J71" s="1104">
        <v>4000</v>
      </c>
      <c r="K71" s="1107"/>
      <c r="L71" s="1104"/>
      <c r="M71" s="1104"/>
      <c r="N71" s="1104">
        <v>31400</v>
      </c>
      <c r="O71" s="1104"/>
      <c r="P71" s="1104"/>
      <c r="Q71" s="1104"/>
      <c r="R71" s="1103"/>
      <c r="S71" s="1099"/>
    </row>
    <row r="72" spans="1:19" ht="20.25" x14ac:dyDescent="0.3">
      <c r="A72" s="1098"/>
      <c r="B72" s="1102"/>
      <c r="C72" s="1101"/>
      <c r="D72" s="1097" t="s">
        <v>619</v>
      </c>
      <c r="E72" s="1100">
        <v>5320</v>
      </c>
      <c r="F72" s="1100">
        <f t="shared" si="2"/>
        <v>71817</v>
      </c>
      <c r="G72" s="1107">
        <v>400</v>
      </c>
      <c r="H72" s="1107">
        <v>200</v>
      </c>
      <c r="I72" s="1107">
        <v>32533</v>
      </c>
      <c r="J72" s="1107">
        <v>2107</v>
      </c>
      <c r="K72" s="1107"/>
      <c r="L72" s="1107"/>
      <c r="M72" s="1107">
        <v>607</v>
      </c>
      <c r="N72" s="1107">
        <v>35970</v>
      </c>
      <c r="O72" s="1107"/>
      <c r="P72" s="1100"/>
      <c r="Q72" s="1107"/>
      <c r="R72" s="1107"/>
      <c r="S72" s="1105"/>
    </row>
    <row r="73" spans="1:19" ht="20.25" x14ac:dyDescent="0.3">
      <c r="A73" s="1098" t="s">
        <v>742</v>
      </c>
      <c r="B73" s="1102" t="s">
        <v>803</v>
      </c>
      <c r="C73" s="1101" t="s">
        <v>804</v>
      </c>
      <c r="D73" s="1097" t="s">
        <v>3</v>
      </c>
      <c r="E73" s="1100">
        <v>800</v>
      </c>
      <c r="F73" s="1100">
        <f t="shared" si="2"/>
        <v>0</v>
      </c>
      <c r="G73" s="1104"/>
      <c r="H73" s="1104"/>
      <c r="I73" s="1104"/>
      <c r="J73" s="1104"/>
      <c r="K73" s="1107"/>
      <c r="L73" s="1104"/>
      <c r="M73" s="1104"/>
      <c r="N73" s="1104"/>
      <c r="O73" s="1104"/>
      <c r="P73" s="1104"/>
      <c r="Q73" s="1104"/>
      <c r="R73" s="1103"/>
      <c r="S73" s="1099"/>
    </row>
    <row r="74" spans="1:19" ht="20.25" x14ac:dyDescent="0.3">
      <c r="A74" s="1098"/>
      <c r="B74" s="1102"/>
      <c r="C74" s="1101"/>
      <c r="D74" s="1097" t="s">
        <v>567</v>
      </c>
      <c r="E74" s="1100">
        <v>800</v>
      </c>
      <c r="F74" s="1100">
        <f t="shared" si="2"/>
        <v>0</v>
      </c>
      <c r="G74" s="1104"/>
      <c r="H74" s="1104"/>
      <c r="I74" s="1104"/>
      <c r="J74" s="1104"/>
      <c r="K74" s="1107"/>
      <c r="L74" s="1104"/>
      <c r="M74" s="1104"/>
      <c r="N74" s="1104"/>
      <c r="O74" s="1104"/>
      <c r="P74" s="1104"/>
      <c r="Q74" s="1104"/>
      <c r="R74" s="1103"/>
      <c r="S74" s="1099"/>
    </row>
    <row r="75" spans="1:19" ht="20.25" x14ac:dyDescent="0.3">
      <c r="A75" s="1098"/>
      <c r="B75" s="1102"/>
      <c r="C75" s="1101"/>
      <c r="D75" s="1097" t="s">
        <v>619</v>
      </c>
      <c r="E75" s="1100">
        <v>800</v>
      </c>
      <c r="F75" s="1100">
        <f t="shared" si="2"/>
        <v>0</v>
      </c>
      <c r="G75" s="1104"/>
      <c r="H75" s="1104"/>
      <c r="I75" s="1104"/>
      <c r="J75" s="1104"/>
      <c r="K75" s="1100"/>
      <c r="L75" s="1104"/>
      <c r="M75" s="1104"/>
      <c r="N75" s="1104"/>
      <c r="O75" s="1104"/>
      <c r="P75" s="1104"/>
      <c r="Q75" s="1104"/>
      <c r="R75" s="1103"/>
      <c r="S75" s="1099"/>
    </row>
    <row r="76" spans="1:19" ht="20.25" x14ac:dyDescent="0.3">
      <c r="A76" s="1098" t="s">
        <v>646</v>
      </c>
      <c r="B76" s="1102" t="s">
        <v>805</v>
      </c>
      <c r="C76" s="1097" t="s">
        <v>806</v>
      </c>
      <c r="D76" s="1097" t="s">
        <v>3</v>
      </c>
      <c r="E76" s="1100"/>
      <c r="F76" s="1100">
        <f t="shared" si="2"/>
        <v>61100</v>
      </c>
      <c r="G76" s="1107"/>
      <c r="H76" s="1107"/>
      <c r="I76" s="1107">
        <v>1100</v>
      </c>
      <c r="J76" s="1107"/>
      <c r="K76" s="1100"/>
      <c r="L76" s="1107"/>
      <c r="M76" s="1107">
        <v>60000</v>
      </c>
      <c r="N76" s="1107"/>
      <c r="O76" s="1107"/>
      <c r="P76" s="1107"/>
      <c r="Q76" s="1107"/>
      <c r="R76" s="1103"/>
      <c r="S76" s="1099"/>
    </row>
    <row r="77" spans="1:19" ht="20.25" x14ac:dyDescent="0.3">
      <c r="A77" s="1098"/>
      <c r="B77" s="1102"/>
      <c r="C77" s="1097"/>
      <c r="D77" s="1097" t="s">
        <v>567</v>
      </c>
      <c r="E77" s="1100"/>
      <c r="F77" s="1100">
        <f t="shared" si="2"/>
        <v>1100</v>
      </c>
      <c r="G77" s="1107"/>
      <c r="H77" s="1107"/>
      <c r="I77" s="1107">
        <v>1100</v>
      </c>
      <c r="J77" s="1107"/>
      <c r="K77" s="1100"/>
      <c r="L77" s="1107"/>
      <c r="M77" s="1107">
        <v>0</v>
      </c>
      <c r="N77" s="1107"/>
      <c r="O77" s="1107"/>
      <c r="P77" s="1107"/>
      <c r="Q77" s="1107"/>
      <c r="R77" s="1103"/>
      <c r="S77" s="1099"/>
    </row>
    <row r="78" spans="1:19" ht="20.25" x14ac:dyDescent="0.3">
      <c r="A78" s="1098"/>
      <c r="B78" s="1102"/>
      <c r="C78" s="1097"/>
      <c r="D78" s="1097" t="s">
        <v>619</v>
      </c>
      <c r="E78" s="1100"/>
      <c r="F78" s="1100">
        <f t="shared" si="2"/>
        <v>1100</v>
      </c>
      <c r="G78" s="1107"/>
      <c r="H78" s="1107"/>
      <c r="I78" s="1107">
        <v>1100</v>
      </c>
      <c r="J78" s="1107"/>
      <c r="K78" s="1100"/>
      <c r="L78" s="1107"/>
      <c r="M78" s="1107"/>
      <c r="N78" s="1107"/>
      <c r="O78" s="1107"/>
      <c r="P78" s="1107"/>
      <c r="Q78" s="1107"/>
      <c r="R78" s="1103"/>
      <c r="S78" s="1099"/>
    </row>
    <row r="79" spans="1:19" ht="20.25" x14ac:dyDescent="0.3">
      <c r="A79" s="1098" t="s">
        <v>646</v>
      </c>
      <c r="B79" s="1102" t="s">
        <v>807</v>
      </c>
      <c r="C79" s="1101" t="s">
        <v>808</v>
      </c>
      <c r="D79" s="1097" t="s">
        <v>3</v>
      </c>
      <c r="E79" s="1100"/>
      <c r="F79" s="1100">
        <f t="shared" si="2"/>
        <v>57420</v>
      </c>
      <c r="G79" s="1104"/>
      <c r="H79" s="1104"/>
      <c r="I79" s="1104">
        <f>49420-5000</f>
        <v>44420</v>
      </c>
      <c r="J79" s="1104"/>
      <c r="K79" s="1100"/>
      <c r="L79" s="1104"/>
      <c r="M79" s="1104">
        <v>3000</v>
      </c>
      <c r="N79" s="1104">
        <v>10000</v>
      </c>
      <c r="O79" s="1108"/>
      <c r="P79" s="1104"/>
      <c r="Q79" s="1104"/>
      <c r="R79" s="1103"/>
      <c r="S79" s="1099"/>
    </row>
    <row r="80" spans="1:19" ht="20.25" x14ac:dyDescent="0.3">
      <c r="A80" s="1098"/>
      <c r="B80" s="1102"/>
      <c r="C80" s="1101"/>
      <c r="D80" s="1097" t="s">
        <v>567</v>
      </c>
      <c r="E80" s="1100"/>
      <c r="F80" s="1100">
        <f t="shared" si="2"/>
        <v>58038</v>
      </c>
      <c r="G80" s="1104"/>
      <c r="H80" s="1104"/>
      <c r="I80" s="1104">
        <f>44420+3048</f>
        <v>47468</v>
      </c>
      <c r="J80" s="1104"/>
      <c r="K80" s="1100"/>
      <c r="L80" s="1104"/>
      <c r="M80" s="1104">
        <v>0</v>
      </c>
      <c r="N80" s="1104">
        <f>10000+570</f>
        <v>10570</v>
      </c>
      <c r="O80" s="1108"/>
      <c r="P80" s="1104"/>
      <c r="Q80" s="1104"/>
      <c r="R80" s="1103"/>
      <c r="S80" s="1099"/>
    </row>
    <row r="81" spans="1:19" ht="20.25" x14ac:dyDescent="0.3">
      <c r="A81" s="1098"/>
      <c r="B81" s="1102"/>
      <c r="C81" s="1101"/>
      <c r="D81" s="1097" t="s">
        <v>619</v>
      </c>
      <c r="E81" s="1100"/>
      <c r="F81" s="1100">
        <f t="shared" si="2"/>
        <v>56038</v>
      </c>
      <c r="G81" s="1104"/>
      <c r="H81" s="1104"/>
      <c r="I81" s="1104">
        <v>45468</v>
      </c>
      <c r="J81" s="1104"/>
      <c r="K81" s="1100"/>
      <c r="L81" s="1104"/>
      <c r="M81" s="1104"/>
      <c r="N81" s="1104">
        <v>10570</v>
      </c>
      <c r="O81" s="1108"/>
      <c r="P81" s="1104"/>
      <c r="Q81" s="1104"/>
      <c r="R81" s="1103"/>
      <c r="S81" s="1099"/>
    </row>
    <row r="82" spans="1:19" ht="20.25" x14ac:dyDescent="0.3">
      <c r="A82" s="1098" t="s">
        <v>646</v>
      </c>
      <c r="B82" s="1102" t="s">
        <v>809</v>
      </c>
      <c r="C82" s="1101" t="s">
        <v>810</v>
      </c>
      <c r="D82" s="1097" t="s">
        <v>3</v>
      </c>
      <c r="E82" s="1100"/>
      <c r="F82" s="1100">
        <f t="shared" si="2"/>
        <v>74895</v>
      </c>
      <c r="G82" s="1107"/>
      <c r="H82" s="1107"/>
      <c r="I82" s="1107">
        <v>74895</v>
      </c>
      <c r="J82" s="1107"/>
      <c r="K82" s="1100"/>
      <c r="L82" s="1107"/>
      <c r="M82" s="1107"/>
      <c r="N82" s="1107"/>
      <c r="O82" s="1107"/>
      <c r="P82" s="1107"/>
      <c r="Q82" s="1107"/>
      <c r="R82" s="1103"/>
      <c r="S82" s="1099"/>
    </row>
    <row r="83" spans="1:19" ht="20.25" x14ac:dyDescent="0.3">
      <c r="A83" s="1098"/>
      <c r="B83" s="1102"/>
      <c r="C83" s="1101"/>
      <c r="D83" s="1097" t="s">
        <v>567</v>
      </c>
      <c r="E83" s="1100"/>
      <c r="F83" s="1100">
        <f t="shared" si="2"/>
        <v>75119</v>
      </c>
      <c r="G83" s="1107"/>
      <c r="H83" s="1107"/>
      <c r="I83" s="1107">
        <f>74895+224</f>
        <v>75119</v>
      </c>
      <c r="J83" s="1107"/>
      <c r="K83" s="1100"/>
      <c r="L83" s="1107"/>
      <c r="M83" s="1107"/>
      <c r="N83" s="1107"/>
      <c r="O83" s="1107"/>
      <c r="P83" s="1107"/>
      <c r="Q83" s="1107"/>
      <c r="R83" s="1103"/>
      <c r="S83" s="1099"/>
    </row>
    <row r="84" spans="1:19" ht="20.25" x14ac:dyDescent="0.3">
      <c r="A84" s="1098"/>
      <c r="B84" s="1102"/>
      <c r="C84" s="1101"/>
      <c r="D84" s="1097" t="s">
        <v>619</v>
      </c>
      <c r="E84" s="1100"/>
      <c r="F84" s="1100">
        <f t="shared" si="2"/>
        <v>75119</v>
      </c>
      <c r="G84" s="1107"/>
      <c r="H84" s="1107"/>
      <c r="I84" s="1107">
        <v>75119</v>
      </c>
      <c r="J84" s="1107"/>
      <c r="K84" s="1100"/>
      <c r="L84" s="1107"/>
      <c r="M84" s="1107"/>
      <c r="N84" s="1107"/>
      <c r="O84" s="1107"/>
      <c r="P84" s="1107"/>
      <c r="Q84" s="1107"/>
      <c r="R84" s="1103"/>
      <c r="S84" s="1099"/>
    </row>
    <row r="85" spans="1:19" ht="20.25" x14ac:dyDescent="0.3">
      <c r="A85" s="1098" t="s">
        <v>646</v>
      </c>
      <c r="B85" s="1102" t="s">
        <v>809</v>
      </c>
      <c r="C85" s="1101" t="s">
        <v>811</v>
      </c>
      <c r="D85" s="1097" t="s">
        <v>3</v>
      </c>
      <c r="E85" s="1100"/>
      <c r="F85" s="1100">
        <f t="shared" si="2"/>
        <v>10300</v>
      </c>
      <c r="G85" s="1104"/>
      <c r="H85" s="1104"/>
      <c r="I85" s="1104">
        <v>5300</v>
      </c>
      <c r="J85" s="1104"/>
      <c r="K85" s="1100"/>
      <c r="L85" s="1104"/>
      <c r="M85" s="1104">
        <v>5000</v>
      </c>
      <c r="N85" s="1104"/>
      <c r="O85" s="1104"/>
      <c r="P85" s="1104"/>
      <c r="Q85" s="1104"/>
      <c r="R85" s="1103"/>
      <c r="S85" s="1099"/>
    </row>
    <row r="86" spans="1:19" ht="20.25" x14ac:dyDescent="0.3">
      <c r="A86" s="1098"/>
      <c r="B86" s="1102"/>
      <c r="C86" s="1101"/>
      <c r="D86" s="1097" t="s">
        <v>567</v>
      </c>
      <c r="E86" s="1100"/>
      <c r="F86" s="1100">
        <f t="shared" si="2"/>
        <v>10300</v>
      </c>
      <c r="G86" s="1104"/>
      <c r="H86" s="1104"/>
      <c r="I86" s="1104">
        <v>5300</v>
      </c>
      <c r="J86" s="1104"/>
      <c r="K86" s="1100"/>
      <c r="L86" s="1104"/>
      <c r="M86" s="1104">
        <v>5000</v>
      </c>
      <c r="N86" s="1104"/>
      <c r="O86" s="1104"/>
      <c r="P86" s="1104"/>
      <c r="Q86" s="1104"/>
      <c r="R86" s="1103"/>
      <c r="S86" s="1099"/>
    </row>
    <row r="87" spans="1:19" ht="20.25" x14ac:dyDescent="0.3">
      <c r="A87" s="1098"/>
      <c r="B87" s="1102"/>
      <c r="C87" s="1101"/>
      <c r="D87" s="1097" t="s">
        <v>619</v>
      </c>
      <c r="E87" s="1100"/>
      <c r="F87" s="1100">
        <f t="shared" si="2"/>
        <v>8175</v>
      </c>
      <c r="G87" s="1104"/>
      <c r="H87" s="1104"/>
      <c r="I87" s="1104">
        <v>5300</v>
      </c>
      <c r="J87" s="1104"/>
      <c r="K87" s="1100"/>
      <c r="L87" s="1104"/>
      <c r="M87" s="1104">
        <v>2875</v>
      </c>
      <c r="N87" s="1104"/>
      <c r="O87" s="1104"/>
      <c r="P87" s="1104"/>
      <c r="Q87" s="1104"/>
      <c r="R87" s="1103"/>
      <c r="S87" s="1099"/>
    </row>
    <row r="88" spans="1:19" ht="20.25" x14ac:dyDescent="0.3">
      <c r="A88" s="1098" t="s">
        <v>646</v>
      </c>
      <c r="B88" s="1102" t="s">
        <v>812</v>
      </c>
      <c r="C88" s="1101" t="s">
        <v>813</v>
      </c>
      <c r="D88" s="1097" t="s">
        <v>3</v>
      </c>
      <c r="E88" s="1100"/>
      <c r="F88" s="1100">
        <f t="shared" si="2"/>
        <v>4000</v>
      </c>
      <c r="G88" s="1104"/>
      <c r="H88" s="1104"/>
      <c r="I88" s="1104">
        <v>4000</v>
      </c>
      <c r="J88" s="1104"/>
      <c r="K88" s="1100"/>
      <c r="L88" s="1104"/>
      <c r="M88" s="1104"/>
      <c r="N88" s="1104"/>
      <c r="O88" s="1104"/>
      <c r="P88" s="1104"/>
      <c r="Q88" s="1104"/>
      <c r="R88" s="1103"/>
      <c r="S88" s="1099"/>
    </row>
    <row r="89" spans="1:19" ht="20.25" x14ac:dyDescent="0.3">
      <c r="A89" s="1098"/>
      <c r="B89" s="1102"/>
      <c r="C89" s="1101"/>
      <c r="D89" s="1097" t="s">
        <v>567</v>
      </c>
      <c r="E89" s="1100"/>
      <c r="F89" s="1100">
        <f t="shared" si="2"/>
        <v>4000</v>
      </c>
      <c r="G89" s="1104"/>
      <c r="H89" s="1104"/>
      <c r="I89" s="1104">
        <v>4000</v>
      </c>
      <c r="J89" s="1104"/>
      <c r="K89" s="1100"/>
      <c r="L89" s="1104"/>
      <c r="M89" s="1104"/>
      <c r="N89" s="1104"/>
      <c r="O89" s="1104"/>
      <c r="P89" s="1104"/>
      <c r="Q89" s="1104"/>
      <c r="R89" s="1103"/>
      <c r="S89" s="1099"/>
    </row>
    <row r="90" spans="1:19" ht="20.25" x14ac:dyDescent="0.3">
      <c r="A90" s="1098"/>
      <c r="B90" s="1102"/>
      <c r="C90" s="1101"/>
      <c r="D90" s="1097" t="s">
        <v>619</v>
      </c>
      <c r="E90" s="1100"/>
      <c r="F90" s="1100">
        <f t="shared" si="2"/>
        <v>4000</v>
      </c>
      <c r="G90" s="1104"/>
      <c r="H90" s="1104"/>
      <c r="I90" s="1104">
        <v>4000</v>
      </c>
      <c r="J90" s="1104"/>
      <c r="K90" s="1100"/>
      <c r="L90" s="1104"/>
      <c r="M90" s="1104"/>
      <c r="N90" s="1104"/>
      <c r="O90" s="1104"/>
      <c r="P90" s="1104"/>
      <c r="Q90" s="1104"/>
      <c r="R90" s="1103"/>
      <c r="S90" s="1099"/>
    </row>
    <row r="91" spans="1:19" ht="20.25" x14ac:dyDescent="0.3">
      <c r="A91" s="1098" t="s">
        <v>646</v>
      </c>
      <c r="B91" s="1102" t="s">
        <v>812</v>
      </c>
      <c r="C91" s="1101" t="s">
        <v>814</v>
      </c>
      <c r="D91" s="1097" t="s">
        <v>3</v>
      </c>
      <c r="E91" s="1100">
        <v>96</v>
      </c>
      <c r="F91" s="1100">
        <f t="shared" si="2"/>
        <v>18487</v>
      </c>
      <c r="G91" s="1107">
        <v>1000</v>
      </c>
      <c r="H91" s="1107">
        <v>236</v>
      </c>
      <c r="I91" s="1107">
        <v>9881</v>
      </c>
      <c r="J91" s="1107"/>
      <c r="K91" s="1100"/>
      <c r="L91" s="1107"/>
      <c r="M91" s="1107"/>
      <c r="N91" s="1107">
        <v>1370</v>
      </c>
      <c r="O91" s="1107">
        <v>6000</v>
      </c>
      <c r="P91" s="1107"/>
      <c r="Q91" s="1107"/>
      <c r="R91" s="1103"/>
      <c r="S91" s="1099"/>
    </row>
    <row r="92" spans="1:19" ht="20.25" x14ac:dyDescent="0.3">
      <c r="A92" s="1098"/>
      <c r="B92" s="1102"/>
      <c r="C92" s="1101"/>
      <c r="D92" s="1097" t="s">
        <v>567</v>
      </c>
      <c r="E92" s="1100">
        <v>96</v>
      </c>
      <c r="F92" s="1100">
        <f t="shared" si="2"/>
        <v>14972</v>
      </c>
      <c r="G92" s="1107">
        <v>1000</v>
      </c>
      <c r="H92" s="1107">
        <v>236</v>
      </c>
      <c r="I92" s="1107">
        <f>9881</f>
        <v>9881</v>
      </c>
      <c r="J92" s="1107"/>
      <c r="K92" s="1100"/>
      <c r="L92" s="1107"/>
      <c r="M92" s="1107"/>
      <c r="N92" s="1114">
        <v>1370</v>
      </c>
      <c r="O92" s="1107">
        <f>6000-3515</f>
        <v>2485</v>
      </c>
      <c r="P92" s="1107"/>
      <c r="Q92" s="1107"/>
      <c r="R92" s="1103"/>
      <c r="S92" s="1099"/>
    </row>
    <row r="93" spans="1:19" ht="20.25" x14ac:dyDescent="0.3">
      <c r="A93" s="1098"/>
      <c r="B93" s="1102"/>
      <c r="C93" s="1101"/>
      <c r="D93" s="1113" t="s">
        <v>619</v>
      </c>
      <c r="E93" s="1100">
        <v>96</v>
      </c>
      <c r="F93" s="1100">
        <f t="shared" si="2"/>
        <v>14972</v>
      </c>
      <c r="G93" s="1107">
        <v>1000</v>
      </c>
      <c r="H93" s="1107">
        <v>236</v>
      </c>
      <c r="I93" s="1107">
        <v>11081</v>
      </c>
      <c r="J93" s="1107"/>
      <c r="K93" s="1100"/>
      <c r="L93" s="1107"/>
      <c r="M93" s="1107"/>
      <c r="N93" s="1107">
        <v>170</v>
      </c>
      <c r="O93" s="1107">
        <v>2485</v>
      </c>
      <c r="P93" s="1107"/>
      <c r="Q93" s="1107"/>
      <c r="R93" s="1103"/>
      <c r="S93" s="1099"/>
    </row>
    <row r="94" spans="1:19" ht="20.25" x14ac:dyDescent="0.3">
      <c r="A94" s="1098" t="s">
        <v>646</v>
      </c>
      <c r="B94" s="1102" t="s">
        <v>812</v>
      </c>
      <c r="C94" s="1101" t="s">
        <v>815</v>
      </c>
      <c r="D94" s="1097" t="s">
        <v>3</v>
      </c>
      <c r="E94" s="1100">
        <v>0</v>
      </c>
      <c r="F94" s="1100">
        <f t="shared" si="2"/>
        <v>310320</v>
      </c>
      <c r="G94" s="1104"/>
      <c r="H94" s="1104"/>
      <c r="I94" s="1104">
        <v>44200</v>
      </c>
      <c r="J94" s="1104">
        <v>186620</v>
      </c>
      <c r="K94" s="1100"/>
      <c r="L94" s="1104"/>
      <c r="M94" s="1104">
        <v>70000</v>
      </c>
      <c r="N94" s="1104">
        <v>9500</v>
      </c>
      <c r="O94" s="1108"/>
      <c r="P94" s="1104"/>
      <c r="Q94" s="1104"/>
      <c r="R94" s="1103"/>
      <c r="S94" s="1099"/>
    </row>
    <row r="95" spans="1:19" ht="20.25" x14ac:dyDescent="0.3">
      <c r="A95" s="1098"/>
      <c r="B95" s="1102"/>
      <c r="C95" s="1101"/>
      <c r="D95" s="1097" t="s">
        <v>567</v>
      </c>
      <c r="E95" s="1100">
        <v>88900</v>
      </c>
      <c r="F95" s="1100">
        <f t="shared" si="2"/>
        <v>445278</v>
      </c>
      <c r="G95" s="1104"/>
      <c r="H95" s="1104"/>
      <c r="I95" s="1104">
        <f>44200+37749</f>
        <v>81949</v>
      </c>
      <c r="J95" s="1104">
        <v>186620</v>
      </c>
      <c r="K95" s="1107"/>
      <c r="L95" s="1104"/>
      <c r="M95" s="1104">
        <f>70000-1853</f>
        <v>68147</v>
      </c>
      <c r="N95" s="1112">
        <v>108562</v>
      </c>
      <c r="O95" s="1108"/>
      <c r="P95" s="1104"/>
      <c r="Q95" s="1104"/>
      <c r="R95" s="1103"/>
      <c r="S95" s="1099"/>
    </row>
    <row r="96" spans="1:19" ht="20.25" x14ac:dyDescent="0.3">
      <c r="A96" s="1098"/>
      <c r="B96" s="1102"/>
      <c r="C96" s="1101"/>
      <c r="D96" s="1097" t="s">
        <v>619</v>
      </c>
      <c r="E96" s="1100">
        <v>1262965</v>
      </c>
      <c r="F96" s="1100">
        <f t="shared" si="2"/>
        <v>1777825</v>
      </c>
      <c r="G96" s="1107">
        <v>23824</v>
      </c>
      <c r="H96" s="1107">
        <v>6401</v>
      </c>
      <c r="I96" s="1107">
        <v>166740</v>
      </c>
      <c r="J96" s="1107">
        <v>187620</v>
      </c>
      <c r="K96" s="1107"/>
      <c r="L96" s="1107"/>
      <c r="M96" s="1107">
        <v>252610</v>
      </c>
      <c r="N96" s="1107">
        <v>1140630</v>
      </c>
      <c r="O96" s="1107"/>
      <c r="P96" s="1100"/>
      <c r="Q96" s="1107"/>
      <c r="R96" s="1107"/>
      <c r="S96" s="1105"/>
    </row>
    <row r="97" spans="1:19" ht="20.25" x14ac:dyDescent="0.3">
      <c r="A97" s="1098" t="s">
        <v>742</v>
      </c>
      <c r="B97" s="1102" t="s">
        <v>816</v>
      </c>
      <c r="C97" s="1101" t="s">
        <v>817</v>
      </c>
      <c r="D97" s="1097" t="s">
        <v>3</v>
      </c>
      <c r="E97" s="1100"/>
      <c r="F97" s="1100">
        <f t="shared" si="2"/>
        <v>0</v>
      </c>
      <c r="G97" s="1104"/>
      <c r="H97" s="1104"/>
      <c r="I97" s="1104"/>
      <c r="J97" s="1104"/>
      <c r="K97" s="1100"/>
      <c r="L97" s="1104"/>
      <c r="M97" s="1104"/>
      <c r="N97" s="1104"/>
      <c r="O97" s="1108"/>
      <c r="P97" s="1104"/>
      <c r="Q97" s="1104"/>
      <c r="R97" s="1103"/>
      <c r="S97" s="1099"/>
    </row>
    <row r="98" spans="1:19" ht="20.25" x14ac:dyDescent="0.3">
      <c r="A98" s="1098"/>
      <c r="B98" s="1102"/>
      <c r="C98" s="1101"/>
      <c r="D98" s="1097" t="s">
        <v>567</v>
      </c>
      <c r="E98" s="1100"/>
      <c r="F98" s="1100">
        <f t="shared" si="2"/>
        <v>0</v>
      </c>
      <c r="G98" s="1104"/>
      <c r="H98" s="1104"/>
      <c r="I98" s="1104"/>
      <c r="J98" s="1104"/>
      <c r="K98" s="1100"/>
      <c r="L98" s="1104"/>
      <c r="M98" s="1104"/>
      <c r="N98" s="1104"/>
      <c r="O98" s="1108"/>
      <c r="P98" s="1104"/>
      <c r="Q98" s="1104"/>
      <c r="R98" s="1103"/>
      <c r="S98" s="1099"/>
    </row>
    <row r="99" spans="1:19" ht="20.25" x14ac:dyDescent="0.3">
      <c r="A99" s="1098"/>
      <c r="B99" s="1102"/>
      <c r="C99" s="1101"/>
      <c r="D99" s="1097" t="s">
        <v>619</v>
      </c>
      <c r="E99" s="1100"/>
      <c r="F99" s="1100">
        <f t="shared" si="2"/>
        <v>0</v>
      </c>
      <c r="G99" s="1104"/>
      <c r="H99" s="1104"/>
      <c r="I99" s="1104"/>
      <c r="J99" s="1104"/>
      <c r="K99" s="1100"/>
      <c r="L99" s="1104"/>
      <c r="M99" s="1104"/>
      <c r="N99" s="1104"/>
      <c r="O99" s="1108"/>
      <c r="P99" s="1104"/>
      <c r="Q99" s="1104"/>
      <c r="R99" s="1103"/>
      <c r="S99" s="1099"/>
    </row>
    <row r="100" spans="1:19" ht="20.25" x14ac:dyDescent="0.3">
      <c r="A100" s="1098" t="s">
        <v>742</v>
      </c>
      <c r="B100" s="1102" t="s">
        <v>818</v>
      </c>
      <c r="C100" s="1101" t="s">
        <v>819</v>
      </c>
      <c r="D100" s="1097" t="s">
        <v>3</v>
      </c>
      <c r="E100" s="1100">
        <v>254</v>
      </c>
      <c r="F100" s="1100">
        <f t="shared" si="2"/>
        <v>8087</v>
      </c>
      <c r="G100" s="1104">
        <v>3500</v>
      </c>
      <c r="H100" s="1104">
        <v>1817</v>
      </c>
      <c r="I100" s="1104">
        <v>2770</v>
      </c>
      <c r="J100" s="1104"/>
      <c r="K100" s="1100"/>
      <c r="L100" s="1104"/>
      <c r="M100" s="1104"/>
      <c r="N100" s="1104"/>
      <c r="O100" s="1104"/>
      <c r="P100" s="1104"/>
      <c r="Q100" s="1104"/>
      <c r="R100" s="1103"/>
      <c r="S100" s="1099"/>
    </row>
    <row r="101" spans="1:19" ht="20.25" x14ac:dyDescent="0.3">
      <c r="A101" s="1098"/>
      <c r="B101" s="1102"/>
      <c r="C101" s="1101"/>
      <c r="D101" s="1097" t="s">
        <v>567</v>
      </c>
      <c r="E101" s="1100">
        <v>254</v>
      </c>
      <c r="F101" s="1100">
        <f t="shared" si="2"/>
        <v>10044</v>
      </c>
      <c r="G101" s="1104">
        <f>3500+2300</f>
        <v>5800</v>
      </c>
      <c r="H101" s="1104">
        <f>1817+357</f>
        <v>2174</v>
      </c>
      <c r="I101" s="1104">
        <f>2770-700</f>
        <v>2070</v>
      </c>
      <c r="J101" s="1104"/>
      <c r="K101" s="1100"/>
      <c r="L101" s="1104"/>
      <c r="M101" s="1104"/>
      <c r="N101" s="1104"/>
      <c r="O101" s="1104"/>
      <c r="P101" s="1104"/>
      <c r="Q101" s="1104"/>
      <c r="R101" s="1103"/>
      <c r="S101" s="1099"/>
    </row>
    <row r="102" spans="1:19" ht="20.25" x14ac:dyDescent="0.3">
      <c r="A102" s="1098"/>
      <c r="B102" s="1102"/>
      <c r="C102" s="1101"/>
      <c r="D102" s="1097" t="s">
        <v>619</v>
      </c>
      <c r="E102" s="1100">
        <v>254</v>
      </c>
      <c r="F102" s="1100">
        <f t="shared" si="2"/>
        <v>10044</v>
      </c>
      <c r="G102" s="1104">
        <f>3500+2300</f>
        <v>5800</v>
      </c>
      <c r="H102" s="1104">
        <f>1817+357</f>
        <v>2174</v>
      </c>
      <c r="I102" s="1104">
        <f>2770-700</f>
        <v>2070</v>
      </c>
      <c r="J102" s="1104"/>
      <c r="K102" s="1100"/>
      <c r="L102" s="1104"/>
      <c r="M102" s="1104"/>
      <c r="N102" s="1104"/>
      <c r="O102" s="1104"/>
      <c r="P102" s="1104"/>
      <c r="Q102" s="1104"/>
      <c r="R102" s="1103"/>
      <c r="S102" s="1099"/>
    </row>
    <row r="103" spans="1:19" ht="20.25" x14ac:dyDescent="0.3">
      <c r="A103" s="1098" t="s">
        <v>742</v>
      </c>
      <c r="B103" s="1102" t="s">
        <v>820</v>
      </c>
      <c r="C103" s="1101" t="s">
        <v>821</v>
      </c>
      <c r="D103" s="1097" t="s">
        <v>3</v>
      </c>
      <c r="E103" s="1100"/>
      <c r="F103" s="1100">
        <f t="shared" ref="F103:F134" si="3">SUM(G103:S103)</f>
        <v>2000</v>
      </c>
      <c r="G103" s="1104"/>
      <c r="H103" s="1104"/>
      <c r="I103" s="1104">
        <v>1500</v>
      </c>
      <c r="J103" s="1104"/>
      <c r="K103" s="1100"/>
      <c r="L103" s="1104"/>
      <c r="M103" s="1104"/>
      <c r="N103" s="1104">
        <v>500</v>
      </c>
      <c r="O103" s="1108"/>
      <c r="P103" s="1104"/>
      <c r="Q103" s="1104"/>
      <c r="R103" s="1103"/>
      <c r="S103" s="1099"/>
    </row>
    <row r="104" spans="1:19" ht="20.25" x14ac:dyDescent="0.3">
      <c r="A104" s="1098"/>
      <c r="B104" s="1102"/>
      <c r="C104" s="1101"/>
      <c r="D104" s="1097" t="s">
        <v>567</v>
      </c>
      <c r="E104" s="1100"/>
      <c r="F104" s="1100">
        <f t="shared" si="3"/>
        <v>2000</v>
      </c>
      <c r="G104" s="1104"/>
      <c r="H104" s="1104"/>
      <c r="I104" s="1104">
        <v>1500</v>
      </c>
      <c r="J104" s="1104"/>
      <c r="K104" s="1100"/>
      <c r="L104" s="1104"/>
      <c r="M104" s="1104"/>
      <c r="N104" s="1104">
        <v>500</v>
      </c>
      <c r="O104" s="1108"/>
      <c r="P104" s="1104"/>
      <c r="Q104" s="1104"/>
      <c r="R104" s="1103"/>
      <c r="S104" s="1099"/>
    </row>
    <row r="105" spans="1:19" ht="20.25" x14ac:dyDescent="0.3">
      <c r="A105" s="1098"/>
      <c r="B105" s="1102"/>
      <c r="C105" s="1101"/>
      <c r="D105" s="1097" t="s">
        <v>619</v>
      </c>
      <c r="E105" s="1100"/>
      <c r="F105" s="1100">
        <f t="shared" si="3"/>
        <v>2000</v>
      </c>
      <c r="G105" s="1104"/>
      <c r="H105" s="1104"/>
      <c r="I105" s="1104">
        <v>1500</v>
      </c>
      <c r="J105" s="1104"/>
      <c r="K105" s="1100"/>
      <c r="L105" s="1104"/>
      <c r="M105" s="1104"/>
      <c r="N105" s="1104">
        <v>500</v>
      </c>
      <c r="O105" s="1108"/>
      <c r="P105" s="1104"/>
      <c r="Q105" s="1104"/>
      <c r="R105" s="1103"/>
      <c r="S105" s="1099"/>
    </row>
    <row r="106" spans="1:19" ht="20.25" x14ac:dyDescent="0.3">
      <c r="A106" s="1098" t="s">
        <v>646</v>
      </c>
      <c r="B106" s="1102" t="s">
        <v>822</v>
      </c>
      <c r="C106" s="1101" t="s">
        <v>823</v>
      </c>
      <c r="D106" s="1097" t="s">
        <v>3</v>
      </c>
      <c r="E106" s="1100"/>
      <c r="F106" s="1100">
        <f t="shared" si="3"/>
        <v>140310</v>
      </c>
      <c r="G106" s="1104"/>
      <c r="H106" s="1104"/>
      <c r="I106" s="1104">
        <f>2500-2500</f>
        <v>0</v>
      </c>
      <c r="J106" s="1104">
        <v>140310</v>
      </c>
      <c r="K106" s="1107"/>
      <c r="L106" s="1104"/>
      <c r="M106" s="1104"/>
      <c r="N106" s="1104"/>
      <c r="O106" s="1104"/>
      <c r="P106" s="1104"/>
      <c r="Q106" s="1104"/>
      <c r="R106" s="1103"/>
      <c r="S106" s="1099"/>
    </row>
    <row r="107" spans="1:19" ht="20.25" x14ac:dyDescent="0.3">
      <c r="A107" s="1098"/>
      <c r="B107" s="1102"/>
      <c r="C107" s="1101"/>
      <c r="D107" s="1097" t="s">
        <v>567</v>
      </c>
      <c r="E107" s="1100"/>
      <c r="F107" s="1100">
        <f t="shared" si="3"/>
        <v>140310</v>
      </c>
      <c r="G107" s="1104"/>
      <c r="H107" s="1104"/>
      <c r="I107" s="1104"/>
      <c r="J107" s="1104">
        <v>140310</v>
      </c>
      <c r="K107" s="1107"/>
      <c r="L107" s="1104"/>
      <c r="M107" s="1104"/>
      <c r="N107" s="1104"/>
      <c r="O107" s="1104"/>
      <c r="P107" s="1104"/>
      <c r="Q107" s="1104"/>
      <c r="R107" s="1103"/>
      <c r="S107" s="1099"/>
    </row>
    <row r="108" spans="1:19" ht="20.25" x14ac:dyDescent="0.3">
      <c r="A108" s="1098"/>
      <c r="B108" s="1102"/>
      <c r="C108" s="1101"/>
      <c r="D108" s="1097" t="s">
        <v>619</v>
      </c>
      <c r="E108" s="1100"/>
      <c r="F108" s="1100">
        <f t="shared" si="3"/>
        <v>157710</v>
      </c>
      <c r="G108" s="1100"/>
      <c r="H108" s="1100"/>
      <c r="I108" s="1100"/>
      <c r="J108" s="1107">
        <v>157710</v>
      </c>
      <c r="K108" s="1107"/>
      <c r="L108" s="1107"/>
      <c r="M108" s="1107"/>
      <c r="N108" s="1100"/>
      <c r="O108" s="1100"/>
      <c r="P108" s="1100"/>
      <c r="Q108" s="1107"/>
      <c r="R108" s="1107"/>
      <c r="S108" s="1105"/>
    </row>
    <row r="109" spans="1:19" ht="20.25" x14ac:dyDescent="0.3">
      <c r="A109" s="1098" t="s">
        <v>742</v>
      </c>
      <c r="B109" s="1102" t="s">
        <v>824</v>
      </c>
      <c r="C109" s="1101" t="s">
        <v>825</v>
      </c>
      <c r="D109" s="1097" t="s">
        <v>3</v>
      </c>
      <c r="E109" s="1100"/>
      <c r="F109" s="1100">
        <f t="shared" si="3"/>
        <v>0</v>
      </c>
      <c r="G109" s="1107"/>
      <c r="H109" s="1107"/>
      <c r="I109" s="1107"/>
      <c r="J109" s="1107"/>
      <c r="K109" s="1107"/>
      <c r="L109" s="1107"/>
      <c r="M109" s="1107"/>
      <c r="N109" s="1107"/>
      <c r="O109" s="1107"/>
      <c r="P109" s="1107"/>
      <c r="Q109" s="1107"/>
      <c r="R109" s="1103"/>
      <c r="S109" s="1099"/>
    </row>
    <row r="110" spans="1:19" ht="20.25" x14ac:dyDescent="0.3">
      <c r="A110" s="1098"/>
      <c r="B110" s="1102"/>
      <c r="C110" s="1101"/>
      <c r="D110" s="1097" t="s">
        <v>567</v>
      </c>
      <c r="E110" s="1100"/>
      <c r="F110" s="1100">
        <f t="shared" si="3"/>
        <v>0</v>
      </c>
      <c r="G110" s="1107"/>
      <c r="H110" s="1107"/>
      <c r="I110" s="1107"/>
      <c r="J110" s="1107"/>
      <c r="K110" s="1107"/>
      <c r="L110" s="1107"/>
      <c r="M110" s="1107"/>
      <c r="N110" s="1107"/>
      <c r="O110" s="1107"/>
      <c r="P110" s="1107"/>
      <c r="Q110" s="1107"/>
      <c r="R110" s="1103"/>
      <c r="S110" s="1099"/>
    </row>
    <row r="111" spans="1:19" ht="20.25" x14ac:dyDescent="0.3">
      <c r="A111" s="1098"/>
      <c r="B111" s="1102"/>
      <c r="C111" s="1101"/>
      <c r="D111" s="1097" t="s">
        <v>619</v>
      </c>
      <c r="E111" s="1100"/>
      <c r="F111" s="1100">
        <f t="shared" si="3"/>
        <v>0</v>
      </c>
      <c r="G111" s="1107"/>
      <c r="H111" s="1107"/>
      <c r="I111" s="1107"/>
      <c r="J111" s="1107"/>
      <c r="K111" s="1100"/>
      <c r="L111" s="1100"/>
      <c r="M111" s="1107"/>
      <c r="N111" s="1107"/>
      <c r="O111" s="1107"/>
      <c r="P111" s="1107"/>
      <c r="Q111" s="1107"/>
      <c r="R111" s="1103"/>
      <c r="S111" s="1099"/>
    </row>
    <row r="112" spans="1:19" ht="20.25" x14ac:dyDescent="0.3">
      <c r="A112" s="1098" t="s">
        <v>742</v>
      </c>
      <c r="B112" s="1111" t="s">
        <v>826</v>
      </c>
      <c r="C112" s="1110" t="s">
        <v>827</v>
      </c>
      <c r="D112" s="1097" t="s">
        <v>3</v>
      </c>
      <c r="E112" s="1100"/>
      <c r="F112" s="1100">
        <f t="shared" si="3"/>
        <v>24430</v>
      </c>
      <c r="G112" s="1104">
        <v>900</v>
      </c>
      <c r="H112" s="1104">
        <v>200</v>
      </c>
      <c r="I112" s="1104">
        <v>22830</v>
      </c>
      <c r="J112" s="1104"/>
      <c r="K112" s="1100"/>
      <c r="L112" s="1104"/>
      <c r="M112" s="1104"/>
      <c r="N112" s="1104">
        <v>500</v>
      </c>
      <c r="O112" s="1104"/>
      <c r="P112" s="1104"/>
      <c r="Q112" s="1104"/>
      <c r="R112" s="1103"/>
      <c r="S112" s="1099"/>
    </row>
    <row r="113" spans="1:19" ht="20.25" x14ac:dyDescent="0.3">
      <c r="A113" s="1098"/>
      <c r="B113" s="1111"/>
      <c r="C113" s="1110"/>
      <c r="D113" s="1097" t="s">
        <v>567</v>
      </c>
      <c r="E113" s="1100"/>
      <c r="F113" s="1100">
        <f t="shared" si="3"/>
        <v>23180</v>
      </c>
      <c r="G113" s="1104">
        <v>900</v>
      </c>
      <c r="H113" s="1104">
        <v>200</v>
      </c>
      <c r="I113" s="1104">
        <f>22830-1250</f>
        <v>21580</v>
      </c>
      <c r="J113" s="1104"/>
      <c r="K113" s="1100"/>
      <c r="L113" s="1104"/>
      <c r="M113" s="1104"/>
      <c r="N113" s="1104">
        <v>500</v>
      </c>
      <c r="O113" s="1104"/>
      <c r="P113" s="1104"/>
      <c r="Q113" s="1104"/>
      <c r="R113" s="1103"/>
      <c r="S113" s="1099"/>
    </row>
    <row r="114" spans="1:19" ht="20.25" x14ac:dyDescent="0.3">
      <c r="A114" s="1098"/>
      <c r="B114" s="1111"/>
      <c r="C114" s="1110"/>
      <c r="D114" s="1097" t="s">
        <v>619</v>
      </c>
      <c r="E114" s="1100"/>
      <c r="F114" s="1100">
        <f t="shared" si="3"/>
        <v>7984</v>
      </c>
      <c r="G114" s="1104">
        <v>900</v>
      </c>
      <c r="H114" s="1104">
        <v>200</v>
      </c>
      <c r="I114" s="1104">
        <v>6384</v>
      </c>
      <c r="J114" s="1104"/>
      <c r="K114" s="1104"/>
      <c r="L114" s="1104"/>
      <c r="M114" s="1104"/>
      <c r="N114" s="1104">
        <v>500</v>
      </c>
      <c r="O114" s="1104"/>
      <c r="P114" s="1104"/>
      <c r="Q114" s="1104"/>
      <c r="R114" s="1104"/>
      <c r="S114" s="1165"/>
    </row>
    <row r="115" spans="1:19" ht="20.25" x14ac:dyDescent="0.3">
      <c r="A115" s="1098" t="s">
        <v>742</v>
      </c>
      <c r="B115" s="1102" t="s">
        <v>828</v>
      </c>
      <c r="C115" s="1101" t="s">
        <v>829</v>
      </c>
      <c r="D115" s="1097" t="s">
        <v>3</v>
      </c>
      <c r="E115" s="1100">
        <v>9130</v>
      </c>
      <c r="F115" s="1100">
        <f t="shared" si="3"/>
        <v>215139</v>
      </c>
      <c r="G115" s="1107"/>
      <c r="H115" s="1107"/>
      <c r="I115" s="1107"/>
      <c r="J115" s="1107">
        <v>205525</v>
      </c>
      <c r="K115" s="1100"/>
      <c r="L115" s="1107"/>
      <c r="M115" s="1107"/>
      <c r="N115" s="1107"/>
      <c r="O115" s="1107">
        <v>9614</v>
      </c>
      <c r="P115" s="1107"/>
      <c r="Q115" s="1107"/>
      <c r="R115" s="1103"/>
      <c r="S115" s="1099"/>
    </row>
    <row r="116" spans="1:19" ht="20.25" x14ac:dyDescent="0.3">
      <c r="A116" s="1098"/>
      <c r="B116" s="1102"/>
      <c r="C116" s="1101"/>
      <c r="D116" s="1097" t="s">
        <v>567</v>
      </c>
      <c r="E116" s="1100">
        <v>9130</v>
      </c>
      <c r="F116" s="1100">
        <f t="shared" si="3"/>
        <v>210522</v>
      </c>
      <c r="G116" s="1107"/>
      <c r="H116" s="1107"/>
      <c r="I116" s="1107"/>
      <c r="J116" s="1107">
        <f>205525-4617</f>
        <v>200908</v>
      </c>
      <c r="K116" s="1100"/>
      <c r="L116" s="1107"/>
      <c r="M116" s="1107"/>
      <c r="N116" s="1107"/>
      <c r="O116" s="1107">
        <v>9614</v>
      </c>
      <c r="P116" s="1107"/>
      <c r="Q116" s="1107"/>
      <c r="R116" s="1103"/>
      <c r="S116" s="1099"/>
    </row>
    <row r="117" spans="1:19" ht="20.25" x14ac:dyDescent="0.3">
      <c r="A117" s="1098"/>
      <c r="B117" s="1102"/>
      <c r="C117" s="1101"/>
      <c r="D117" s="1097" t="s">
        <v>619</v>
      </c>
      <c r="E117" s="1107">
        <v>9130</v>
      </c>
      <c r="F117" s="1100">
        <f t="shared" si="3"/>
        <v>212877</v>
      </c>
      <c r="G117" s="1107"/>
      <c r="H117" s="1107"/>
      <c r="I117" s="1107"/>
      <c r="J117" s="1107">
        <v>203163</v>
      </c>
      <c r="K117" s="1107"/>
      <c r="L117" s="1107"/>
      <c r="M117" s="1107"/>
      <c r="N117" s="1107"/>
      <c r="O117" s="1107">
        <v>9714</v>
      </c>
      <c r="P117" s="1107"/>
      <c r="Q117" s="1107"/>
      <c r="R117" s="1107"/>
      <c r="S117" s="1105"/>
    </row>
    <row r="118" spans="1:19" ht="20.25" x14ac:dyDescent="0.3">
      <c r="A118" s="1098" t="s">
        <v>742</v>
      </c>
      <c r="B118" s="1102" t="s">
        <v>830</v>
      </c>
      <c r="C118" s="1109" t="s">
        <v>915</v>
      </c>
      <c r="D118" s="1097" t="s">
        <v>3</v>
      </c>
      <c r="E118" s="1100">
        <v>366</v>
      </c>
      <c r="F118" s="1100">
        <f t="shared" si="3"/>
        <v>19445</v>
      </c>
      <c r="G118" s="1104">
        <v>150</v>
      </c>
      <c r="H118" s="1104">
        <v>75</v>
      </c>
      <c r="I118" s="1104">
        <v>14020</v>
      </c>
      <c r="J118" s="1104">
        <v>5200</v>
      </c>
      <c r="K118" s="1100"/>
      <c r="L118" s="1104"/>
      <c r="M118" s="1104"/>
      <c r="N118" s="1104"/>
      <c r="O118" s="1104"/>
      <c r="P118" s="1104"/>
      <c r="Q118" s="1104"/>
      <c r="R118" s="1103"/>
      <c r="S118" s="1099"/>
    </row>
    <row r="119" spans="1:19" ht="20.25" x14ac:dyDescent="0.3">
      <c r="A119" s="1098"/>
      <c r="B119" s="1102"/>
      <c r="C119" s="1109"/>
      <c r="D119" s="1097" t="s">
        <v>567</v>
      </c>
      <c r="E119" s="1100">
        <v>366</v>
      </c>
      <c r="F119" s="1100">
        <f t="shared" si="3"/>
        <v>12244</v>
      </c>
      <c r="G119" s="1104">
        <f>150+1800</f>
        <v>1950</v>
      </c>
      <c r="H119" s="1104">
        <f>75+357</f>
        <v>432</v>
      </c>
      <c r="I119" s="1104">
        <f>14020-8918</f>
        <v>5102</v>
      </c>
      <c r="J119" s="1104">
        <f>5200-440</f>
        <v>4760</v>
      </c>
      <c r="K119" s="1100"/>
      <c r="L119" s="1104"/>
      <c r="M119" s="1104"/>
      <c r="N119" s="1104"/>
      <c r="O119" s="1104"/>
      <c r="P119" s="1104"/>
      <c r="Q119" s="1104"/>
      <c r="R119" s="1103"/>
      <c r="S119" s="1099"/>
    </row>
    <row r="120" spans="1:19" ht="20.25" x14ac:dyDescent="0.3">
      <c r="A120" s="1098"/>
      <c r="B120" s="1102"/>
      <c r="C120" s="1109"/>
      <c r="D120" s="1097" t="s">
        <v>619</v>
      </c>
      <c r="E120" s="1100">
        <v>442</v>
      </c>
      <c r="F120" s="1100">
        <f t="shared" si="3"/>
        <v>13013</v>
      </c>
      <c r="G120" s="1104">
        <f>150+1800</f>
        <v>1950</v>
      </c>
      <c r="H120" s="1104">
        <f>75+357</f>
        <v>432</v>
      </c>
      <c r="I120" s="1104">
        <v>5871</v>
      </c>
      <c r="J120" s="1104">
        <f>5200-440</f>
        <v>4760</v>
      </c>
      <c r="K120" s="1100"/>
      <c r="L120" s="1104"/>
      <c r="M120" s="1104"/>
      <c r="N120" s="1104"/>
      <c r="O120" s="1104"/>
      <c r="P120" s="1104"/>
      <c r="Q120" s="1104"/>
      <c r="R120" s="1103"/>
      <c r="S120" s="1099"/>
    </row>
    <row r="121" spans="1:19" ht="20.25" x14ac:dyDescent="0.3">
      <c r="A121" s="1098" t="s">
        <v>742</v>
      </c>
      <c r="B121" s="1102" t="s">
        <v>831</v>
      </c>
      <c r="C121" s="1101" t="s">
        <v>832</v>
      </c>
      <c r="D121" s="1097" t="s">
        <v>3</v>
      </c>
      <c r="E121" s="1100"/>
      <c r="F121" s="1100">
        <f t="shared" si="3"/>
        <v>27000</v>
      </c>
      <c r="G121" s="1104">
        <v>9000</v>
      </c>
      <c r="H121" s="1104">
        <v>4500</v>
      </c>
      <c r="I121" s="1104">
        <v>13500</v>
      </c>
      <c r="J121" s="1104"/>
      <c r="K121" s="1100"/>
      <c r="L121" s="1104"/>
      <c r="M121" s="1104"/>
      <c r="N121" s="1104"/>
      <c r="O121" s="1104"/>
      <c r="P121" s="1104"/>
      <c r="Q121" s="1104"/>
      <c r="R121" s="1103"/>
      <c r="S121" s="1099"/>
    </row>
    <row r="122" spans="1:19" ht="20.25" x14ac:dyDescent="0.3">
      <c r="A122" s="1098"/>
      <c r="B122" s="1102"/>
      <c r="C122" s="1101"/>
      <c r="D122" s="1097" t="s">
        <v>567</v>
      </c>
      <c r="E122" s="1100"/>
      <c r="F122" s="1100">
        <f t="shared" si="3"/>
        <v>20615</v>
      </c>
      <c r="G122" s="1104">
        <v>9000</v>
      </c>
      <c r="H122" s="1104">
        <v>4500</v>
      </c>
      <c r="I122" s="1104">
        <f>13500-6385</f>
        <v>7115</v>
      </c>
      <c r="J122" s="1104"/>
      <c r="K122" s="1100"/>
      <c r="L122" s="1104"/>
      <c r="M122" s="1104"/>
      <c r="N122" s="1104"/>
      <c r="O122" s="1104"/>
      <c r="P122" s="1104"/>
      <c r="Q122" s="1104"/>
      <c r="R122" s="1103"/>
      <c r="S122" s="1099"/>
    </row>
    <row r="123" spans="1:19" ht="20.25" x14ac:dyDescent="0.3">
      <c r="A123" s="1098"/>
      <c r="B123" s="1102"/>
      <c r="C123" s="1101"/>
      <c r="D123" s="1097" t="s">
        <v>619</v>
      </c>
      <c r="E123" s="1100"/>
      <c r="F123" s="1100">
        <f t="shared" si="3"/>
        <v>20615</v>
      </c>
      <c r="G123" s="1104">
        <v>9000</v>
      </c>
      <c r="H123" s="1104">
        <v>4500</v>
      </c>
      <c r="I123" s="1104">
        <f>13500-6385</f>
        <v>7115</v>
      </c>
      <c r="J123" s="1104"/>
      <c r="K123" s="1100"/>
      <c r="L123" s="1104"/>
      <c r="M123" s="1104"/>
      <c r="N123" s="1104"/>
      <c r="O123" s="1104"/>
      <c r="P123" s="1104"/>
      <c r="Q123" s="1104"/>
      <c r="R123" s="1103"/>
      <c r="S123" s="1099"/>
    </row>
    <row r="124" spans="1:19" ht="20.25" x14ac:dyDescent="0.3">
      <c r="A124" s="1098" t="s">
        <v>742</v>
      </c>
      <c r="B124" s="1102" t="s">
        <v>833</v>
      </c>
      <c r="C124" s="1101" t="s">
        <v>834</v>
      </c>
      <c r="D124" s="1097" t="s">
        <v>3</v>
      </c>
      <c r="E124" s="1100"/>
      <c r="F124" s="1100">
        <f t="shared" si="3"/>
        <v>2000</v>
      </c>
      <c r="G124" s="1104"/>
      <c r="H124" s="1104"/>
      <c r="I124" s="1104">
        <f>4000-2000</f>
        <v>2000</v>
      </c>
      <c r="J124" s="1104"/>
      <c r="K124" s="1100"/>
      <c r="L124" s="1104"/>
      <c r="M124" s="1104"/>
      <c r="N124" s="1104"/>
      <c r="O124" s="1108"/>
      <c r="P124" s="1104"/>
      <c r="Q124" s="1104"/>
      <c r="R124" s="1103"/>
      <c r="S124" s="1099"/>
    </row>
    <row r="125" spans="1:19" ht="20.25" x14ac:dyDescent="0.3">
      <c r="A125" s="1098"/>
      <c r="B125" s="1102"/>
      <c r="C125" s="1101"/>
      <c r="D125" s="1097" t="s">
        <v>567</v>
      </c>
      <c r="E125" s="1100"/>
      <c r="F125" s="1100">
        <f t="shared" si="3"/>
        <v>4000</v>
      </c>
      <c r="G125" s="1104"/>
      <c r="H125" s="1104"/>
      <c r="I125" s="1104">
        <v>4000</v>
      </c>
      <c r="J125" s="1104"/>
      <c r="K125" s="1100"/>
      <c r="L125" s="1104"/>
      <c r="M125" s="1104"/>
      <c r="N125" s="1104"/>
      <c r="O125" s="1108"/>
      <c r="P125" s="1104"/>
      <c r="Q125" s="1104"/>
      <c r="R125" s="1103"/>
      <c r="S125" s="1099"/>
    </row>
    <row r="126" spans="1:19" ht="20.25" x14ac:dyDescent="0.3">
      <c r="A126" s="1098"/>
      <c r="B126" s="1102"/>
      <c r="C126" s="1101"/>
      <c r="D126" s="1097" t="s">
        <v>619</v>
      </c>
      <c r="E126" s="1100"/>
      <c r="F126" s="1100">
        <f t="shared" si="3"/>
        <v>4000</v>
      </c>
      <c r="G126" s="1104"/>
      <c r="H126" s="1104"/>
      <c r="I126" s="1104">
        <v>4000</v>
      </c>
      <c r="J126" s="1104"/>
      <c r="K126" s="1100"/>
      <c r="L126" s="1104"/>
      <c r="M126" s="1104"/>
      <c r="N126" s="1104"/>
      <c r="O126" s="1108"/>
      <c r="P126" s="1104"/>
      <c r="Q126" s="1104"/>
      <c r="R126" s="1103"/>
      <c r="S126" s="1099"/>
    </row>
    <row r="127" spans="1:19" ht="20.25" x14ac:dyDescent="0.3">
      <c r="A127" s="1098" t="s">
        <v>742</v>
      </c>
      <c r="B127" s="1102" t="s">
        <v>835</v>
      </c>
      <c r="C127" s="1101" t="s">
        <v>836</v>
      </c>
      <c r="D127" s="1097" t="s">
        <v>3</v>
      </c>
      <c r="E127" s="1100"/>
      <c r="F127" s="1100">
        <f t="shared" si="3"/>
        <v>5900</v>
      </c>
      <c r="G127" s="1104"/>
      <c r="H127" s="1104"/>
      <c r="I127" s="1104"/>
      <c r="J127" s="1104"/>
      <c r="K127" s="1104">
        <v>5900</v>
      </c>
      <c r="L127" s="1104"/>
      <c r="M127" s="1104"/>
      <c r="N127" s="1104"/>
      <c r="O127" s="1104"/>
      <c r="P127" s="1104"/>
      <c r="Q127" s="1104"/>
      <c r="R127" s="1103"/>
      <c r="S127" s="1099"/>
    </row>
    <row r="128" spans="1:19" ht="20.25" x14ac:dyDescent="0.3">
      <c r="A128" s="1098"/>
      <c r="B128" s="1102"/>
      <c r="C128" s="1101"/>
      <c r="D128" s="1097" t="s">
        <v>567</v>
      </c>
      <c r="E128" s="1100"/>
      <c r="F128" s="1100">
        <f t="shared" si="3"/>
        <v>5900</v>
      </c>
      <c r="G128" s="1104"/>
      <c r="H128" s="1104"/>
      <c r="I128" s="1104"/>
      <c r="J128" s="1104"/>
      <c r="K128" s="1104">
        <v>5900</v>
      </c>
      <c r="L128" s="1104"/>
      <c r="M128" s="1104"/>
      <c r="N128" s="1104"/>
      <c r="O128" s="1104"/>
      <c r="P128" s="1104"/>
      <c r="Q128" s="1104"/>
      <c r="R128" s="1103"/>
      <c r="S128" s="1099"/>
    </row>
    <row r="129" spans="1:19" ht="20.25" x14ac:dyDescent="0.3">
      <c r="A129" s="1098"/>
      <c r="B129" s="1102"/>
      <c r="C129" s="1101"/>
      <c r="D129" s="1097" t="s">
        <v>619</v>
      </c>
      <c r="E129" s="1100"/>
      <c r="F129" s="1100">
        <f t="shared" si="3"/>
        <v>5900</v>
      </c>
      <c r="G129" s="1104"/>
      <c r="H129" s="1104"/>
      <c r="I129" s="1104"/>
      <c r="J129" s="1104"/>
      <c r="K129" s="1104">
        <v>5900</v>
      </c>
      <c r="L129" s="1104"/>
      <c r="M129" s="1104"/>
      <c r="N129" s="1104"/>
      <c r="O129" s="1104"/>
      <c r="P129" s="1104"/>
      <c r="Q129" s="1104"/>
      <c r="R129" s="1103"/>
      <c r="S129" s="1099"/>
    </row>
    <row r="130" spans="1:19" ht="20.25" x14ac:dyDescent="0.3">
      <c r="A130" s="1098" t="s">
        <v>646</v>
      </c>
      <c r="B130" s="1102" t="s">
        <v>837</v>
      </c>
      <c r="C130" s="1101" t="s">
        <v>838</v>
      </c>
      <c r="D130" s="1097" t="s">
        <v>3</v>
      </c>
      <c r="E130" s="1100">
        <v>34200</v>
      </c>
      <c r="F130" s="1100">
        <f t="shared" si="3"/>
        <v>40152</v>
      </c>
      <c r="G130" s="1107"/>
      <c r="H130" s="1107"/>
      <c r="I130" s="1107">
        <v>39152</v>
      </c>
      <c r="J130" s="1107"/>
      <c r="K130" s="1100"/>
      <c r="L130" s="1107"/>
      <c r="M130" s="1107">
        <v>1000</v>
      </c>
      <c r="N130" s="1107"/>
      <c r="O130" s="1107"/>
      <c r="P130" s="1107"/>
      <c r="Q130" s="1107"/>
      <c r="R130" s="1103"/>
      <c r="S130" s="1099"/>
    </row>
    <row r="131" spans="1:19" ht="20.25" x14ac:dyDescent="0.3">
      <c r="A131" s="1098"/>
      <c r="B131" s="1102"/>
      <c r="C131" s="1101"/>
      <c r="D131" s="1097" t="s">
        <v>567</v>
      </c>
      <c r="E131" s="1100">
        <v>34200</v>
      </c>
      <c r="F131" s="1100">
        <f t="shared" si="3"/>
        <v>40152</v>
      </c>
      <c r="G131" s="1107"/>
      <c r="H131" s="1107"/>
      <c r="I131" s="1107">
        <v>39152</v>
      </c>
      <c r="J131" s="1107"/>
      <c r="K131" s="1100"/>
      <c r="L131" s="1107"/>
      <c r="M131" s="1107">
        <v>1000</v>
      </c>
      <c r="N131" s="1107"/>
      <c r="O131" s="1107"/>
      <c r="P131" s="1107"/>
      <c r="Q131" s="1107"/>
      <c r="R131" s="1103"/>
      <c r="S131" s="1099"/>
    </row>
    <row r="132" spans="1:19" ht="20.25" x14ac:dyDescent="0.3">
      <c r="A132" s="1098"/>
      <c r="B132" s="1102"/>
      <c r="C132" s="1101"/>
      <c r="D132" s="1097" t="s">
        <v>619</v>
      </c>
      <c r="E132" s="1100">
        <v>34200</v>
      </c>
      <c r="F132" s="1100">
        <f t="shared" si="3"/>
        <v>42152</v>
      </c>
      <c r="G132" s="1107"/>
      <c r="H132" s="1107"/>
      <c r="I132" s="1107">
        <v>39152</v>
      </c>
      <c r="J132" s="1107"/>
      <c r="K132" s="1100"/>
      <c r="L132" s="1107"/>
      <c r="M132" s="1107">
        <v>3000</v>
      </c>
      <c r="N132" s="1107"/>
      <c r="O132" s="1107"/>
      <c r="P132" s="1107"/>
      <c r="Q132" s="1107"/>
      <c r="R132" s="1103"/>
      <c r="S132" s="1099"/>
    </row>
    <row r="133" spans="1:19" ht="20.25" x14ac:dyDescent="0.3">
      <c r="A133" s="1098" t="s">
        <v>646</v>
      </c>
      <c r="B133" s="1102" t="s">
        <v>839</v>
      </c>
      <c r="C133" s="1101" t="s">
        <v>840</v>
      </c>
      <c r="D133" s="1097" t="s">
        <v>3</v>
      </c>
      <c r="E133" s="1100"/>
      <c r="F133" s="1100">
        <f t="shared" si="3"/>
        <v>13000</v>
      </c>
      <c r="G133" s="1104"/>
      <c r="H133" s="1104"/>
      <c r="I133" s="1104"/>
      <c r="J133" s="1104"/>
      <c r="K133" s="1104">
        <v>13000</v>
      </c>
      <c r="L133" s="1104"/>
      <c r="M133" s="1104"/>
      <c r="N133" s="1104"/>
      <c r="O133" s="1104"/>
      <c r="P133" s="1104"/>
      <c r="Q133" s="1104"/>
      <c r="R133" s="1103"/>
      <c r="S133" s="1099"/>
    </row>
    <row r="134" spans="1:19" ht="20.25" x14ac:dyDescent="0.3">
      <c r="A134" s="1098"/>
      <c r="B134" s="1102"/>
      <c r="C134" s="1101"/>
      <c r="D134" s="1097" t="s">
        <v>567</v>
      </c>
      <c r="E134" s="1100"/>
      <c r="F134" s="1100">
        <f t="shared" si="3"/>
        <v>13000</v>
      </c>
      <c r="G134" s="1104"/>
      <c r="H134" s="1104"/>
      <c r="I134" s="1104"/>
      <c r="J134" s="1104"/>
      <c r="K134" s="1104">
        <v>13000</v>
      </c>
      <c r="L134" s="1104"/>
      <c r="M134" s="1104"/>
      <c r="N134" s="1104"/>
      <c r="O134" s="1104"/>
      <c r="P134" s="1104"/>
      <c r="Q134" s="1104"/>
      <c r="R134" s="1103"/>
      <c r="S134" s="1099"/>
    </row>
    <row r="135" spans="1:19" ht="20.25" x14ac:dyDescent="0.3">
      <c r="A135" s="1098"/>
      <c r="B135" s="1102"/>
      <c r="C135" s="1101"/>
      <c r="D135" s="1097" t="s">
        <v>619</v>
      </c>
      <c r="E135" s="1100"/>
      <c r="F135" s="1100">
        <f t="shared" ref="F135:F147" si="4">SUM(G135:S135)</f>
        <v>13000</v>
      </c>
      <c r="G135" s="1104"/>
      <c r="H135" s="1104"/>
      <c r="I135" s="1104"/>
      <c r="J135" s="1104"/>
      <c r="K135" s="1104">
        <v>13000</v>
      </c>
      <c r="L135" s="1104"/>
      <c r="M135" s="1104"/>
      <c r="N135" s="1104"/>
      <c r="O135" s="1104"/>
      <c r="P135" s="1104"/>
      <c r="Q135" s="1104"/>
      <c r="R135" s="1103"/>
      <c r="S135" s="1099"/>
    </row>
    <row r="136" spans="1:19" ht="20.25" x14ac:dyDescent="0.3">
      <c r="A136" s="1098" t="s">
        <v>646</v>
      </c>
      <c r="B136" s="1102" t="s">
        <v>841</v>
      </c>
      <c r="C136" s="1101" t="s">
        <v>842</v>
      </c>
      <c r="D136" s="1097" t="s">
        <v>3</v>
      </c>
      <c r="E136" s="1100">
        <v>0</v>
      </c>
      <c r="F136" s="1100">
        <f t="shared" si="4"/>
        <v>59825</v>
      </c>
      <c r="G136" s="1104">
        <v>600</v>
      </c>
      <c r="H136" s="1104">
        <v>300</v>
      </c>
      <c r="I136" s="1104"/>
      <c r="J136" s="1104"/>
      <c r="K136" s="1104">
        <v>58925</v>
      </c>
      <c r="L136" s="1104"/>
      <c r="M136" s="1104"/>
      <c r="N136" s="1104"/>
      <c r="O136" s="1104"/>
      <c r="P136" s="1104"/>
      <c r="Q136" s="1104"/>
      <c r="R136" s="1103"/>
      <c r="S136" s="1099"/>
    </row>
    <row r="137" spans="1:19" ht="20.25" x14ac:dyDescent="0.3">
      <c r="A137" s="1098"/>
      <c r="B137" s="1102"/>
      <c r="C137" s="1101"/>
      <c r="D137" s="1097" t="s">
        <v>567</v>
      </c>
      <c r="E137" s="1100">
        <v>100</v>
      </c>
      <c r="F137" s="1100">
        <f t="shared" si="4"/>
        <v>59825</v>
      </c>
      <c r="G137" s="1104">
        <v>600</v>
      </c>
      <c r="H137" s="1104">
        <v>300</v>
      </c>
      <c r="I137" s="1104">
        <v>6000</v>
      </c>
      <c r="J137" s="1104"/>
      <c r="K137" s="1104">
        <f>58925-14500+7000</f>
        <v>51425</v>
      </c>
      <c r="L137" s="1104"/>
      <c r="M137" s="1104"/>
      <c r="N137" s="1104"/>
      <c r="O137" s="1104">
        <v>1500</v>
      </c>
      <c r="P137" s="1104"/>
      <c r="Q137" s="1104"/>
      <c r="R137" s="1103"/>
      <c r="S137" s="1099"/>
    </row>
    <row r="138" spans="1:19" ht="20.25" x14ac:dyDescent="0.3">
      <c r="A138" s="1098"/>
      <c r="B138" s="1102"/>
      <c r="C138" s="1106"/>
      <c r="D138" s="1097" t="s">
        <v>619</v>
      </c>
      <c r="E138" s="1100">
        <v>100</v>
      </c>
      <c r="F138" s="1100">
        <f t="shared" si="4"/>
        <v>57561</v>
      </c>
      <c r="G138" s="1107">
        <v>600</v>
      </c>
      <c r="H138" s="1107">
        <v>300</v>
      </c>
      <c r="I138" s="1107">
        <v>6000</v>
      </c>
      <c r="J138" s="1107"/>
      <c r="K138" s="1107">
        <v>49161</v>
      </c>
      <c r="L138" s="1107"/>
      <c r="M138" s="1107"/>
      <c r="N138" s="1107"/>
      <c r="O138" s="1107">
        <v>1500</v>
      </c>
      <c r="P138" s="1107"/>
      <c r="Q138" s="1107"/>
      <c r="R138" s="1107"/>
      <c r="S138" s="1105"/>
    </row>
    <row r="139" spans="1:19" ht="20.25" x14ac:dyDescent="0.3">
      <c r="A139" s="1098" t="s">
        <v>734</v>
      </c>
      <c r="B139" s="1102" t="s">
        <v>843</v>
      </c>
      <c r="C139" s="1101" t="s">
        <v>844</v>
      </c>
      <c r="D139" s="1097" t="s">
        <v>3</v>
      </c>
      <c r="E139" s="1100">
        <v>0</v>
      </c>
      <c r="F139" s="1100">
        <f t="shared" si="4"/>
        <v>120610</v>
      </c>
      <c r="G139" s="1104"/>
      <c r="H139" s="1104"/>
      <c r="I139" s="1104">
        <v>14061</v>
      </c>
      <c r="J139" s="1104"/>
      <c r="K139" s="1104"/>
      <c r="L139" s="1104"/>
      <c r="M139" s="1104"/>
      <c r="N139" s="1104"/>
      <c r="O139" s="1104"/>
      <c r="P139" s="1104"/>
      <c r="Q139" s="1104">
        <v>106549</v>
      </c>
      <c r="R139" s="1103"/>
      <c r="S139" s="1099"/>
    </row>
    <row r="140" spans="1:19" ht="20.25" x14ac:dyDescent="0.3">
      <c r="A140" s="1098"/>
      <c r="B140" s="1102"/>
      <c r="C140" s="1101"/>
      <c r="D140" s="1097" t="s">
        <v>567</v>
      </c>
      <c r="E140" s="1100">
        <v>2468559</v>
      </c>
      <c r="F140" s="1100">
        <f t="shared" si="4"/>
        <v>2596130</v>
      </c>
      <c r="G140" s="1104"/>
      <c r="H140" s="1104"/>
      <c r="I140" s="1104">
        <f>14061-1851</f>
        <v>12210</v>
      </c>
      <c r="J140" s="1104"/>
      <c r="K140" s="1104"/>
      <c r="L140" s="1104"/>
      <c r="M140" s="1104"/>
      <c r="N140" s="1104"/>
      <c r="O140" s="1104"/>
      <c r="P140" s="1104"/>
      <c r="Q140" s="1104">
        <f>106549+2397371</f>
        <v>2503920</v>
      </c>
      <c r="R140" s="1103"/>
      <c r="S140" s="1105">
        <v>80000</v>
      </c>
    </row>
    <row r="141" spans="1:19" ht="20.25" x14ac:dyDescent="0.3">
      <c r="A141" s="1098"/>
      <c r="B141" s="1102"/>
      <c r="C141" s="1101"/>
      <c r="D141" s="1097" t="s">
        <v>619</v>
      </c>
      <c r="E141" s="1100">
        <v>3041140</v>
      </c>
      <c r="F141" s="1100">
        <f t="shared" si="4"/>
        <v>3168711</v>
      </c>
      <c r="G141" s="1107"/>
      <c r="H141" s="1107"/>
      <c r="I141" s="1107">
        <v>12210</v>
      </c>
      <c r="J141" s="1107"/>
      <c r="K141" s="1107"/>
      <c r="L141" s="1107"/>
      <c r="M141" s="1107"/>
      <c r="N141" s="1107"/>
      <c r="O141" s="1107"/>
      <c r="P141" s="1107"/>
      <c r="Q141" s="1107">
        <v>3076501</v>
      </c>
      <c r="R141" s="1107"/>
      <c r="S141" s="1105">
        <v>80000</v>
      </c>
    </row>
    <row r="142" spans="1:19" ht="20.25" x14ac:dyDescent="0.3">
      <c r="A142" s="1098" t="s">
        <v>734</v>
      </c>
      <c r="B142" s="1102" t="s">
        <v>845</v>
      </c>
      <c r="C142" s="1101" t="s">
        <v>846</v>
      </c>
      <c r="D142" s="1097" t="s">
        <v>3</v>
      </c>
      <c r="E142" s="1100"/>
      <c r="F142" s="1100">
        <f t="shared" si="4"/>
        <v>164300</v>
      </c>
      <c r="G142" s="1104"/>
      <c r="H142" s="1104"/>
      <c r="I142" s="1104"/>
      <c r="J142" s="1104"/>
      <c r="K142" s="1104"/>
      <c r="L142" s="1104">
        <v>109300</v>
      </c>
      <c r="M142" s="1104"/>
      <c r="N142" s="1104"/>
      <c r="O142" s="1104"/>
      <c r="P142" s="1104">
        <v>55000</v>
      </c>
      <c r="Q142" s="1104"/>
      <c r="R142" s="1103"/>
      <c r="S142" s="1099"/>
    </row>
    <row r="143" spans="1:19" ht="20.25" x14ac:dyDescent="0.3">
      <c r="A143" s="1098"/>
      <c r="B143" s="1102"/>
      <c r="C143" s="1101"/>
      <c r="D143" s="1097" t="s">
        <v>567</v>
      </c>
      <c r="E143" s="1100"/>
      <c r="F143" s="1100">
        <f t="shared" si="4"/>
        <v>47347</v>
      </c>
      <c r="G143" s="1104"/>
      <c r="H143" s="1104"/>
      <c r="I143" s="1104"/>
      <c r="J143" s="1104"/>
      <c r="K143" s="1104"/>
      <c r="L143" s="1104">
        <f>109300-66953</f>
        <v>42347</v>
      </c>
      <c r="M143" s="1104"/>
      <c r="N143" s="1104"/>
      <c r="O143" s="1104"/>
      <c r="P143" s="1104">
        <v>5000</v>
      </c>
      <c r="Q143" s="1104"/>
      <c r="R143" s="1103"/>
      <c r="S143" s="1099"/>
    </row>
    <row r="144" spans="1:19" ht="20.25" x14ac:dyDescent="0.3">
      <c r="A144" s="1098"/>
      <c r="B144" s="1102"/>
      <c r="C144" s="1101"/>
      <c r="D144" s="1097" t="s">
        <v>619</v>
      </c>
      <c r="E144" s="1100"/>
      <c r="F144" s="1100">
        <f t="shared" si="4"/>
        <v>39631</v>
      </c>
      <c r="G144" s="1107"/>
      <c r="H144" s="1107"/>
      <c r="I144" s="1107"/>
      <c r="J144" s="1107"/>
      <c r="K144" s="1107"/>
      <c r="L144" s="1107">
        <v>4631</v>
      </c>
      <c r="M144" s="1107"/>
      <c r="N144" s="1107"/>
      <c r="O144" s="1107"/>
      <c r="P144" s="1107">
        <v>35000</v>
      </c>
      <c r="Q144" s="1100"/>
      <c r="R144" s="1100"/>
      <c r="S144" s="1164"/>
    </row>
    <row r="145" spans="1:19" ht="20.25" x14ac:dyDescent="0.3">
      <c r="A145" s="1098" t="s">
        <v>646</v>
      </c>
      <c r="B145" s="1102" t="s">
        <v>847</v>
      </c>
      <c r="C145" s="1101" t="s">
        <v>848</v>
      </c>
      <c r="D145" s="1097" t="s">
        <v>3</v>
      </c>
      <c r="E145" s="1100">
        <v>2114400</v>
      </c>
      <c r="F145" s="1100">
        <f t="shared" si="4"/>
        <v>0</v>
      </c>
      <c r="G145" s="1104"/>
      <c r="H145" s="1104"/>
      <c r="I145" s="1104"/>
      <c r="J145" s="1104"/>
      <c r="K145" s="1104"/>
      <c r="L145" s="1104"/>
      <c r="M145" s="1104"/>
      <c r="N145" s="1104"/>
      <c r="O145" s="1104"/>
      <c r="P145" s="1104"/>
      <c r="Q145" s="1104"/>
      <c r="R145" s="1103"/>
      <c r="S145" s="1099"/>
    </row>
    <row r="146" spans="1:19" ht="20.25" x14ac:dyDescent="0.3">
      <c r="A146" s="1098"/>
      <c r="B146" s="1102"/>
      <c r="C146" s="1101"/>
      <c r="D146" s="1097" t="s">
        <v>567</v>
      </c>
      <c r="E146" s="1100">
        <v>2114400</v>
      </c>
      <c r="F146" s="1100">
        <f t="shared" si="4"/>
        <v>0</v>
      </c>
      <c r="G146" s="1104"/>
      <c r="H146" s="1104"/>
      <c r="I146" s="1104"/>
      <c r="J146" s="1104"/>
      <c r="K146" s="1104"/>
      <c r="L146" s="1104"/>
      <c r="M146" s="1104"/>
      <c r="N146" s="1104"/>
      <c r="O146" s="1104"/>
      <c r="P146" s="1104"/>
      <c r="Q146" s="1104"/>
      <c r="R146" s="1103"/>
      <c r="S146" s="1099"/>
    </row>
    <row r="147" spans="1:19" ht="20.25" x14ac:dyDescent="0.3">
      <c r="A147" s="1098"/>
      <c r="B147" s="1102"/>
      <c r="C147" s="1101"/>
      <c r="D147" s="1097" t="s">
        <v>619</v>
      </c>
      <c r="E147" s="1100">
        <v>2200696</v>
      </c>
      <c r="F147" s="1100">
        <f t="shared" si="4"/>
        <v>0</v>
      </c>
      <c r="G147" s="1100"/>
      <c r="H147" s="1100"/>
      <c r="I147" s="1100"/>
      <c r="J147" s="1100"/>
      <c r="K147" s="1100"/>
      <c r="L147" s="1100"/>
      <c r="M147" s="1100"/>
      <c r="N147" s="1100"/>
      <c r="O147" s="1100"/>
      <c r="P147" s="1100"/>
      <c r="Q147" s="1100"/>
      <c r="R147" s="1100"/>
      <c r="S147" s="1164"/>
    </row>
    <row r="148" spans="1:19" ht="20.25" x14ac:dyDescent="0.3">
      <c r="A148" s="1167"/>
      <c r="B148" s="1390" t="s">
        <v>61</v>
      </c>
      <c r="C148" s="1390"/>
      <c r="D148" s="1168" t="s">
        <v>3</v>
      </c>
      <c r="E148" s="1169">
        <f t="shared" ref="E148:S148" si="5">SUM(E7,E10,E13,E16,E19,E22,E25,E28,E31,E34,E37,E40,E43,E46,E49,E52,E55,E58,E61,E64,E67,E70,E73,E76,E79,E82,E85,E88,E91,E94,E97,E100,E103,E106,E109,E112,E115,E118,E121,E124,E127,E130,E133,E136,E139,E142,E145)</f>
        <v>4313125</v>
      </c>
      <c r="F148" s="1169">
        <f t="shared" si="5"/>
        <v>4313125</v>
      </c>
      <c r="G148" s="1169">
        <f t="shared" si="5"/>
        <v>218792</v>
      </c>
      <c r="H148" s="1169">
        <f t="shared" si="5"/>
        <v>46978</v>
      </c>
      <c r="I148" s="1169">
        <f t="shared" si="5"/>
        <v>660582</v>
      </c>
      <c r="J148" s="1169">
        <f t="shared" si="5"/>
        <v>967165</v>
      </c>
      <c r="K148" s="1169">
        <f t="shared" si="5"/>
        <v>77825</v>
      </c>
      <c r="L148" s="1169">
        <f t="shared" si="5"/>
        <v>109300</v>
      </c>
      <c r="M148" s="1169">
        <f t="shared" si="5"/>
        <v>245122</v>
      </c>
      <c r="N148" s="1169">
        <f t="shared" si="5"/>
        <v>259597</v>
      </c>
      <c r="O148" s="1169">
        <f t="shared" si="5"/>
        <v>15614</v>
      </c>
      <c r="P148" s="1169">
        <f t="shared" si="5"/>
        <v>55000</v>
      </c>
      <c r="Q148" s="1169">
        <f t="shared" si="5"/>
        <v>131549</v>
      </c>
      <c r="R148" s="1169">
        <f t="shared" si="5"/>
        <v>1525601</v>
      </c>
      <c r="S148" s="1170">
        <f t="shared" si="5"/>
        <v>0</v>
      </c>
    </row>
    <row r="149" spans="1:19" ht="20.25" x14ac:dyDescent="0.3">
      <c r="A149" s="1167"/>
      <c r="B149" s="1168"/>
      <c r="C149" s="1168"/>
      <c r="D149" s="1171" t="s">
        <v>567</v>
      </c>
      <c r="E149" s="1169">
        <f t="shared" ref="E149:S149" si="6">SUM(E8,E11,E14,E17,E20,E23,E26,E29,E32,E35,E38,E41,E44,E47,E50,E53,E56,E59,E62,E65,E68,E71,E74,E77,E80,E83,E86,E89,E92,E95,E98,E101,E104,E107,E110,E113,E116,E119,E122,E125,E128,E131,E134,E137,E140,E143,E146)</f>
        <v>6800511</v>
      </c>
      <c r="F149" s="1169">
        <f t="shared" si="6"/>
        <v>6800511</v>
      </c>
      <c r="G149" s="1169">
        <f t="shared" si="6"/>
        <v>219792</v>
      </c>
      <c r="H149" s="1169">
        <f t="shared" si="6"/>
        <v>47042</v>
      </c>
      <c r="I149" s="1169">
        <f t="shared" si="6"/>
        <v>717440</v>
      </c>
      <c r="J149" s="1169">
        <f t="shared" si="6"/>
        <v>968735</v>
      </c>
      <c r="K149" s="1169">
        <f t="shared" si="6"/>
        <v>70325</v>
      </c>
      <c r="L149" s="1169">
        <f t="shared" si="6"/>
        <v>42347</v>
      </c>
      <c r="M149" s="1169">
        <f t="shared" si="6"/>
        <v>131593</v>
      </c>
      <c r="N149" s="1169">
        <f t="shared" si="6"/>
        <v>376325</v>
      </c>
      <c r="O149" s="1169">
        <f t="shared" si="6"/>
        <v>13599</v>
      </c>
      <c r="P149" s="1169">
        <f t="shared" si="6"/>
        <v>5000</v>
      </c>
      <c r="Q149" s="1169">
        <f t="shared" si="6"/>
        <v>2541920</v>
      </c>
      <c r="R149" s="1169">
        <f t="shared" si="6"/>
        <v>1586393</v>
      </c>
      <c r="S149" s="1170">
        <f t="shared" si="6"/>
        <v>80000</v>
      </c>
    </row>
    <row r="150" spans="1:19" ht="20.25" x14ac:dyDescent="0.3">
      <c r="A150" s="1167"/>
      <c r="B150" s="1168"/>
      <c r="C150" s="1168"/>
      <c r="D150" s="1171" t="s">
        <v>619</v>
      </c>
      <c r="E150" s="1169">
        <f t="shared" ref="E150:S150" si="7">SUM(E9,E12,E15,E18,E21,E24,E27,E30,E33,E36,E39,E42,E45,E48,E51,E54,E57,E60,E63,E66,E69,E72,E75,E78,E81,E84,E87,E90,E93,E96,E99,E102,E105,E108,E111,E114,E117,E120,E123,E126,E129,E132,E135,E138,E141,E144,E147)</f>
        <v>8792596</v>
      </c>
      <c r="F150" s="1169">
        <f t="shared" si="7"/>
        <v>8792596</v>
      </c>
      <c r="G150" s="1169">
        <f t="shared" si="7"/>
        <v>247176</v>
      </c>
      <c r="H150" s="1169">
        <f t="shared" si="7"/>
        <v>54818</v>
      </c>
      <c r="I150" s="1169">
        <f t="shared" si="7"/>
        <v>803959</v>
      </c>
      <c r="J150" s="1169">
        <f t="shared" si="7"/>
        <v>1029578</v>
      </c>
      <c r="K150" s="1169">
        <f t="shared" si="7"/>
        <v>68061</v>
      </c>
      <c r="L150" s="1169">
        <f t="shared" si="7"/>
        <v>4631</v>
      </c>
      <c r="M150" s="1169">
        <f t="shared" si="7"/>
        <v>315594</v>
      </c>
      <c r="N150" s="1169">
        <f t="shared" si="7"/>
        <v>1432365</v>
      </c>
      <c r="O150" s="1169">
        <f t="shared" si="7"/>
        <v>13699</v>
      </c>
      <c r="P150" s="1169">
        <f t="shared" si="7"/>
        <v>35000</v>
      </c>
      <c r="Q150" s="1169">
        <f t="shared" si="7"/>
        <v>3116511</v>
      </c>
      <c r="R150" s="1169">
        <f t="shared" si="7"/>
        <v>1591204</v>
      </c>
      <c r="S150" s="1170">
        <f t="shared" si="7"/>
        <v>80000</v>
      </c>
    </row>
    <row r="151" spans="1:19" ht="20.25" x14ac:dyDescent="0.3">
      <c r="A151" s="1098"/>
      <c r="B151" s="1153"/>
      <c r="C151" s="1153"/>
      <c r="D151" s="1153"/>
      <c r="E151" s="1093"/>
      <c r="F151" s="1100"/>
      <c r="G151" s="1093"/>
      <c r="H151" s="1093"/>
      <c r="I151" s="1093"/>
      <c r="J151" s="1093"/>
      <c r="K151" s="1093"/>
      <c r="L151" s="1093"/>
      <c r="M151" s="1093"/>
      <c r="N151" s="1093"/>
      <c r="O151" s="1093"/>
      <c r="P151" s="1093"/>
      <c r="Q151" s="1093"/>
      <c r="R151" s="1093"/>
      <c r="S151" s="1099"/>
    </row>
    <row r="152" spans="1:19" ht="20.25" x14ac:dyDescent="0.3">
      <c r="A152" s="1098"/>
      <c r="B152" s="1386" t="s">
        <v>758</v>
      </c>
      <c r="C152" s="1386"/>
      <c r="D152" s="1153" t="s">
        <v>3</v>
      </c>
      <c r="E152" s="1093">
        <f t="shared" ref="E152:S152" si="8">SUM(E16,E19,E43,E46,E49,E52,E55,E58,E64,E67,E70,E76,E79,E82,E85,E88,E91,E94,E106,E130,E133,E136,E145)</f>
        <v>3073700</v>
      </c>
      <c r="F152" s="1093">
        <f t="shared" si="8"/>
        <v>1525052</v>
      </c>
      <c r="G152" s="1093">
        <f t="shared" si="8"/>
        <v>131600</v>
      </c>
      <c r="H152" s="1093">
        <f t="shared" si="8"/>
        <v>18232</v>
      </c>
      <c r="I152" s="1093">
        <f t="shared" si="8"/>
        <v>435231</v>
      </c>
      <c r="J152" s="1093">
        <f t="shared" si="8"/>
        <v>365930</v>
      </c>
      <c r="K152" s="1093">
        <f t="shared" si="8"/>
        <v>71925</v>
      </c>
      <c r="L152" s="1093">
        <f t="shared" si="8"/>
        <v>0</v>
      </c>
      <c r="M152" s="1093">
        <f t="shared" si="8"/>
        <v>241347</v>
      </c>
      <c r="N152" s="1093">
        <f t="shared" si="8"/>
        <v>254787</v>
      </c>
      <c r="O152" s="1093">
        <f t="shared" si="8"/>
        <v>6000</v>
      </c>
      <c r="P152" s="1093">
        <f t="shared" si="8"/>
        <v>0</v>
      </c>
      <c r="Q152" s="1093">
        <f t="shared" si="8"/>
        <v>0</v>
      </c>
      <c r="R152" s="1093">
        <f t="shared" si="8"/>
        <v>0</v>
      </c>
      <c r="S152" s="1166">
        <f t="shared" si="8"/>
        <v>0</v>
      </c>
    </row>
    <row r="153" spans="1:19" ht="20.25" x14ac:dyDescent="0.3">
      <c r="A153" s="1098"/>
      <c r="B153" s="1153"/>
      <c r="C153" s="1153"/>
      <c r="D153" s="1097" t="s">
        <v>567</v>
      </c>
      <c r="E153" s="1093">
        <f t="shared" ref="E153:S153" si="9">SUM(E17,E20,E44,E47,E50,E53,E56,E59,E65,E68,E71,E77,E80,E83,E86,E89,E92,E95,E107,E131,E134,E137,E146)</f>
        <v>3152965</v>
      </c>
      <c r="F153" s="1093">
        <f t="shared" si="9"/>
        <v>1572517</v>
      </c>
      <c r="G153" s="1093">
        <f t="shared" si="9"/>
        <v>131600</v>
      </c>
      <c r="H153" s="1093">
        <f t="shared" si="9"/>
        <v>18232</v>
      </c>
      <c r="I153" s="1093">
        <f t="shared" si="9"/>
        <v>485367</v>
      </c>
      <c r="J153" s="1093">
        <f t="shared" si="9"/>
        <v>364930</v>
      </c>
      <c r="K153" s="1093">
        <f t="shared" si="9"/>
        <v>64425</v>
      </c>
      <c r="L153" s="1093">
        <f t="shared" si="9"/>
        <v>0</v>
      </c>
      <c r="M153" s="1093">
        <f t="shared" si="9"/>
        <v>128653</v>
      </c>
      <c r="N153" s="1093">
        <f t="shared" si="9"/>
        <v>375325</v>
      </c>
      <c r="O153" s="1093">
        <f t="shared" si="9"/>
        <v>3985</v>
      </c>
      <c r="P153" s="1093">
        <f t="shared" si="9"/>
        <v>0</v>
      </c>
      <c r="Q153" s="1093">
        <f t="shared" si="9"/>
        <v>0</v>
      </c>
      <c r="R153" s="1093">
        <f t="shared" si="9"/>
        <v>0</v>
      </c>
      <c r="S153" s="1166">
        <f t="shared" si="9"/>
        <v>0</v>
      </c>
    </row>
    <row r="154" spans="1:19" ht="20.25" x14ac:dyDescent="0.3">
      <c r="A154" s="1098"/>
      <c r="B154" s="1153"/>
      <c r="C154" s="1153"/>
      <c r="D154" s="1097" t="s">
        <v>619</v>
      </c>
      <c r="E154" s="1093">
        <f t="shared" ref="E154:S154" si="10">SUM(E18,E21,E45,E48,E51,E54,E57,E60,E66,E69,E72,E78,E81,E84,E87,E90,E93,E96,E108,E132,E135,E138,E147)</f>
        <v>4508506</v>
      </c>
      <c r="F154" s="1093">
        <f t="shared" si="10"/>
        <v>2948170</v>
      </c>
      <c r="G154" s="1093">
        <f t="shared" si="10"/>
        <v>155424</v>
      </c>
      <c r="H154" s="1093">
        <f t="shared" si="10"/>
        <v>24633</v>
      </c>
      <c r="I154" s="1093">
        <f t="shared" si="10"/>
        <v>580717</v>
      </c>
      <c r="J154" s="1093">
        <f t="shared" si="10"/>
        <v>381437</v>
      </c>
      <c r="K154" s="1093">
        <f t="shared" si="10"/>
        <v>62161</v>
      </c>
      <c r="L154" s="1093">
        <f t="shared" si="10"/>
        <v>0</v>
      </c>
      <c r="M154" s="1093">
        <f t="shared" si="10"/>
        <v>314673</v>
      </c>
      <c r="N154" s="1093">
        <f t="shared" si="10"/>
        <v>1425140</v>
      </c>
      <c r="O154" s="1093">
        <f t="shared" si="10"/>
        <v>3985</v>
      </c>
      <c r="P154" s="1093">
        <f t="shared" si="10"/>
        <v>0</v>
      </c>
      <c r="Q154" s="1093">
        <f t="shared" si="10"/>
        <v>0</v>
      </c>
      <c r="R154" s="1093">
        <f t="shared" si="10"/>
        <v>0</v>
      </c>
      <c r="S154" s="1166">
        <f t="shared" si="10"/>
        <v>0</v>
      </c>
    </row>
    <row r="155" spans="1:19" ht="20.25" x14ac:dyDescent="0.3">
      <c r="A155" s="1098"/>
      <c r="B155" s="1153"/>
      <c r="C155" s="1153"/>
      <c r="D155" s="1153"/>
      <c r="E155" s="1093"/>
      <c r="F155" s="1100"/>
      <c r="G155" s="1093"/>
      <c r="H155" s="1093"/>
      <c r="I155" s="1093"/>
      <c r="J155" s="1093"/>
      <c r="K155" s="1093"/>
      <c r="L155" s="1093"/>
      <c r="M155" s="1093"/>
      <c r="N155" s="1093"/>
      <c r="O155" s="1093"/>
      <c r="P155" s="1093"/>
      <c r="Q155" s="1093"/>
      <c r="R155" s="1093"/>
      <c r="S155" s="1099"/>
    </row>
    <row r="156" spans="1:19" ht="20.25" x14ac:dyDescent="0.3">
      <c r="A156" s="1098"/>
      <c r="B156" s="1386" t="s">
        <v>759</v>
      </c>
      <c r="C156" s="1386"/>
      <c r="D156" s="1153" t="s">
        <v>3</v>
      </c>
      <c r="E156" s="1093">
        <f t="shared" ref="E156:S156" si="11">SUM(E13,E22,E25,E28,E31,E61,E73,E97,E100,E103,E109,E112,E115,E118,E121,E124,E127)</f>
        <v>19074</v>
      </c>
      <c r="F156" s="1093">
        <f t="shared" si="11"/>
        <v>369061</v>
      </c>
      <c r="G156" s="1093">
        <f t="shared" si="11"/>
        <v>28826</v>
      </c>
      <c r="H156" s="1093">
        <f t="shared" si="11"/>
        <v>13701</v>
      </c>
      <c r="I156" s="1093">
        <f t="shared" si="11"/>
        <v>60920</v>
      </c>
      <c r="J156" s="1093">
        <f t="shared" si="11"/>
        <v>249100</v>
      </c>
      <c r="K156" s="1093">
        <f t="shared" si="11"/>
        <v>5900</v>
      </c>
      <c r="L156" s="1093">
        <f t="shared" si="11"/>
        <v>0</v>
      </c>
      <c r="M156" s="1093">
        <f t="shared" si="11"/>
        <v>0</v>
      </c>
      <c r="N156" s="1093">
        <f t="shared" si="11"/>
        <v>1000</v>
      </c>
      <c r="O156" s="1093">
        <f t="shared" si="11"/>
        <v>9614</v>
      </c>
      <c r="P156" s="1093">
        <f t="shared" si="11"/>
        <v>0</v>
      </c>
      <c r="Q156" s="1093">
        <f t="shared" si="11"/>
        <v>0</v>
      </c>
      <c r="R156" s="1093">
        <f t="shared" si="11"/>
        <v>0</v>
      </c>
      <c r="S156" s="1166">
        <f t="shared" si="11"/>
        <v>0</v>
      </c>
    </row>
    <row r="157" spans="1:19" ht="20.25" x14ac:dyDescent="0.3">
      <c r="A157" s="1098"/>
      <c r="B157" s="1153"/>
      <c r="C157" s="1153"/>
      <c r="D157" s="1097" t="s">
        <v>567</v>
      </c>
      <c r="E157" s="1093">
        <f t="shared" ref="E157:S157" si="12">SUM(E14,E23,E26,E29,E32,E62,E74,E98,E101,E104,E110,E113,E116,E119,E122,E125,E128)</f>
        <v>19074</v>
      </c>
      <c r="F157" s="1093">
        <f t="shared" si="12"/>
        <v>347720</v>
      </c>
      <c r="G157" s="1093">
        <f t="shared" si="12"/>
        <v>32826</v>
      </c>
      <c r="H157" s="1093">
        <f t="shared" si="12"/>
        <v>14415</v>
      </c>
      <c r="I157" s="1093">
        <f t="shared" si="12"/>
        <v>45667</v>
      </c>
      <c r="J157" s="1093">
        <f t="shared" si="12"/>
        <v>238298</v>
      </c>
      <c r="K157" s="1093">
        <f t="shared" si="12"/>
        <v>5900</v>
      </c>
      <c r="L157" s="1093">
        <f t="shared" si="12"/>
        <v>0</v>
      </c>
      <c r="M157" s="1093">
        <f t="shared" si="12"/>
        <v>0</v>
      </c>
      <c r="N157" s="1093">
        <f t="shared" si="12"/>
        <v>1000</v>
      </c>
      <c r="O157" s="1093">
        <f t="shared" si="12"/>
        <v>9614</v>
      </c>
      <c r="P157" s="1093">
        <f t="shared" si="12"/>
        <v>0</v>
      </c>
      <c r="Q157" s="1093">
        <f t="shared" si="12"/>
        <v>0</v>
      </c>
      <c r="R157" s="1093">
        <f t="shared" si="12"/>
        <v>0</v>
      </c>
      <c r="S157" s="1166">
        <f t="shared" si="12"/>
        <v>0</v>
      </c>
    </row>
    <row r="158" spans="1:19" ht="20.25" x14ac:dyDescent="0.3">
      <c r="A158" s="1098"/>
      <c r="B158" s="1153"/>
      <c r="C158" s="1153"/>
      <c r="D158" s="1097" t="s">
        <v>619</v>
      </c>
      <c r="E158" s="1093">
        <f t="shared" ref="E158:S158" si="13">SUM(E15,E24,E27,E30,E33,E63,E75,E99,E102,E105,E111,E114,E117,E120,E123,E126,E129)</f>
        <v>35310</v>
      </c>
      <c r="F158" s="1093">
        <f t="shared" si="13"/>
        <v>353658</v>
      </c>
      <c r="G158" s="1093">
        <f t="shared" si="13"/>
        <v>34054</v>
      </c>
      <c r="H158" s="1093">
        <f t="shared" si="13"/>
        <v>14655</v>
      </c>
      <c r="I158" s="1093">
        <f t="shared" si="13"/>
        <v>31422</v>
      </c>
      <c r="J158" s="1093">
        <f t="shared" si="13"/>
        <v>256913</v>
      </c>
      <c r="K158" s="1093">
        <f t="shared" si="13"/>
        <v>5900</v>
      </c>
      <c r="L158" s="1093">
        <f t="shared" si="13"/>
        <v>0</v>
      </c>
      <c r="M158" s="1093">
        <f t="shared" si="13"/>
        <v>0</v>
      </c>
      <c r="N158" s="1093">
        <f t="shared" si="13"/>
        <v>1000</v>
      </c>
      <c r="O158" s="1093">
        <f t="shared" si="13"/>
        <v>9714</v>
      </c>
      <c r="P158" s="1093">
        <f t="shared" si="13"/>
        <v>0</v>
      </c>
      <c r="Q158" s="1093">
        <f t="shared" si="13"/>
        <v>0</v>
      </c>
      <c r="R158" s="1093">
        <f t="shared" si="13"/>
        <v>0</v>
      </c>
      <c r="S158" s="1166">
        <f t="shared" si="13"/>
        <v>0</v>
      </c>
    </row>
    <row r="159" spans="1:19" ht="20.25" x14ac:dyDescent="0.3">
      <c r="A159" s="1098"/>
      <c r="B159" s="1153"/>
      <c r="C159" s="1153"/>
      <c r="D159" s="1097"/>
      <c r="E159" s="1093"/>
      <c r="F159" s="1100"/>
      <c r="G159" s="1093"/>
      <c r="H159" s="1093"/>
      <c r="I159" s="1093"/>
      <c r="J159" s="1093"/>
      <c r="K159" s="1093"/>
      <c r="L159" s="1093"/>
      <c r="M159" s="1093"/>
      <c r="N159" s="1093"/>
      <c r="O159" s="1093"/>
      <c r="P159" s="1093"/>
      <c r="Q159" s="1093"/>
      <c r="R159" s="1093"/>
      <c r="S159" s="1099"/>
    </row>
    <row r="160" spans="1:19" ht="20.25" x14ac:dyDescent="0.3">
      <c r="A160" s="1098"/>
      <c r="B160" s="1386" t="s">
        <v>849</v>
      </c>
      <c r="C160" s="1386"/>
      <c r="D160" s="1153" t="s">
        <v>3</v>
      </c>
      <c r="E160" s="1093">
        <f t="shared" ref="E160:S160" si="14">SUM(E7,E10,E34,E37,E40,E139,E142)</f>
        <v>1220351</v>
      </c>
      <c r="F160" s="1093">
        <f t="shared" si="14"/>
        <v>2419012</v>
      </c>
      <c r="G160" s="1093">
        <f t="shared" si="14"/>
        <v>58366</v>
      </c>
      <c r="H160" s="1093">
        <f t="shared" si="14"/>
        <v>15045</v>
      </c>
      <c r="I160" s="1093">
        <f t="shared" si="14"/>
        <v>164431</v>
      </c>
      <c r="J160" s="1093">
        <f t="shared" si="14"/>
        <v>352135</v>
      </c>
      <c r="K160" s="1093">
        <f t="shared" si="14"/>
        <v>0</v>
      </c>
      <c r="L160" s="1093">
        <f t="shared" si="14"/>
        <v>109300</v>
      </c>
      <c r="M160" s="1093">
        <f t="shared" si="14"/>
        <v>3775</v>
      </c>
      <c r="N160" s="1093">
        <f t="shared" si="14"/>
        <v>3810</v>
      </c>
      <c r="O160" s="1093">
        <f t="shared" si="14"/>
        <v>0</v>
      </c>
      <c r="P160" s="1093">
        <f t="shared" si="14"/>
        <v>55000</v>
      </c>
      <c r="Q160" s="1093">
        <f t="shared" si="14"/>
        <v>131549</v>
      </c>
      <c r="R160" s="1093">
        <f t="shared" si="14"/>
        <v>1525601</v>
      </c>
      <c r="S160" s="1166">
        <f t="shared" si="14"/>
        <v>0</v>
      </c>
    </row>
    <row r="161" spans="1:22" ht="20.25" x14ac:dyDescent="0.3">
      <c r="A161" s="1098"/>
      <c r="B161" s="1153"/>
      <c r="C161" s="1153"/>
      <c r="D161" s="1097" t="s">
        <v>567</v>
      </c>
      <c r="E161" s="1093">
        <f t="shared" ref="E161:S161" si="15">SUM(E8,E11,E35,E38,E41,E140,E143)</f>
        <v>3628472</v>
      </c>
      <c r="F161" s="1093">
        <f t="shared" si="15"/>
        <v>4880274</v>
      </c>
      <c r="G161" s="1093">
        <f t="shared" si="15"/>
        <v>55366</v>
      </c>
      <c r="H161" s="1093">
        <f t="shared" si="15"/>
        <v>14395</v>
      </c>
      <c r="I161" s="1093">
        <f t="shared" si="15"/>
        <v>186406</v>
      </c>
      <c r="J161" s="1093">
        <f t="shared" si="15"/>
        <v>365507</v>
      </c>
      <c r="K161" s="1093">
        <f t="shared" si="15"/>
        <v>0</v>
      </c>
      <c r="L161" s="1093">
        <f t="shared" si="15"/>
        <v>42347</v>
      </c>
      <c r="M161" s="1093">
        <f t="shared" si="15"/>
        <v>2940</v>
      </c>
      <c r="N161" s="1093">
        <f t="shared" si="15"/>
        <v>0</v>
      </c>
      <c r="O161" s="1093">
        <f t="shared" si="15"/>
        <v>0</v>
      </c>
      <c r="P161" s="1093">
        <f t="shared" si="15"/>
        <v>5000</v>
      </c>
      <c r="Q161" s="1093">
        <f t="shared" si="15"/>
        <v>2541920</v>
      </c>
      <c r="R161" s="1093">
        <f t="shared" si="15"/>
        <v>1586393</v>
      </c>
      <c r="S161" s="1166">
        <f t="shared" si="15"/>
        <v>80000</v>
      </c>
    </row>
    <row r="162" spans="1:22" ht="21" thickBot="1" x14ac:dyDescent="0.35">
      <c r="A162" s="1096"/>
      <c r="B162" s="1095"/>
      <c r="C162" s="1095"/>
      <c r="D162" s="1094" t="s">
        <v>619</v>
      </c>
      <c r="E162" s="1093">
        <f t="shared" ref="E162:S162" si="16">SUM(E9,E12,E36,E39,E42,E141,E144)</f>
        <v>4248780</v>
      </c>
      <c r="F162" s="1093">
        <f t="shared" si="16"/>
        <v>5490768</v>
      </c>
      <c r="G162" s="1093">
        <f t="shared" si="16"/>
        <v>57698</v>
      </c>
      <c r="H162" s="1093">
        <f t="shared" si="16"/>
        <v>15530</v>
      </c>
      <c r="I162" s="1093">
        <f t="shared" si="16"/>
        <v>191820</v>
      </c>
      <c r="J162" s="1093">
        <f t="shared" si="16"/>
        <v>391228</v>
      </c>
      <c r="K162" s="1093">
        <f t="shared" si="16"/>
        <v>0</v>
      </c>
      <c r="L162" s="1093">
        <f t="shared" si="16"/>
        <v>4631</v>
      </c>
      <c r="M162" s="1093">
        <f t="shared" si="16"/>
        <v>921</v>
      </c>
      <c r="N162" s="1093">
        <f t="shared" si="16"/>
        <v>6225</v>
      </c>
      <c r="O162" s="1093">
        <f t="shared" si="16"/>
        <v>0</v>
      </c>
      <c r="P162" s="1093">
        <f t="shared" si="16"/>
        <v>35000</v>
      </c>
      <c r="Q162" s="1093">
        <f t="shared" si="16"/>
        <v>3116511</v>
      </c>
      <c r="R162" s="1093">
        <f t="shared" si="16"/>
        <v>1591204</v>
      </c>
      <c r="S162" s="1166">
        <f t="shared" si="16"/>
        <v>80000</v>
      </c>
    </row>
    <row r="163" spans="1:22" ht="15.75" x14ac:dyDescent="0.25">
      <c r="A163" s="1106"/>
      <c r="B163" s="1106"/>
      <c r="C163" s="1106"/>
      <c r="D163" s="1106"/>
      <c r="E163" s="1106"/>
      <c r="F163" s="1106"/>
      <c r="G163" s="1106"/>
      <c r="H163" s="1106"/>
      <c r="I163" s="1106"/>
      <c r="J163" s="1106"/>
      <c r="K163" s="1106"/>
      <c r="L163" s="1106"/>
      <c r="M163" s="1106"/>
      <c r="N163" s="1106"/>
      <c r="O163" s="1106"/>
      <c r="P163" s="1106"/>
      <c r="Q163" s="1106"/>
      <c r="R163" s="1106"/>
      <c r="S163" s="1106"/>
      <c r="T163" s="902"/>
      <c r="U163" s="902"/>
      <c r="V163" s="902"/>
    </row>
    <row r="164" spans="1:22" ht="15.75" x14ac:dyDescent="0.25">
      <c r="A164" s="1157"/>
      <c r="B164" s="1157"/>
      <c r="C164" s="1157"/>
      <c r="D164" s="1157"/>
      <c r="E164" s="1157"/>
      <c r="F164" s="1157"/>
      <c r="G164" s="1157"/>
      <c r="H164" s="1157"/>
      <c r="I164" s="1157"/>
      <c r="J164" s="1157"/>
      <c r="K164" s="1157"/>
      <c r="L164" s="1157"/>
      <c r="M164" s="1157"/>
      <c r="N164" s="1157"/>
      <c r="O164" s="1157"/>
      <c r="P164" s="1157"/>
      <c r="Q164" s="1157"/>
      <c r="R164" s="1157"/>
      <c r="S164" s="1157"/>
      <c r="T164" s="902"/>
      <c r="U164" s="902"/>
      <c r="V164" s="902"/>
    </row>
    <row r="165" spans="1:22" ht="15.75" x14ac:dyDescent="0.25">
      <c r="A165" s="1157"/>
      <c r="B165" s="1157"/>
      <c r="C165" s="1157"/>
      <c r="D165" s="1157"/>
      <c r="E165" s="1158"/>
      <c r="F165" s="1158"/>
      <c r="G165" s="1157"/>
      <c r="H165" s="1157"/>
      <c r="I165" s="1157"/>
      <c r="J165" s="1157"/>
      <c r="K165" s="1157"/>
      <c r="L165" s="1157"/>
      <c r="M165" s="1157"/>
      <c r="N165" s="1157"/>
      <c r="O165" s="1157"/>
      <c r="P165" s="1157"/>
      <c r="Q165" s="1157"/>
      <c r="R165" s="1157"/>
      <c r="S165" s="1157"/>
      <c r="T165" s="902"/>
      <c r="U165" s="902"/>
      <c r="V165" s="902"/>
    </row>
    <row r="166" spans="1:22" ht="15.75" x14ac:dyDescent="0.25">
      <c r="A166" s="1157"/>
      <c r="B166" s="1157"/>
      <c r="C166" s="1157"/>
      <c r="D166" s="1157"/>
      <c r="E166" s="1158"/>
      <c r="F166" s="1158"/>
      <c r="G166" s="1158"/>
      <c r="H166" s="1158"/>
      <c r="I166" s="1158"/>
      <c r="J166" s="1158"/>
      <c r="K166" s="1158"/>
      <c r="L166" s="1158"/>
      <c r="M166" s="1158"/>
      <c r="N166" s="1158"/>
      <c r="O166" s="1158"/>
      <c r="P166" s="1158"/>
      <c r="Q166" s="1158"/>
      <c r="R166" s="1158"/>
      <c r="S166" s="1158"/>
      <c r="T166" s="902"/>
      <c r="U166" s="902"/>
      <c r="V166" s="902"/>
    </row>
    <row r="167" spans="1:22" ht="15.75" x14ac:dyDescent="0.25">
      <c r="A167" s="1157"/>
      <c r="B167" s="1157"/>
      <c r="C167" s="1157"/>
      <c r="D167" s="1157"/>
      <c r="E167" s="1158"/>
      <c r="F167" s="1158"/>
      <c r="G167" s="1158"/>
      <c r="H167" s="1158"/>
      <c r="I167" s="1158"/>
      <c r="J167" s="1158"/>
      <c r="K167" s="1158"/>
      <c r="L167" s="1158"/>
      <c r="M167" s="1158"/>
      <c r="N167" s="1158"/>
      <c r="O167" s="1158"/>
      <c r="P167" s="1158"/>
      <c r="Q167" s="1158"/>
      <c r="R167" s="1158"/>
      <c r="S167" s="1158"/>
      <c r="T167" s="902"/>
      <c r="U167" s="902"/>
      <c r="V167" s="902"/>
    </row>
    <row r="168" spans="1:22" ht="15.75" x14ac:dyDescent="0.25">
      <c r="A168" s="1157"/>
      <c r="B168" s="1157"/>
      <c r="C168" s="1159"/>
      <c r="D168" s="1157"/>
      <c r="E168" s="1158"/>
      <c r="F168" s="1158"/>
      <c r="G168" s="1158"/>
      <c r="H168" s="1158"/>
      <c r="I168" s="1158"/>
      <c r="J168" s="1158"/>
      <c r="K168" s="1158"/>
      <c r="L168" s="1158"/>
      <c r="M168" s="1158"/>
      <c r="N168" s="1158"/>
      <c r="O168" s="1158"/>
      <c r="P168" s="1158"/>
      <c r="Q168" s="1158"/>
      <c r="R168" s="1158"/>
      <c r="S168" s="1158"/>
      <c r="T168" s="902"/>
      <c r="U168" s="902"/>
      <c r="V168" s="902"/>
    </row>
    <row r="169" spans="1:22" ht="15.75" x14ac:dyDescent="0.25">
      <c r="A169" s="1157"/>
      <c r="B169" s="1157"/>
      <c r="C169" s="1157"/>
      <c r="D169" s="1157"/>
      <c r="E169" s="1158"/>
      <c r="F169" s="1158"/>
      <c r="G169" s="1158"/>
      <c r="H169" s="1158"/>
      <c r="I169" s="1158"/>
      <c r="J169" s="1158"/>
      <c r="K169" s="1158"/>
      <c r="L169" s="1158"/>
      <c r="M169" s="1158"/>
      <c r="N169" s="1158"/>
      <c r="O169" s="1158"/>
      <c r="P169" s="1158"/>
      <c r="Q169" s="1158"/>
      <c r="R169" s="1158"/>
      <c r="S169" s="1158"/>
      <c r="T169" s="902"/>
      <c r="U169" s="902"/>
      <c r="V169" s="902"/>
    </row>
    <row r="170" spans="1:22" ht="15.75" x14ac:dyDescent="0.25">
      <c r="A170" s="1157"/>
      <c r="B170" s="1157"/>
      <c r="C170" s="1157"/>
      <c r="D170" s="1157"/>
      <c r="E170" s="1158"/>
      <c r="F170" s="1158"/>
      <c r="G170" s="1158"/>
      <c r="H170" s="1158"/>
      <c r="I170" s="1158"/>
      <c r="J170" s="1158"/>
      <c r="K170" s="1158"/>
      <c r="L170" s="1158"/>
      <c r="M170" s="1158"/>
      <c r="N170" s="1158"/>
      <c r="O170" s="1158"/>
      <c r="P170" s="1158"/>
      <c r="Q170" s="1158"/>
      <c r="R170" s="1158"/>
      <c r="S170" s="1158"/>
      <c r="T170" s="902"/>
      <c r="U170" s="902"/>
      <c r="V170" s="902"/>
    </row>
    <row r="171" spans="1:22" ht="15.75" x14ac:dyDescent="0.25">
      <c r="A171" s="1157"/>
      <c r="B171" s="1157"/>
      <c r="C171" s="1157"/>
      <c r="D171" s="1157"/>
      <c r="E171" s="1160"/>
      <c r="F171" s="1160"/>
      <c r="G171" s="1160"/>
      <c r="H171" s="1160"/>
      <c r="I171" s="1160"/>
      <c r="J171" s="1160"/>
      <c r="K171" s="1160"/>
      <c r="L171" s="1160"/>
      <c r="M171" s="1160"/>
      <c r="N171" s="1160"/>
      <c r="O171" s="1160"/>
      <c r="P171" s="1160"/>
      <c r="Q171" s="1160"/>
      <c r="R171" s="1160"/>
      <c r="S171" s="1160"/>
      <c r="T171" s="902"/>
      <c r="U171" s="902"/>
      <c r="V171" s="902"/>
    </row>
    <row r="172" spans="1:22" ht="15.75" x14ac:dyDescent="0.25">
      <c r="A172" s="1157"/>
      <c r="B172" s="1157"/>
      <c r="C172" s="1157"/>
      <c r="D172" s="1157"/>
      <c r="E172" s="1158"/>
      <c r="F172" s="1158"/>
      <c r="G172" s="1158"/>
      <c r="H172" s="1158"/>
      <c r="I172" s="1158"/>
      <c r="J172" s="1158"/>
      <c r="K172" s="1158"/>
      <c r="L172" s="1158"/>
      <c r="M172" s="1158"/>
      <c r="N172" s="1158"/>
      <c r="O172" s="1158"/>
      <c r="P172" s="1158"/>
      <c r="Q172" s="1158"/>
      <c r="R172" s="1158"/>
      <c r="S172" s="1158"/>
      <c r="T172" s="902"/>
      <c r="U172" s="902"/>
      <c r="V172" s="902"/>
    </row>
    <row r="173" spans="1:22" ht="15.75" x14ac:dyDescent="0.25">
      <c r="A173" s="1157"/>
      <c r="B173" s="1157"/>
      <c r="C173" s="1157"/>
      <c r="D173" s="1157"/>
      <c r="E173" s="1158"/>
      <c r="F173" s="1158"/>
      <c r="G173" s="1158"/>
      <c r="H173" s="1158"/>
      <c r="I173" s="1158"/>
      <c r="J173" s="1158"/>
      <c r="K173" s="1158"/>
      <c r="L173" s="1158"/>
      <c r="M173" s="1158"/>
      <c r="N173" s="1158"/>
      <c r="O173" s="1158"/>
      <c r="P173" s="1158"/>
      <c r="Q173" s="1158"/>
      <c r="R173" s="1158"/>
      <c r="S173" s="1158"/>
      <c r="T173" s="902"/>
      <c r="U173" s="902"/>
      <c r="V173" s="902"/>
    </row>
    <row r="174" spans="1:22" ht="15.75" x14ac:dyDescent="0.25">
      <c r="A174" s="1157"/>
      <c r="B174" s="1157"/>
      <c r="C174" s="1157"/>
      <c r="D174" s="1157"/>
      <c r="E174" s="1158"/>
      <c r="F174" s="1158"/>
      <c r="G174" s="1158"/>
      <c r="H174" s="1158"/>
      <c r="I174" s="1158"/>
      <c r="J174" s="1158"/>
      <c r="K174" s="1158"/>
      <c r="L174" s="1158"/>
      <c r="M174" s="1158"/>
      <c r="N174" s="1158"/>
      <c r="O174" s="1158"/>
      <c r="P174" s="1158"/>
      <c r="Q174" s="1158"/>
      <c r="R174" s="1158"/>
      <c r="S174" s="1158"/>
      <c r="T174" s="902"/>
      <c r="U174" s="902"/>
      <c r="V174" s="902"/>
    </row>
    <row r="175" spans="1:22" ht="15.75" x14ac:dyDescent="0.25">
      <c r="A175" s="1157"/>
      <c r="B175" s="1157"/>
      <c r="C175" s="1157"/>
      <c r="D175" s="1157"/>
      <c r="E175" s="1158"/>
      <c r="F175" s="1158"/>
      <c r="G175" s="1158"/>
      <c r="H175" s="1158"/>
      <c r="I175" s="1158"/>
      <c r="J175" s="1158"/>
      <c r="K175" s="1158"/>
      <c r="L175" s="1158"/>
      <c r="M175" s="1158"/>
      <c r="N175" s="1158"/>
      <c r="O175" s="1158"/>
      <c r="P175" s="1158"/>
      <c r="Q175" s="1158"/>
      <c r="R175" s="1158"/>
      <c r="S175" s="1158"/>
      <c r="T175" s="902"/>
      <c r="U175" s="902"/>
      <c r="V175" s="902"/>
    </row>
    <row r="176" spans="1:22" ht="15.75" x14ac:dyDescent="0.25">
      <c r="A176" s="1157"/>
      <c r="B176" s="1157"/>
      <c r="C176" s="1157"/>
      <c r="D176" s="1157"/>
      <c r="E176" s="1157"/>
      <c r="F176" s="1161"/>
      <c r="G176" s="1157"/>
      <c r="H176" s="1157"/>
      <c r="I176" s="1157"/>
      <c r="J176" s="1157"/>
      <c r="K176" s="1157"/>
      <c r="L176" s="1157"/>
      <c r="M176" s="1157"/>
      <c r="N176" s="1157"/>
      <c r="O176" s="1157"/>
      <c r="P176" s="1157"/>
      <c r="Q176" s="1157"/>
      <c r="R176" s="1157"/>
      <c r="S176" s="1157"/>
      <c r="T176" s="902"/>
      <c r="U176" s="902"/>
      <c r="V176" s="902"/>
    </row>
    <row r="177" spans="1:22" ht="15.75" x14ac:dyDescent="0.25">
      <c r="A177" s="1157"/>
      <c r="B177" s="1157"/>
      <c r="C177" s="1157"/>
      <c r="D177" s="1157"/>
      <c r="E177" s="1157"/>
      <c r="F177" s="1157"/>
      <c r="G177" s="1157"/>
      <c r="H177" s="1157"/>
      <c r="I177" s="1157"/>
      <c r="J177" s="1157"/>
      <c r="K177" s="1157"/>
      <c r="L177" s="1157"/>
      <c r="M177" s="1157"/>
      <c r="N177" s="1157"/>
      <c r="O177" s="1157"/>
      <c r="P177" s="1157"/>
      <c r="Q177" s="1157"/>
      <c r="R177" s="1157"/>
      <c r="S177" s="1157"/>
      <c r="T177" s="902"/>
      <c r="U177" s="902"/>
      <c r="V177" s="902"/>
    </row>
    <row r="178" spans="1:22" ht="15.75" x14ac:dyDescent="0.25">
      <c r="A178" s="1157"/>
      <c r="B178" s="1157"/>
      <c r="C178" s="1157"/>
      <c r="D178" s="1157"/>
      <c r="E178" s="1157"/>
      <c r="F178" s="1157"/>
      <c r="G178" s="1157"/>
      <c r="H178" s="1157"/>
      <c r="I178" s="1157"/>
      <c r="J178" s="1158"/>
      <c r="K178" s="1157"/>
      <c r="L178" s="1157"/>
      <c r="M178" s="1157"/>
      <c r="N178" s="1157"/>
      <c r="O178" s="1158"/>
      <c r="P178" s="1157"/>
      <c r="Q178" s="1157"/>
      <c r="R178" s="1157"/>
      <c r="S178" s="1157"/>
      <c r="T178" s="902"/>
      <c r="U178" s="902"/>
      <c r="V178" s="902"/>
    </row>
    <row r="179" spans="1:22" ht="15.75" x14ac:dyDescent="0.25">
      <c r="A179" s="1157"/>
      <c r="B179" s="1157"/>
      <c r="C179" s="1157"/>
      <c r="D179" s="1157"/>
      <c r="E179" s="1157"/>
      <c r="F179" s="1157"/>
      <c r="G179" s="1157"/>
      <c r="H179" s="1157"/>
      <c r="I179" s="1157"/>
      <c r="J179" s="1157"/>
      <c r="K179" s="1157"/>
      <c r="L179" s="1157"/>
      <c r="M179" s="1157"/>
      <c r="N179" s="1157"/>
      <c r="O179" s="1157"/>
      <c r="P179" s="1157"/>
      <c r="Q179" s="1157"/>
      <c r="R179" s="1157"/>
      <c r="S179" s="1157"/>
      <c r="T179" s="902"/>
      <c r="U179" s="902"/>
      <c r="V179" s="902"/>
    </row>
    <row r="180" spans="1:22" ht="15.75" x14ac:dyDescent="0.25">
      <c r="A180" s="1157"/>
      <c r="B180" s="1157"/>
      <c r="C180" s="1157"/>
      <c r="D180" s="1157"/>
      <c r="E180" s="1157"/>
      <c r="F180" s="1157"/>
      <c r="G180" s="1157"/>
      <c r="H180" s="1157"/>
      <c r="I180" s="1157"/>
      <c r="J180" s="1157"/>
      <c r="K180" s="1157"/>
      <c r="L180" s="1157"/>
      <c r="M180" s="1157"/>
      <c r="N180" s="1157"/>
      <c r="O180" s="1157"/>
      <c r="P180" s="1157"/>
      <c r="Q180" s="1157"/>
      <c r="R180" s="1157"/>
      <c r="S180" s="1157"/>
      <c r="T180" s="902"/>
      <c r="U180" s="902"/>
      <c r="V180" s="902"/>
    </row>
    <row r="181" spans="1:22" ht="15.75" x14ac:dyDescent="0.25">
      <c r="A181" s="1157"/>
      <c r="B181" s="1157"/>
      <c r="C181" s="1157"/>
      <c r="D181" s="1157"/>
      <c r="E181" s="1157"/>
      <c r="F181" s="1157"/>
      <c r="G181" s="1157"/>
      <c r="H181" s="1157"/>
      <c r="I181" s="1157"/>
      <c r="J181" s="1157"/>
      <c r="K181" s="1157"/>
      <c r="L181" s="1157"/>
      <c r="M181" s="1157"/>
      <c r="N181" s="1157"/>
      <c r="O181" s="1157"/>
      <c r="P181" s="1157"/>
      <c r="Q181" s="1157"/>
      <c r="R181" s="1157"/>
      <c r="S181" s="1157"/>
      <c r="T181" s="902"/>
      <c r="U181" s="902"/>
      <c r="V181" s="902"/>
    </row>
    <row r="182" spans="1:22" ht="15.75" x14ac:dyDescent="0.25">
      <c r="A182" s="1157"/>
      <c r="B182" s="1157"/>
      <c r="C182" s="1157"/>
      <c r="D182" s="1157"/>
      <c r="E182" s="1158"/>
      <c r="F182" s="1158"/>
      <c r="G182" s="1158"/>
      <c r="H182" s="1158"/>
      <c r="I182" s="1158"/>
      <c r="J182" s="1158"/>
      <c r="K182" s="1158"/>
      <c r="L182" s="1158"/>
      <c r="M182" s="1158"/>
      <c r="N182" s="1158"/>
      <c r="O182" s="1158"/>
      <c r="P182" s="1158"/>
      <c r="Q182" s="1158"/>
      <c r="R182" s="1158"/>
      <c r="S182" s="1158"/>
      <c r="T182" s="902"/>
      <c r="U182" s="902"/>
      <c r="V182" s="902"/>
    </row>
    <row r="183" spans="1:22" ht="15.75" x14ac:dyDescent="0.25">
      <c r="A183" s="1157"/>
      <c r="B183" s="1157"/>
      <c r="C183" s="1157"/>
      <c r="D183" s="1157"/>
      <c r="E183" s="1157"/>
      <c r="F183" s="1157"/>
      <c r="G183" s="1157"/>
      <c r="H183" s="1157"/>
      <c r="I183" s="1157"/>
      <c r="J183" s="1157"/>
      <c r="K183" s="1157"/>
      <c r="L183" s="1157"/>
      <c r="M183" s="1157"/>
      <c r="N183" s="1157"/>
      <c r="O183" s="1157"/>
      <c r="P183" s="1157"/>
      <c r="Q183" s="1157"/>
      <c r="R183" s="1157"/>
      <c r="S183" s="1157"/>
      <c r="T183" s="902"/>
      <c r="U183" s="902"/>
      <c r="V183" s="902"/>
    </row>
    <row r="184" spans="1:22" ht="15.75" x14ac:dyDescent="0.25">
      <c r="A184" s="1157"/>
      <c r="B184" s="1157"/>
      <c r="C184" s="1157"/>
      <c r="D184" s="1157"/>
      <c r="E184" s="1157"/>
      <c r="F184" s="1157"/>
      <c r="G184" s="1157"/>
      <c r="H184" s="1157"/>
      <c r="I184" s="1157"/>
      <c r="J184" s="1157"/>
      <c r="K184" s="1157"/>
      <c r="L184" s="1157"/>
      <c r="M184" s="1157"/>
      <c r="N184" s="1157"/>
      <c r="O184" s="1157"/>
      <c r="P184" s="1157"/>
      <c r="Q184" s="1157"/>
      <c r="R184" s="1157"/>
      <c r="S184" s="1157"/>
      <c r="T184" s="902"/>
      <c r="U184" s="902"/>
      <c r="V184" s="902"/>
    </row>
    <row r="185" spans="1:22" ht="15.75" x14ac:dyDescent="0.25">
      <c r="A185" s="1157"/>
      <c r="B185" s="1157"/>
      <c r="C185" s="1157"/>
      <c r="D185" s="1157"/>
      <c r="E185" s="1161"/>
      <c r="F185" s="1161"/>
      <c r="G185" s="1157"/>
      <c r="H185" s="1157"/>
      <c r="I185" s="1157"/>
      <c r="J185" s="1157"/>
      <c r="K185" s="1157"/>
      <c r="L185" s="1157"/>
      <c r="M185" s="1157"/>
      <c r="N185" s="1157"/>
      <c r="O185" s="1157"/>
      <c r="P185" s="1157"/>
      <c r="Q185" s="1157"/>
      <c r="R185" s="1157"/>
      <c r="S185" s="1157"/>
      <c r="T185" s="902"/>
      <c r="U185" s="902"/>
      <c r="V185" s="902"/>
    </row>
    <row r="186" spans="1:22" ht="15.75" x14ac:dyDescent="0.25">
      <c r="A186" s="1157"/>
      <c r="B186" s="1157"/>
      <c r="C186" s="1157"/>
      <c r="D186" s="1157"/>
      <c r="E186" s="1161"/>
      <c r="F186" s="1161"/>
      <c r="G186" s="1157"/>
      <c r="H186" s="1157"/>
      <c r="I186" s="1157"/>
      <c r="J186" s="1157"/>
      <c r="K186" s="1157"/>
      <c r="L186" s="1157"/>
      <c r="M186" s="1157"/>
      <c r="N186" s="1157"/>
      <c r="O186" s="1157"/>
      <c r="P186" s="1157"/>
      <c r="Q186" s="1157"/>
      <c r="R186" s="1157"/>
      <c r="S186" s="1157"/>
      <c r="T186" s="902"/>
      <c r="U186" s="902"/>
      <c r="V186" s="902"/>
    </row>
    <row r="187" spans="1:22" ht="15.75" x14ac:dyDescent="0.25">
      <c r="A187" s="1157"/>
      <c r="B187" s="1157"/>
      <c r="C187" s="1157"/>
      <c r="D187" s="1157"/>
      <c r="E187" s="1161"/>
      <c r="F187" s="1161"/>
      <c r="G187" s="1157"/>
      <c r="H187" s="1157"/>
      <c r="I187" s="1157"/>
      <c r="J187" s="1157"/>
      <c r="K187" s="1157"/>
      <c r="L187" s="1157"/>
      <c r="M187" s="1157"/>
      <c r="N187" s="1157"/>
      <c r="O187" s="1157"/>
      <c r="P187" s="1157"/>
      <c r="Q187" s="1157"/>
      <c r="R187" s="1157"/>
      <c r="S187" s="1157"/>
      <c r="T187" s="902"/>
      <c r="U187" s="902"/>
      <c r="V187" s="902"/>
    </row>
    <row r="188" spans="1:22" ht="15.75" x14ac:dyDescent="0.25">
      <c r="A188" s="1157"/>
      <c r="B188" s="1157"/>
      <c r="C188" s="1157"/>
      <c r="D188" s="1157"/>
      <c r="E188" s="1161"/>
      <c r="F188" s="1161"/>
      <c r="G188" s="1157"/>
      <c r="H188" s="1157"/>
      <c r="I188" s="1157"/>
      <c r="J188" s="1157"/>
      <c r="K188" s="1157"/>
      <c r="L188" s="1157"/>
      <c r="M188" s="1157"/>
      <c r="N188" s="1157"/>
      <c r="O188" s="1157"/>
      <c r="P188" s="1157"/>
      <c r="Q188" s="1157"/>
      <c r="R188" s="1157"/>
      <c r="S188" s="1157"/>
      <c r="T188" s="902"/>
      <c r="U188" s="902"/>
      <c r="V188" s="902"/>
    </row>
    <row r="189" spans="1:22" ht="15.75" x14ac:dyDescent="0.25">
      <c r="A189" s="1157"/>
      <c r="B189" s="1157"/>
      <c r="C189" s="1157"/>
      <c r="D189" s="1157"/>
      <c r="E189" s="1162"/>
      <c r="F189" s="1161"/>
      <c r="G189" s="1157"/>
      <c r="H189" s="1157"/>
      <c r="I189" s="1157"/>
      <c r="J189" s="1157"/>
      <c r="K189" s="1157"/>
      <c r="L189" s="1157"/>
      <c r="M189" s="1157"/>
      <c r="N189" s="1157"/>
      <c r="O189" s="1157"/>
      <c r="P189" s="1157"/>
      <c r="Q189" s="1157"/>
      <c r="R189" s="1157"/>
      <c r="S189" s="1157"/>
      <c r="T189" s="902"/>
      <c r="U189" s="902"/>
      <c r="V189" s="902"/>
    </row>
    <row r="190" spans="1:22" ht="15.75" x14ac:dyDescent="0.25">
      <c r="A190" s="1157"/>
      <c r="B190" s="1157"/>
      <c r="C190" s="1157"/>
      <c r="D190" s="1157"/>
      <c r="E190" s="1161"/>
      <c r="F190" s="1161"/>
      <c r="G190" s="1157"/>
      <c r="H190" s="1157"/>
      <c r="I190" s="1157"/>
      <c r="J190" s="1157"/>
      <c r="K190" s="1157"/>
      <c r="L190" s="1157"/>
      <c r="M190" s="1157"/>
      <c r="N190" s="1157"/>
      <c r="O190" s="1157"/>
      <c r="P190" s="1157"/>
      <c r="Q190" s="1157"/>
      <c r="R190" s="1157"/>
      <c r="S190" s="1157"/>
      <c r="T190" s="902"/>
      <c r="U190" s="902"/>
      <c r="V190" s="902"/>
    </row>
    <row r="191" spans="1:22" ht="15.75" x14ac:dyDescent="0.25">
      <c r="A191" s="1157"/>
      <c r="B191" s="1157"/>
      <c r="C191" s="1157"/>
      <c r="D191" s="1157"/>
      <c r="E191" s="1157"/>
      <c r="F191" s="1157"/>
      <c r="G191" s="1157"/>
      <c r="H191" s="1157"/>
      <c r="I191" s="1157"/>
      <c r="J191" s="1157"/>
      <c r="K191" s="1157"/>
      <c r="L191" s="1157"/>
      <c r="M191" s="1157"/>
      <c r="N191" s="1157"/>
      <c r="O191" s="1157"/>
      <c r="P191" s="1157"/>
      <c r="Q191" s="1157"/>
      <c r="R191" s="1157"/>
      <c r="S191" s="1157"/>
      <c r="T191" s="902"/>
      <c r="U191" s="902"/>
      <c r="V191" s="902"/>
    </row>
    <row r="192" spans="1:22" ht="15.75" x14ac:dyDescent="0.25">
      <c r="A192" s="1157"/>
      <c r="B192" s="1157"/>
      <c r="C192" s="1157"/>
      <c r="D192" s="1157"/>
      <c r="E192" s="1157"/>
      <c r="F192" s="1157"/>
      <c r="G192" s="1157"/>
      <c r="H192" s="1157"/>
      <c r="I192" s="1157"/>
      <c r="J192" s="1157"/>
      <c r="K192" s="1157"/>
      <c r="L192" s="1157"/>
      <c r="M192" s="1157"/>
      <c r="N192" s="1157"/>
      <c r="O192" s="1157"/>
      <c r="P192" s="1157"/>
      <c r="Q192" s="1157"/>
      <c r="R192" s="1157"/>
      <c r="S192" s="1157"/>
      <c r="T192" s="902"/>
      <c r="U192" s="902"/>
      <c r="V192" s="902"/>
    </row>
    <row r="193" spans="1:22" ht="15.75" x14ac:dyDescent="0.25">
      <c r="A193" s="1157"/>
      <c r="B193" s="1157"/>
      <c r="C193" s="1157"/>
      <c r="D193" s="1157"/>
      <c r="E193" s="1157"/>
      <c r="F193" s="1157"/>
      <c r="G193" s="1157"/>
      <c r="H193" s="1157"/>
      <c r="I193" s="1157"/>
      <c r="J193" s="1157"/>
      <c r="K193" s="1157"/>
      <c r="L193" s="1157"/>
      <c r="M193" s="1157"/>
      <c r="N193" s="1157"/>
      <c r="O193" s="1157"/>
      <c r="P193" s="1157"/>
      <c r="Q193" s="1157"/>
      <c r="R193" s="1157"/>
      <c r="S193" s="1157"/>
      <c r="T193" s="902"/>
      <c r="U193" s="902"/>
      <c r="V193" s="902"/>
    </row>
    <row r="194" spans="1:22" ht="15.75" x14ac:dyDescent="0.25">
      <c r="A194" s="1157"/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902"/>
      <c r="U194" s="902"/>
      <c r="V194" s="902"/>
    </row>
    <row r="195" spans="1:22" ht="15.75" x14ac:dyDescent="0.25">
      <c r="A195" s="1157"/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902"/>
      <c r="U195" s="902"/>
      <c r="V195" s="902"/>
    </row>
    <row r="196" spans="1:22" ht="15.75" x14ac:dyDescent="0.25">
      <c r="A196" s="1157"/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902"/>
      <c r="U196" s="902"/>
      <c r="V196" s="902"/>
    </row>
    <row r="197" spans="1:22" ht="15.75" x14ac:dyDescent="0.25">
      <c r="A197" s="1157"/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902"/>
      <c r="U197" s="902"/>
      <c r="V197" s="902"/>
    </row>
    <row r="198" spans="1:22" ht="15.75" x14ac:dyDescent="0.25">
      <c r="A198" s="1157"/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902"/>
      <c r="U198" s="902"/>
      <c r="V198" s="902"/>
    </row>
    <row r="199" spans="1:22" ht="15.75" x14ac:dyDescent="0.25">
      <c r="A199" s="1157"/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902"/>
      <c r="U199" s="902"/>
      <c r="V199" s="902"/>
    </row>
    <row r="200" spans="1:22" ht="15.75" x14ac:dyDescent="0.25">
      <c r="A200" s="1157"/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902"/>
      <c r="U200" s="902"/>
      <c r="V200" s="902"/>
    </row>
    <row r="201" spans="1:22" ht="15.75" x14ac:dyDescent="0.25">
      <c r="A201" s="1157"/>
      <c r="B201" s="1157"/>
      <c r="C201" s="1157"/>
      <c r="D201" s="1157"/>
      <c r="E201" s="1157"/>
      <c r="F201" s="1157"/>
      <c r="G201" s="1157"/>
      <c r="H201" s="1157"/>
      <c r="I201" s="1157"/>
      <c r="J201" s="1157"/>
      <c r="K201" s="1157"/>
      <c r="L201" s="1157"/>
      <c r="M201" s="1157"/>
      <c r="N201" s="1157"/>
      <c r="O201" s="1157"/>
      <c r="P201" s="1157"/>
      <c r="Q201" s="1157"/>
      <c r="R201" s="1157"/>
      <c r="S201" s="1157"/>
      <c r="T201" s="902"/>
      <c r="U201" s="902"/>
      <c r="V201" s="902"/>
    </row>
    <row r="202" spans="1:22" ht="15.75" x14ac:dyDescent="0.25">
      <c r="A202" s="1157"/>
      <c r="B202" s="1157"/>
      <c r="C202" s="1157"/>
      <c r="D202" s="1157"/>
      <c r="E202" s="1157"/>
      <c r="F202" s="1157"/>
      <c r="G202" s="1157"/>
      <c r="H202" s="1157"/>
      <c r="I202" s="1157"/>
      <c r="J202" s="1157"/>
      <c r="K202" s="1157"/>
      <c r="L202" s="1157"/>
      <c r="M202" s="1157"/>
      <c r="N202" s="1157"/>
      <c r="O202" s="1157"/>
      <c r="P202" s="1157"/>
      <c r="Q202" s="1157"/>
      <c r="R202" s="1157"/>
      <c r="S202" s="1157"/>
      <c r="T202" s="902"/>
      <c r="U202" s="902"/>
      <c r="V202" s="902"/>
    </row>
    <row r="203" spans="1:22" ht="15.75" x14ac:dyDescent="0.25">
      <c r="A203" s="1157"/>
      <c r="B203" s="1157"/>
      <c r="C203" s="1157"/>
      <c r="D203" s="1157"/>
      <c r="E203" s="1157"/>
      <c r="F203" s="1157"/>
      <c r="G203" s="1157"/>
      <c r="H203" s="1157"/>
      <c r="I203" s="1157"/>
      <c r="J203" s="1157"/>
      <c r="K203" s="1157"/>
      <c r="L203" s="1157"/>
      <c r="M203" s="1157"/>
      <c r="N203" s="1157"/>
      <c r="O203" s="1157"/>
      <c r="P203" s="1157"/>
      <c r="Q203" s="1157"/>
      <c r="R203" s="1157"/>
      <c r="S203" s="1157"/>
      <c r="T203" s="902"/>
      <c r="U203" s="902"/>
      <c r="V203" s="902"/>
    </row>
    <row r="204" spans="1:22" ht="15.75" x14ac:dyDescent="0.25">
      <c r="A204" s="1157"/>
      <c r="B204" s="1157"/>
      <c r="C204" s="1157"/>
      <c r="D204" s="1157"/>
      <c r="E204" s="1157"/>
      <c r="F204" s="1157"/>
      <c r="G204" s="1157"/>
      <c r="H204" s="1157"/>
      <c r="I204" s="1157"/>
      <c r="J204" s="1157"/>
      <c r="K204" s="1157"/>
      <c r="L204" s="1157"/>
      <c r="M204" s="1157"/>
      <c r="N204" s="1157"/>
      <c r="O204" s="1157"/>
      <c r="P204" s="1157"/>
      <c r="Q204" s="1157"/>
      <c r="R204" s="1157"/>
      <c r="S204" s="1157"/>
      <c r="T204" s="902"/>
      <c r="U204" s="902"/>
      <c r="V204" s="902"/>
    </row>
    <row r="205" spans="1:22" ht="15.75" x14ac:dyDescent="0.25">
      <c r="A205" s="1157"/>
      <c r="B205" s="1157"/>
      <c r="C205" s="1157"/>
      <c r="D205" s="1157"/>
      <c r="E205" s="1157"/>
      <c r="F205" s="1157"/>
      <c r="G205" s="1157"/>
      <c r="H205" s="1157"/>
      <c r="I205" s="1157"/>
      <c r="J205" s="1157"/>
      <c r="K205" s="1157"/>
      <c r="L205" s="1157"/>
      <c r="M205" s="1157"/>
      <c r="N205" s="1157"/>
      <c r="O205" s="1157"/>
      <c r="P205" s="1157"/>
      <c r="Q205" s="1157"/>
      <c r="R205" s="1157"/>
      <c r="S205" s="1157"/>
      <c r="T205" s="902"/>
      <c r="U205" s="902"/>
      <c r="V205" s="902"/>
    </row>
    <row r="206" spans="1:22" ht="15.75" x14ac:dyDescent="0.25">
      <c r="A206" s="1157"/>
      <c r="B206" s="1157"/>
      <c r="C206" s="1157"/>
      <c r="D206" s="1157"/>
      <c r="E206" s="1157"/>
      <c r="F206" s="1157"/>
      <c r="G206" s="1157"/>
      <c r="H206" s="1157"/>
      <c r="I206" s="1157"/>
      <c r="J206" s="1157"/>
      <c r="K206" s="1157"/>
      <c r="L206" s="1157"/>
      <c r="M206" s="1157"/>
      <c r="N206" s="1157"/>
      <c r="O206" s="1157"/>
      <c r="P206" s="1157"/>
      <c r="Q206" s="1157"/>
      <c r="R206" s="1157"/>
      <c r="S206" s="1157"/>
      <c r="T206" s="902"/>
      <c r="U206" s="902"/>
      <c r="V206" s="902"/>
    </row>
    <row r="207" spans="1:22" ht="15.75" x14ac:dyDescent="0.25">
      <c r="A207" s="1157"/>
      <c r="B207" s="1157"/>
      <c r="C207" s="1157"/>
      <c r="D207" s="1157"/>
      <c r="E207" s="1157"/>
      <c r="F207" s="1157"/>
      <c r="G207" s="1157"/>
      <c r="H207" s="1157"/>
      <c r="I207" s="1157"/>
      <c r="J207" s="1157"/>
      <c r="K207" s="1157"/>
      <c r="L207" s="1157"/>
      <c r="M207" s="1157"/>
      <c r="N207" s="1157"/>
      <c r="O207" s="1157"/>
      <c r="P207" s="1157"/>
      <c r="Q207" s="1157"/>
      <c r="R207" s="1157"/>
      <c r="S207" s="1157"/>
      <c r="T207" s="902"/>
      <c r="U207" s="902"/>
      <c r="V207" s="902"/>
    </row>
    <row r="208" spans="1:22" ht="15.75" x14ac:dyDescent="0.25">
      <c r="A208" s="1157"/>
      <c r="B208" s="1157"/>
      <c r="C208" s="1157"/>
      <c r="D208" s="1157"/>
      <c r="E208" s="1157"/>
      <c r="F208" s="1157"/>
      <c r="G208" s="1157"/>
      <c r="H208" s="1157"/>
      <c r="I208" s="1157"/>
      <c r="J208" s="1157"/>
      <c r="K208" s="1157"/>
      <c r="L208" s="1157"/>
      <c r="M208" s="1157"/>
      <c r="N208" s="1157"/>
      <c r="O208" s="1157"/>
      <c r="P208" s="1157"/>
      <c r="Q208" s="1157"/>
      <c r="R208" s="1157"/>
      <c r="S208" s="1157"/>
      <c r="T208" s="902"/>
      <c r="U208" s="902"/>
      <c r="V208" s="902"/>
    </row>
    <row r="209" spans="1:22" ht="15.75" x14ac:dyDescent="0.25">
      <c r="A209" s="1157"/>
      <c r="B209" s="1157"/>
      <c r="C209" s="1157"/>
      <c r="D209" s="1157"/>
      <c r="E209" s="1157"/>
      <c r="F209" s="1157"/>
      <c r="G209" s="1157"/>
      <c r="H209" s="1157"/>
      <c r="I209" s="1157"/>
      <c r="J209" s="1157"/>
      <c r="K209" s="1157"/>
      <c r="L209" s="1157"/>
      <c r="M209" s="1157"/>
      <c r="N209" s="1157"/>
      <c r="O209" s="1157"/>
      <c r="P209" s="1157"/>
      <c r="Q209" s="1157"/>
      <c r="R209" s="1157"/>
      <c r="S209" s="1157"/>
      <c r="T209" s="902"/>
      <c r="U209" s="902"/>
      <c r="V209" s="902"/>
    </row>
    <row r="210" spans="1:22" ht="15.75" x14ac:dyDescent="0.25">
      <c r="A210" s="1157"/>
      <c r="B210" s="1157"/>
      <c r="C210" s="1157"/>
      <c r="D210" s="1157"/>
      <c r="E210" s="1157"/>
      <c r="F210" s="1157"/>
      <c r="G210" s="1157"/>
      <c r="H210" s="1157"/>
      <c r="I210" s="1157"/>
      <c r="J210" s="1157"/>
      <c r="K210" s="1157"/>
      <c r="L210" s="1157"/>
      <c r="M210" s="1157"/>
      <c r="N210" s="1157"/>
      <c r="O210" s="1157"/>
      <c r="P210" s="1157"/>
      <c r="Q210" s="1157"/>
      <c r="R210" s="1157"/>
      <c r="S210" s="1157"/>
      <c r="T210" s="902"/>
      <c r="U210" s="902"/>
      <c r="V210" s="902"/>
    </row>
    <row r="211" spans="1:22" ht="15.75" x14ac:dyDescent="0.25">
      <c r="A211" s="1157"/>
      <c r="B211" s="1157"/>
      <c r="C211" s="1157"/>
      <c r="D211" s="1157"/>
      <c r="E211" s="1157"/>
      <c r="F211" s="1157"/>
      <c r="G211" s="1157"/>
      <c r="H211" s="1157"/>
      <c r="I211" s="1157"/>
      <c r="J211" s="1157"/>
      <c r="K211" s="1157"/>
      <c r="L211" s="1157"/>
      <c r="M211" s="1157"/>
      <c r="N211" s="1157"/>
      <c r="O211" s="1157"/>
      <c r="P211" s="1157"/>
      <c r="Q211" s="1157"/>
      <c r="R211" s="1157"/>
      <c r="S211" s="1157"/>
      <c r="T211" s="902"/>
      <c r="U211" s="902"/>
      <c r="V211" s="902"/>
    </row>
    <row r="212" spans="1:22" ht="15.75" x14ac:dyDescent="0.25">
      <c r="A212" s="1157"/>
      <c r="B212" s="1157"/>
      <c r="C212" s="1157"/>
      <c r="D212" s="1157"/>
      <c r="E212" s="1157"/>
      <c r="F212" s="1157"/>
      <c r="G212" s="1157"/>
      <c r="H212" s="1157"/>
      <c r="I212" s="1157"/>
      <c r="J212" s="1157"/>
      <c r="K212" s="1157"/>
      <c r="L212" s="1157"/>
      <c r="M212" s="1157"/>
      <c r="N212" s="1157"/>
      <c r="O212" s="1157"/>
      <c r="P212" s="1157"/>
      <c r="Q212" s="1157"/>
      <c r="R212" s="1157"/>
      <c r="S212" s="1157"/>
      <c r="T212" s="902"/>
      <c r="U212" s="902"/>
      <c r="V212" s="902"/>
    </row>
    <row r="213" spans="1:22" ht="15.75" x14ac:dyDescent="0.25">
      <c r="A213" s="1157"/>
      <c r="B213" s="1157"/>
      <c r="C213" s="1157"/>
      <c r="D213" s="1157"/>
      <c r="E213" s="1157"/>
      <c r="F213" s="1157"/>
      <c r="G213" s="1157"/>
      <c r="H213" s="1157"/>
      <c r="I213" s="1157"/>
      <c r="J213" s="1157"/>
      <c r="K213" s="1157"/>
      <c r="L213" s="1157"/>
      <c r="M213" s="1157"/>
      <c r="N213" s="1157"/>
      <c r="O213" s="1157"/>
      <c r="P213" s="1157"/>
      <c r="Q213" s="1157"/>
      <c r="R213" s="1157"/>
      <c r="S213" s="1157"/>
      <c r="T213" s="902"/>
      <c r="U213" s="902"/>
      <c r="V213" s="902"/>
    </row>
    <row r="214" spans="1:22" ht="15.75" x14ac:dyDescent="0.25">
      <c r="A214" s="1157"/>
      <c r="B214" s="1157"/>
      <c r="C214" s="1157"/>
      <c r="D214" s="1157"/>
      <c r="E214" s="1157"/>
      <c r="F214" s="1157"/>
      <c r="G214" s="1157"/>
      <c r="H214" s="1157"/>
      <c r="I214" s="1157"/>
      <c r="J214" s="1157"/>
      <c r="K214" s="1157"/>
      <c r="L214" s="1157"/>
      <c r="M214" s="1157"/>
      <c r="N214" s="1157"/>
      <c r="O214" s="1157"/>
      <c r="P214" s="1157"/>
      <c r="Q214" s="1157"/>
      <c r="R214" s="1157"/>
      <c r="S214" s="1157"/>
      <c r="T214" s="902"/>
      <c r="U214" s="902"/>
      <c r="V214" s="902"/>
    </row>
    <row r="215" spans="1:22" ht="15.75" x14ac:dyDescent="0.25">
      <c r="A215" s="1157"/>
      <c r="B215" s="1157"/>
      <c r="C215" s="1157"/>
      <c r="D215" s="1157"/>
      <c r="E215" s="1157"/>
      <c r="F215" s="1157"/>
      <c r="G215" s="1157"/>
      <c r="H215" s="1157"/>
      <c r="I215" s="1157"/>
      <c r="J215" s="1157"/>
      <c r="K215" s="1157"/>
      <c r="L215" s="1157"/>
      <c r="M215" s="1157"/>
      <c r="N215" s="1157"/>
      <c r="O215" s="1157"/>
      <c r="P215" s="1157"/>
      <c r="Q215" s="1157"/>
      <c r="R215" s="1157"/>
      <c r="S215" s="1157"/>
      <c r="T215" s="902"/>
      <c r="U215" s="902"/>
      <c r="V215" s="902"/>
    </row>
    <row r="216" spans="1:22" ht="15.75" x14ac:dyDescent="0.25">
      <c r="A216" s="1157"/>
      <c r="B216" s="1157"/>
      <c r="C216" s="1157"/>
      <c r="D216" s="1157"/>
      <c r="E216" s="1157"/>
      <c r="F216" s="1157"/>
      <c r="G216" s="1157"/>
      <c r="H216" s="1157"/>
      <c r="I216" s="1157"/>
      <c r="J216" s="1157"/>
      <c r="K216" s="1157"/>
      <c r="L216" s="1157"/>
      <c r="M216" s="1157"/>
      <c r="N216" s="1157"/>
      <c r="O216" s="1157"/>
      <c r="P216" s="1157"/>
      <c r="Q216" s="1157"/>
      <c r="R216" s="1157"/>
      <c r="S216" s="1157"/>
      <c r="T216" s="902"/>
      <c r="U216" s="902"/>
      <c r="V216" s="902"/>
    </row>
    <row r="217" spans="1:22" ht="15.75" x14ac:dyDescent="0.25">
      <c r="A217" s="1157"/>
      <c r="B217" s="1157"/>
      <c r="C217" s="1157"/>
      <c r="D217" s="1157"/>
      <c r="E217" s="1157"/>
      <c r="F217" s="1157"/>
      <c r="G217" s="1157"/>
      <c r="H217" s="1157"/>
      <c r="I217" s="1157"/>
      <c r="J217" s="1157"/>
      <c r="K217" s="1157"/>
      <c r="L217" s="1157"/>
      <c r="M217" s="1157"/>
      <c r="N217" s="1157"/>
      <c r="O217" s="1157"/>
      <c r="P217" s="1157"/>
      <c r="Q217" s="1157"/>
      <c r="R217" s="1157"/>
      <c r="S217" s="1157"/>
      <c r="T217" s="902"/>
      <c r="U217" s="902"/>
      <c r="V217" s="902"/>
    </row>
    <row r="218" spans="1:22" ht="15.75" x14ac:dyDescent="0.25">
      <c r="A218" s="1157"/>
      <c r="B218" s="1157"/>
      <c r="C218" s="1157"/>
      <c r="D218" s="1157"/>
      <c r="E218" s="1157"/>
      <c r="F218" s="1157"/>
      <c r="G218" s="1157"/>
      <c r="H218" s="1157"/>
      <c r="I218" s="1157"/>
      <c r="J218" s="1157"/>
      <c r="K218" s="1157"/>
      <c r="L218" s="1157"/>
      <c r="M218" s="1157"/>
      <c r="N218" s="1157"/>
      <c r="O218" s="1157"/>
      <c r="P218" s="1157"/>
      <c r="Q218" s="1157"/>
      <c r="R218" s="1157"/>
      <c r="S218" s="1157"/>
      <c r="T218" s="902"/>
      <c r="U218" s="902"/>
      <c r="V218" s="902"/>
    </row>
    <row r="219" spans="1:22" ht="15.75" x14ac:dyDescent="0.25">
      <c r="A219" s="1157"/>
      <c r="B219" s="1157"/>
      <c r="C219" s="1157"/>
      <c r="D219" s="1157"/>
      <c r="E219" s="1157"/>
      <c r="F219" s="1157"/>
      <c r="G219" s="1157"/>
      <c r="H219" s="1157"/>
      <c r="I219" s="1157"/>
      <c r="J219" s="1157"/>
      <c r="K219" s="1157"/>
      <c r="L219" s="1157"/>
      <c r="M219" s="1157"/>
      <c r="N219" s="1157"/>
      <c r="O219" s="1157"/>
      <c r="P219" s="1157"/>
      <c r="Q219" s="1157"/>
      <c r="R219" s="1157"/>
      <c r="S219" s="1157"/>
      <c r="T219" s="902"/>
      <c r="U219" s="902"/>
      <c r="V219" s="902"/>
    </row>
    <row r="220" spans="1:22" ht="15.75" x14ac:dyDescent="0.25">
      <c r="A220" s="1157"/>
      <c r="B220" s="1157"/>
      <c r="C220" s="1157"/>
      <c r="D220" s="1157"/>
      <c r="E220" s="1157"/>
      <c r="F220" s="1157"/>
      <c r="G220" s="1157"/>
      <c r="H220" s="1157"/>
      <c r="I220" s="1157"/>
      <c r="J220" s="1157"/>
      <c r="K220" s="1157"/>
      <c r="L220" s="1157"/>
      <c r="M220" s="1157"/>
      <c r="N220" s="1157"/>
      <c r="O220" s="1157"/>
      <c r="P220" s="1157"/>
      <c r="Q220" s="1157"/>
      <c r="R220" s="1157"/>
      <c r="S220" s="1157"/>
      <c r="T220" s="902"/>
      <c r="U220" s="902"/>
      <c r="V220" s="902"/>
    </row>
    <row r="221" spans="1:22" ht="15.75" x14ac:dyDescent="0.25">
      <c r="A221" s="1157"/>
      <c r="B221" s="1157"/>
      <c r="C221" s="1157"/>
      <c r="D221" s="1157"/>
      <c r="E221" s="1157"/>
      <c r="F221" s="1157"/>
      <c r="G221" s="1157"/>
      <c r="H221" s="1157"/>
      <c r="I221" s="1157"/>
      <c r="J221" s="1157"/>
      <c r="K221" s="1157"/>
      <c r="L221" s="1157"/>
      <c r="M221" s="1157"/>
      <c r="N221" s="1157"/>
      <c r="O221" s="1157"/>
      <c r="P221" s="1157"/>
      <c r="Q221" s="1157"/>
      <c r="R221" s="1157"/>
      <c r="S221" s="1157"/>
      <c r="T221" s="902"/>
      <c r="U221" s="902"/>
      <c r="V221" s="902"/>
    </row>
    <row r="222" spans="1:22" ht="15.75" x14ac:dyDescent="0.25">
      <c r="A222" s="1157"/>
      <c r="B222" s="1157"/>
      <c r="C222" s="1157"/>
      <c r="D222" s="1157"/>
      <c r="E222" s="1157"/>
      <c r="F222" s="1157"/>
      <c r="G222" s="1157"/>
      <c r="H222" s="1157"/>
      <c r="I222" s="1157"/>
      <c r="J222" s="1157"/>
      <c r="K222" s="1157"/>
      <c r="L222" s="1157"/>
      <c r="M222" s="1157"/>
      <c r="N222" s="1157"/>
      <c r="O222" s="1157"/>
      <c r="P222" s="1157"/>
      <c r="Q222" s="1157"/>
      <c r="R222" s="1157"/>
      <c r="S222" s="1157"/>
      <c r="T222" s="902"/>
      <c r="U222" s="902"/>
      <c r="V222" s="902"/>
    </row>
    <row r="223" spans="1:22" ht="15.75" x14ac:dyDescent="0.25">
      <c r="A223" s="1157"/>
      <c r="B223" s="1157"/>
      <c r="C223" s="1157"/>
      <c r="D223" s="1157"/>
      <c r="E223" s="1157"/>
      <c r="F223" s="1157"/>
      <c r="G223" s="1157"/>
      <c r="H223" s="1157"/>
      <c r="I223" s="1157"/>
      <c r="J223" s="1157"/>
      <c r="K223" s="1157"/>
      <c r="L223" s="1157"/>
      <c r="M223" s="1157"/>
      <c r="N223" s="1157"/>
      <c r="O223" s="1157"/>
      <c r="P223" s="1157"/>
      <c r="Q223" s="1157"/>
      <c r="R223" s="1157"/>
      <c r="S223" s="1157"/>
      <c r="T223" s="902"/>
      <c r="U223" s="902"/>
      <c r="V223" s="902"/>
    </row>
    <row r="224" spans="1:22" ht="15.75" x14ac:dyDescent="0.25">
      <c r="A224" s="1157"/>
      <c r="B224" s="1157"/>
      <c r="C224" s="1157"/>
      <c r="D224" s="1157"/>
      <c r="E224" s="1157"/>
      <c r="F224" s="1157"/>
      <c r="G224" s="1157"/>
      <c r="H224" s="1157"/>
      <c r="I224" s="1157"/>
      <c r="J224" s="1157"/>
      <c r="K224" s="1157"/>
      <c r="L224" s="1157"/>
      <c r="M224" s="1157"/>
      <c r="N224" s="1157"/>
      <c r="O224" s="1157"/>
      <c r="P224" s="1157"/>
      <c r="Q224" s="1157"/>
      <c r="R224" s="1157"/>
      <c r="S224" s="1157"/>
      <c r="T224" s="902"/>
      <c r="U224" s="902"/>
      <c r="V224" s="902"/>
    </row>
    <row r="225" spans="1:22" ht="15.75" x14ac:dyDescent="0.25">
      <c r="A225" s="1157"/>
      <c r="B225" s="1157"/>
      <c r="C225" s="1157"/>
      <c r="D225" s="1157"/>
      <c r="E225" s="1157"/>
      <c r="F225" s="1157"/>
      <c r="G225" s="1157"/>
      <c r="H225" s="1157"/>
      <c r="I225" s="1157"/>
      <c r="J225" s="1157"/>
      <c r="K225" s="1157"/>
      <c r="L225" s="1157"/>
      <c r="M225" s="1157"/>
      <c r="N225" s="1157"/>
      <c r="O225" s="1157"/>
      <c r="P225" s="1157"/>
      <c r="Q225" s="1157"/>
      <c r="R225" s="1157"/>
      <c r="S225" s="1157"/>
      <c r="T225" s="902"/>
      <c r="U225" s="902"/>
      <c r="V225" s="902"/>
    </row>
    <row r="226" spans="1:22" ht="15.75" x14ac:dyDescent="0.25">
      <c r="A226" s="1157"/>
      <c r="B226" s="1157"/>
      <c r="C226" s="1157"/>
      <c r="D226" s="1157"/>
      <c r="E226" s="1157"/>
      <c r="F226" s="1157"/>
      <c r="G226" s="1157"/>
      <c r="H226" s="1157"/>
      <c r="I226" s="1157"/>
      <c r="J226" s="1157"/>
      <c r="K226" s="1157"/>
      <c r="L226" s="1157"/>
      <c r="M226" s="1157"/>
      <c r="N226" s="1157"/>
      <c r="O226" s="1157"/>
      <c r="P226" s="1157"/>
      <c r="Q226" s="1157"/>
      <c r="R226" s="1157"/>
      <c r="S226" s="1157"/>
      <c r="T226" s="902"/>
      <c r="U226" s="902"/>
      <c r="V226" s="902"/>
    </row>
    <row r="227" spans="1:22" ht="15.75" x14ac:dyDescent="0.25">
      <c r="A227" s="1157"/>
      <c r="B227" s="1157"/>
      <c r="C227" s="1157"/>
      <c r="D227" s="1157"/>
      <c r="E227" s="1157"/>
      <c r="F227" s="1157"/>
      <c r="G227" s="1157"/>
      <c r="H227" s="1157"/>
      <c r="I227" s="1157"/>
      <c r="J227" s="1157"/>
      <c r="K227" s="1157"/>
      <c r="L227" s="1157"/>
      <c r="M227" s="1157"/>
      <c r="N227" s="1157"/>
      <c r="O227" s="1157"/>
      <c r="P227" s="1157"/>
      <c r="Q227" s="1157"/>
      <c r="R227" s="1157"/>
      <c r="S227" s="1157"/>
      <c r="T227" s="902"/>
      <c r="U227" s="902"/>
      <c r="V227" s="902"/>
    </row>
    <row r="228" spans="1:22" ht="15.75" x14ac:dyDescent="0.25">
      <c r="A228" s="1157"/>
      <c r="B228" s="1157"/>
      <c r="C228" s="1157"/>
      <c r="D228" s="1157"/>
      <c r="E228" s="1157"/>
      <c r="F228" s="1157"/>
      <c r="G228" s="1157"/>
      <c r="H228" s="1157"/>
      <c r="I228" s="1157"/>
      <c r="J228" s="1157"/>
      <c r="K228" s="1157"/>
      <c r="L228" s="1157"/>
      <c r="M228" s="1157"/>
      <c r="N228" s="1157"/>
      <c r="O228" s="1157"/>
      <c r="P228" s="1157"/>
      <c r="Q228" s="1157"/>
      <c r="R228" s="1157"/>
      <c r="S228" s="1157"/>
      <c r="T228" s="902"/>
      <c r="U228" s="902"/>
      <c r="V228" s="902"/>
    </row>
    <row r="229" spans="1:22" ht="15.75" x14ac:dyDescent="0.25">
      <c r="A229" s="1157"/>
      <c r="B229" s="1157"/>
      <c r="C229" s="1157"/>
      <c r="D229" s="1157"/>
      <c r="E229" s="1157"/>
      <c r="F229" s="1157"/>
      <c r="G229" s="1157"/>
      <c r="H229" s="1157"/>
      <c r="I229" s="1157"/>
      <c r="J229" s="1157"/>
      <c r="K229" s="1157"/>
      <c r="L229" s="1157"/>
      <c r="M229" s="1157"/>
      <c r="N229" s="1157"/>
      <c r="O229" s="1157"/>
      <c r="P229" s="1157"/>
      <c r="Q229" s="1157"/>
      <c r="R229" s="1157"/>
      <c r="S229" s="1157"/>
      <c r="T229" s="902"/>
      <c r="U229" s="902"/>
      <c r="V229" s="902"/>
    </row>
    <row r="230" spans="1:22" ht="15.75" x14ac:dyDescent="0.25">
      <c r="A230" s="1157"/>
      <c r="B230" s="1157"/>
      <c r="C230" s="1157"/>
      <c r="D230" s="1157"/>
      <c r="E230" s="1157"/>
      <c r="F230" s="1157"/>
      <c r="G230" s="1157"/>
      <c r="H230" s="1157"/>
      <c r="I230" s="1157"/>
      <c r="J230" s="1157"/>
      <c r="K230" s="1157"/>
      <c r="L230" s="1157"/>
      <c r="M230" s="1157"/>
      <c r="N230" s="1157"/>
      <c r="O230" s="1157"/>
      <c r="P230" s="1157"/>
      <c r="Q230" s="1157"/>
      <c r="R230" s="1157"/>
      <c r="S230" s="1157"/>
      <c r="T230" s="902"/>
      <c r="U230" s="902"/>
      <c r="V230" s="902"/>
    </row>
    <row r="231" spans="1:22" ht="15.75" x14ac:dyDescent="0.25">
      <c r="A231" s="1157"/>
      <c r="B231" s="1157"/>
      <c r="C231" s="1157"/>
      <c r="D231" s="1157"/>
      <c r="E231" s="1157"/>
      <c r="F231" s="1157"/>
      <c r="G231" s="1157"/>
      <c r="H231" s="1157"/>
      <c r="I231" s="1157"/>
      <c r="J231" s="1157"/>
      <c r="K231" s="1157"/>
      <c r="L231" s="1157"/>
      <c r="M231" s="1157"/>
      <c r="N231" s="1157"/>
      <c r="O231" s="1157"/>
      <c r="P231" s="1157"/>
      <c r="Q231" s="1157"/>
      <c r="R231" s="1157"/>
      <c r="S231" s="1157"/>
      <c r="T231" s="902"/>
      <c r="U231" s="902"/>
      <c r="V231" s="902"/>
    </row>
    <row r="232" spans="1:22" ht="15.75" x14ac:dyDescent="0.25">
      <c r="A232" s="1157"/>
      <c r="B232" s="1157"/>
      <c r="C232" s="1157"/>
      <c r="D232" s="1157"/>
      <c r="E232" s="1157"/>
      <c r="F232" s="1157"/>
      <c r="G232" s="1157"/>
      <c r="H232" s="1157"/>
      <c r="I232" s="1157"/>
      <c r="J232" s="1157"/>
      <c r="K232" s="1157"/>
      <c r="L232" s="1157"/>
      <c r="M232" s="1157"/>
      <c r="N232" s="1157"/>
      <c r="O232" s="1157"/>
      <c r="P232" s="1157"/>
      <c r="Q232" s="1157"/>
      <c r="R232" s="1157"/>
      <c r="S232" s="1157"/>
      <c r="T232" s="902"/>
      <c r="U232" s="902"/>
      <c r="V232" s="902"/>
    </row>
    <row r="233" spans="1:22" ht="15.75" x14ac:dyDescent="0.25">
      <c r="A233" s="1157"/>
      <c r="B233" s="1157"/>
      <c r="C233" s="1157"/>
      <c r="D233" s="1157"/>
      <c r="E233" s="1157"/>
      <c r="F233" s="1157"/>
      <c r="G233" s="1157"/>
      <c r="H233" s="1157"/>
      <c r="I233" s="1157"/>
      <c r="J233" s="1157"/>
      <c r="K233" s="1157"/>
      <c r="L233" s="1157"/>
      <c r="M233" s="1157"/>
      <c r="N233" s="1157"/>
      <c r="O233" s="1157"/>
      <c r="P233" s="1157"/>
      <c r="Q233" s="1157"/>
      <c r="R233" s="1157"/>
      <c r="S233" s="1157"/>
      <c r="T233" s="902"/>
      <c r="U233" s="902"/>
      <c r="V233" s="902"/>
    </row>
    <row r="234" spans="1:22" ht="15.75" x14ac:dyDescent="0.25">
      <c r="A234" s="1157"/>
      <c r="B234" s="1157"/>
      <c r="C234" s="1157"/>
      <c r="D234" s="1157"/>
      <c r="E234" s="1157"/>
      <c r="F234" s="1157"/>
      <c r="G234" s="1157"/>
      <c r="H234" s="1157"/>
      <c r="I234" s="1157"/>
      <c r="J234" s="1157"/>
      <c r="K234" s="1157"/>
      <c r="L234" s="1157"/>
      <c r="M234" s="1157"/>
      <c r="N234" s="1157"/>
      <c r="O234" s="1157"/>
      <c r="P234" s="1157"/>
      <c r="Q234" s="1157"/>
      <c r="R234" s="1157"/>
      <c r="S234" s="1157"/>
      <c r="T234" s="902"/>
      <c r="U234" s="902"/>
      <c r="V234" s="902"/>
    </row>
    <row r="235" spans="1:22" ht="15.75" x14ac:dyDescent="0.25">
      <c r="A235" s="1157"/>
      <c r="B235" s="1157"/>
      <c r="C235" s="1157"/>
      <c r="D235" s="1157"/>
      <c r="E235" s="1157"/>
      <c r="F235" s="1157"/>
      <c r="G235" s="1157"/>
      <c r="H235" s="1157"/>
      <c r="I235" s="1157"/>
      <c r="J235" s="1157"/>
      <c r="K235" s="1157"/>
      <c r="L235" s="1157"/>
      <c r="M235" s="1157"/>
      <c r="N235" s="1157"/>
      <c r="O235" s="1157"/>
      <c r="P235" s="1157"/>
      <c r="Q235" s="1157"/>
      <c r="R235" s="1157"/>
      <c r="S235" s="1157"/>
      <c r="T235" s="902"/>
      <c r="U235" s="902"/>
      <c r="V235" s="902"/>
    </row>
    <row r="236" spans="1:22" ht="15.75" x14ac:dyDescent="0.25">
      <c r="A236" s="1157"/>
      <c r="B236" s="1157"/>
      <c r="C236" s="1157"/>
      <c r="D236" s="1157"/>
      <c r="E236" s="1157"/>
      <c r="F236" s="1157"/>
      <c r="G236" s="1157"/>
      <c r="H236" s="1157"/>
      <c r="I236" s="1157"/>
      <c r="J236" s="1157"/>
      <c r="K236" s="1157"/>
      <c r="L236" s="1157"/>
      <c r="M236" s="1157"/>
      <c r="N236" s="1157"/>
      <c r="O236" s="1157"/>
      <c r="P236" s="1157"/>
      <c r="Q236" s="1157"/>
      <c r="R236" s="1157"/>
      <c r="S236" s="1157"/>
      <c r="T236" s="902"/>
      <c r="U236" s="902"/>
      <c r="V236" s="902"/>
    </row>
    <row r="237" spans="1:22" ht="15.75" x14ac:dyDescent="0.25">
      <c r="A237" s="1157"/>
      <c r="B237" s="1157"/>
      <c r="C237" s="1157"/>
      <c r="D237" s="1157"/>
      <c r="E237" s="1157"/>
      <c r="F237" s="1157"/>
      <c r="G237" s="1157"/>
      <c r="H237" s="1157"/>
      <c r="I237" s="1157"/>
      <c r="J237" s="1157"/>
      <c r="K237" s="1157"/>
      <c r="L237" s="1157"/>
      <c r="M237" s="1157"/>
      <c r="N237" s="1157"/>
      <c r="O237" s="1157"/>
      <c r="P237" s="1157"/>
      <c r="Q237" s="1157"/>
      <c r="R237" s="1157"/>
      <c r="S237" s="1157"/>
      <c r="T237" s="902"/>
      <c r="U237" s="902"/>
      <c r="V237" s="902"/>
    </row>
    <row r="238" spans="1:22" ht="15.75" x14ac:dyDescent="0.25">
      <c r="A238" s="1157"/>
      <c r="B238" s="1157"/>
      <c r="C238" s="1157"/>
      <c r="D238" s="1157"/>
      <c r="E238" s="1157"/>
      <c r="F238" s="1157"/>
      <c r="G238" s="1157"/>
      <c r="H238" s="1157"/>
      <c r="I238" s="1157"/>
      <c r="J238" s="1157"/>
      <c r="K238" s="1157"/>
      <c r="L238" s="1157"/>
      <c r="M238" s="1157"/>
      <c r="N238" s="1157"/>
      <c r="O238" s="1157"/>
      <c r="P238" s="1157"/>
      <c r="Q238" s="1157"/>
      <c r="R238" s="1157"/>
      <c r="S238" s="1157"/>
      <c r="T238" s="902"/>
      <c r="U238" s="902"/>
      <c r="V238" s="902"/>
    </row>
    <row r="239" spans="1:22" ht="15.75" x14ac:dyDescent="0.25">
      <c r="A239" s="1157"/>
      <c r="B239" s="1157"/>
      <c r="C239" s="1157"/>
      <c r="D239" s="1157"/>
      <c r="E239" s="1157"/>
      <c r="F239" s="1157"/>
      <c r="G239" s="1157"/>
      <c r="H239" s="1157"/>
      <c r="I239" s="1157"/>
      <c r="J239" s="1157"/>
      <c r="K239" s="1157"/>
      <c r="L239" s="1157"/>
      <c r="M239" s="1157"/>
      <c r="N239" s="1157"/>
      <c r="O239" s="1157"/>
      <c r="P239" s="1157"/>
      <c r="Q239" s="1157"/>
      <c r="R239" s="1157"/>
      <c r="S239" s="1157"/>
      <c r="T239" s="902"/>
      <c r="U239" s="902"/>
      <c r="V239" s="902"/>
    </row>
    <row r="240" spans="1:22" ht="15.75" x14ac:dyDescent="0.25">
      <c r="A240" s="1157"/>
      <c r="B240" s="1157"/>
      <c r="C240" s="1157"/>
      <c r="D240" s="1157"/>
      <c r="E240" s="1157"/>
      <c r="F240" s="1157"/>
      <c r="G240" s="1157"/>
      <c r="H240" s="1157"/>
      <c r="I240" s="1157"/>
      <c r="J240" s="1157"/>
      <c r="K240" s="1157"/>
      <c r="L240" s="1157"/>
      <c r="M240" s="1157"/>
      <c r="N240" s="1157"/>
      <c r="O240" s="1157"/>
      <c r="P240" s="1157"/>
      <c r="Q240" s="1157"/>
      <c r="R240" s="1157"/>
      <c r="S240" s="1157"/>
      <c r="T240" s="902"/>
      <c r="U240" s="902"/>
      <c r="V240" s="902"/>
    </row>
    <row r="241" spans="1:22" ht="15.75" x14ac:dyDescent="0.25">
      <c r="A241" s="1157"/>
      <c r="B241" s="1157"/>
      <c r="C241" s="1157"/>
      <c r="D241" s="1157"/>
      <c r="E241" s="1157"/>
      <c r="F241" s="1157"/>
      <c r="G241" s="1157"/>
      <c r="H241" s="1157"/>
      <c r="I241" s="1157"/>
      <c r="J241" s="1157"/>
      <c r="K241" s="1157"/>
      <c r="L241" s="1157"/>
      <c r="M241" s="1157"/>
      <c r="N241" s="1157"/>
      <c r="O241" s="1157"/>
      <c r="P241" s="1157"/>
      <c r="Q241" s="1157"/>
      <c r="R241" s="1157"/>
      <c r="S241" s="1157"/>
      <c r="T241" s="902"/>
      <c r="U241" s="902"/>
      <c r="V241" s="902"/>
    </row>
    <row r="242" spans="1:22" ht="15.75" x14ac:dyDescent="0.25">
      <c r="A242" s="1157"/>
      <c r="B242" s="1157"/>
      <c r="C242" s="1157"/>
      <c r="D242" s="1157"/>
      <c r="E242" s="1157"/>
      <c r="F242" s="1157"/>
      <c r="G242" s="1157"/>
      <c r="H242" s="1157"/>
      <c r="I242" s="1157"/>
      <c r="J242" s="1157"/>
      <c r="K242" s="1157"/>
      <c r="L242" s="1157"/>
      <c r="M242" s="1157"/>
      <c r="N242" s="1157"/>
      <c r="O242" s="1157"/>
      <c r="P242" s="1157"/>
      <c r="Q242" s="1157"/>
      <c r="R242" s="1157"/>
      <c r="S242" s="1157"/>
      <c r="T242" s="902"/>
      <c r="U242" s="902"/>
      <c r="V242" s="902"/>
    </row>
    <row r="243" spans="1:22" ht="15.75" x14ac:dyDescent="0.25">
      <c r="A243" s="1157"/>
      <c r="B243" s="1157"/>
      <c r="C243" s="1157"/>
      <c r="D243" s="1157"/>
      <c r="E243" s="1157"/>
      <c r="F243" s="1157"/>
      <c r="G243" s="1157"/>
      <c r="H243" s="1157"/>
      <c r="I243" s="1157"/>
      <c r="J243" s="1157"/>
      <c r="K243" s="1157"/>
      <c r="L243" s="1157"/>
      <c r="M243" s="1157"/>
      <c r="N243" s="1157"/>
      <c r="O243" s="1157"/>
      <c r="P243" s="1157"/>
      <c r="Q243" s="1157"/>
      <c r="R243" s="1157"/>
      <c r="S243" s="1157"/>
      <c r="T243" s="902"/>
      <c r="U243" s="902"/>
      <c r="V243" s="902"/>
    </row>
    <row r="244" spans="1:22" ht="15.75" x14ac:dyDescent="0.25">
      <c r="A244" s="1157"/>
      <c r="B244" s="1157"/>
      <c r="C244" s="1157"/>
      <c r="D244" s="1157"/>
      <c r="E244" s="1157"/>
      <c r="F244" s="1157"/>
      <c r="G244" s="1157"/>
      <c r="H244" s="1157"/>
      <c r="I244" s="1157"/>
      <c r="J244" s="1157"/>
      <c r="K244" s="1157"/>
      <c r="L244" s="1157"/>
      <c r="M244" s="1157"/>
      <c r="N244" s="1157"/>
      <c r="O244" s="1157"/>
      <c r="P244" s="1157"/>
      <c r="Q244" s="1157"/>
      <c r="R244" s="1157"/>
      <c r="S244" s="1157"/>
      <c r="T244" s="902"/>
      <c r="U244" s="902"/>
      <c r="V244" s="902"/>
    </row>
    <row r="245" spans="1:22" ht="15.75" x14ac:dyDescent="0.25">
      <c r="A245" s="1157"/>
      <c r="B245" s="1157"/>
      <c r="C245" s="1157"/>
      <c r="D245" s="1157"/>
      <c r="E245" s="1157"/>
      <c r="F245" s="1157"/>
      <c r="G245" s="1157"/>
      <c r="H245" s="1157"/>
      <c r="I245" s="1157"/>
      <c r="J245" s="1157"/>
      <c r="K245" s="1157"/>
      <c r="L245" s="1157"/>
      <c r="M245" s="1157"/>
      <c r="N245" s="1157"/>
      <c r="O245" s="1157"/>
      <c r="P245" s="1157"/>
      <c r="Q245" s="1157"/>
      <c r="R245" s="1157"/>
      <c r="S245" s="1157"/>
      <c r="T245" s="902"/>
      <c r="U245" s="902"/>
      <c r="V245" s="902"/>
    </row>
    <row r="246" spans="1:22" ht="15.75" x14ac:dyDescent="0.25">
      <c r="A246" s="1157"/>
      <c r="B246" s="1157"/>
      <c r="C246" s="1157"/>
      <c r="D246" s="1157"/>
      <c r="E246" s="1157"/>
      <c r="F246" s="1157"/>
      <c r="G246" s="1157"/>
      <c r="H246" s="1157"/>
      <c r="I246" s="1157"/>
      <c r="J246" s="1157"/>
      <c r="K246" s="1157"/>
      <c r="L246" s="1157"/>
      <c r="M246" s="1157"/>
      <c r="N246" s="1157"/>
      <c r="O246" s="1157"/>
      <c r="P246" s="1157"/>
      <c r="Q246" s="1157"/>
      <c r="R246" s="1157"/>
      <c r="S246" s="1157"/>
      <c r="T246" s="902"/>
      <c r="U246" s="902"/>
      <c r="V246" s="902"/>
    </row>
    <row r="247" spans="1:22" ht="15.75" x14ac:dyDescent="0.25">
      <c r="A247" s="1157"/>
      <c r="B247" s="1157"/>
      <c r="C247" s="1157"/>
      <c r="D247" s="1157"/>
      <c r="E247" s="1157"/>
      <c r="F247" s="1157"/>
      <c r="G247" s="1157"/>
      <c r="H247" s="1157"/>
      <c r="I247" s="1157"/>
      <c r="J247" s="1157"/>
      <c r="K247" s="1157"/>
      <c r="L247" s="1157"/>
      <c r="M247" s="1157"/>
      <c r="N247" s="1157"/>
      <c r="O247" s="1157"/>
      <c r="P247" s="1157"/>
      <c r="Q247" s="1157"/>
      <c r="R247" s="1157"/>
      <c r="S247" s="1157"/>
      <c r="T247" s="902"/>
      <c r="U247" s="902"/>
      <c r="V247" s="902"/>
    </row>
    <row r="248" spans="1:22" ht="15.75" x14ac:dyDescent="0.25">
      <c r="A248" s="1157"/>
      <c r="B248" s="1157"/>
      <c r="C248" s="1157"/>
      <c r="D248" s="1157"/>
      <c r="E248" s="1157"/>
      <c r="F248" s="1157"/>
      <c r="G248" s="1157"/>
      <c r="H248" s="1157"/>
      <c r="I248" s="1157"/>
      <c r="J248" s="1157"/>
      <c r="K248" s="1157"/>
      <c r="L248" s="1157"/>
      <c r="M248" s="1157"/>
      <c r="N248" s="1157"/>
      <c r="O248" s="1157"/>
      <c r="P248" s="1157"/>
      <c r="Q248" s="1157"/>
      <c r="R248" s="1157"/>
      <c r="S248" s="1157"/>
      <c r="T248" s="902"/>
      <c r="U248" s="902"/>
      <c r="V248" s="902"/>
    </row>
    <row r="249" spans="1:22" ht="15.75" x14ac:dyDescent="0.25">
      <c r="A249" s="1157"/>
      <c r="B249" s="1157"/>
      <c r="C249" s="1157"/>
      <c r="D249" s="1157"/>
      <c r="E249" s="1157"/>
      <c r="F249" s="1157"/>
      <c r="G249" s="1157"/>
      <c r="H249" s="1157"/>
      <c r="I249" s="1157"/>
      <c r="J249" s="1157"/>
      <c r="K249" s="1157"/>
      <c r="L249" s="1157"/>
      <c r="M249" s="1157"/>
      <c r="N249" s="1157"/>
      <c r="O249" s="1157"/>
      <c r="P249" s="1157"/>
      <c r="Q249" s="1157"/>
      <c r="R249" s="1157"/>
      <c r="S249" s="1157"/>
      <c r="T249" s="902"/>
      <c r="U249" s="902"/>
      <c r="V249" s="902"/>
    </row>
    <row r="250" spans="1:22" ht="15.75" x14ac:dyDescent="0.25">
      <c r="A250" s="1157"/>
      <c r="B250" s="1157"/>
      <c r="C250" s="1157"/>
      <c r="D250" s="1157"/>
      <c r="E250" s="1157"/>
      <c r="F250" s="1157"/>
      <c r="G250" s="1157"/>
      <c r="H250" s="1157"/>
      <c r="I250" s="1157"/>
      <c r="J250" s="1157"/>
      <c r="K250" s="1157"/>
      <c r="L250" s="1157"/>
      <c r="M250" s="1157"/>
      <c r="N250" s="1157"/>
      <c r="O250" s="1157"/>
      <c r="P250" s="1157"/>
      <c r="Q250" s="1157"/>
      <c r="R250" s="1157"/>
      <c r="S250" s="1157"/>
      <c r="T250" s="902"/>
      <c r="U250" s="902"/>
      <c r="V250" s="902"/>
    </row>
    <row r="251" spans="1:22" ht="15.75" x14ac:dyDescent="0.25">
      <c r="A251" s="1157"/>
      <c r="B251" s="1157"/>
      <c r="C251" s="1157"/>
      <c r="D251" s="1157"/>
      <c r="E251" s="1157"/>
      <c r="F251" s="1157"/>
      <c r="G251" s="1157"/>
      <c r="H251" s="1157"/>
      <c r="I251" s="1157"/>
      <c r="J251" s="1157"/>
      <c r="K251" s="1157"/>
      <c r="L251" s="1157"/>
      <c r="M251" s="1157"/>
      <c r="N251" s="1157"/>
      <c r="O251" s="1157"/>
      <c r="P251" s="1157"/>
      <c r="Q251" s="1157"/>
      <c r="R251" s="1157"/>
      <c r="S251" s="1157"/>
      <c r="T251" s="902"/>
      <c r="U251" s="902"/>
      <c r="V251" s="902"/>
    </row>
    <row r="252" spans="1:22" ht="15.75" x14ac:dyDescent="0.25">
      <c r="A252" s="1157"/>
      <c r="B252" s="1157"/>
      <c r="C252" s="1157"/>
      <c r="D252" s="1157"/>
      <c r="E252" s="1157"/>
      <c r="F252" s="1157"/>
      <c r="G252" s="1157"/>
      <c r="H252" s="1157"/>
      <c r="I252" s="1157"/>
      <c r="J252" s="1157"/>
      <c r="K252" s="1157"/>
      <c r="L252" s="1157"/>
      <c r="M252" s="1157"/>
      <c r="N252" s="1157"/>
      <c r="O252" s="1157"/>
      <c r="P252" s="1157"/>
      <c r="Q252" s="1157"/>
      <c r="R252" s="1157"/>
      <c r="S252" s="1157"/>
      <c r="T252" s="902"/>
      <c r="U252" s="902"/>
      <c r="V252" s="902"/>
    </row>
    <row r="253" spans="1:22" ht="15.75" x14ac:dyDescent="0.25">
      <c r="A253" s="1157"/>
      <c r="B253" s="1157"/>
      <c r="C253" s="1157"/>
      <c r="D253" s="1157"/>
      <c r="E253" s="1157"/>
      <c r="F253" s="1157"/>
      <c r="G253" s="1157"/>
      <c r="H253" s="1157"/>
      <c r="I253" s="1157"/>
      <c r="J253" s="1157"/>
      <c r="K253" s="1157"/>
      <c r="L253" s="1157"/>
      <c r="M253" s="1157"/>
      <c r="N253" s="1157"/>
      <c r="O253" s="1157"/>
      <c r="P253" s="1157"/>
      <c r="Q253" s="1157"/>
      <c r="R253" s="1157"/>
      <c r="S253" s="1157"/>
      <c r="T253" s="902"/>
      <c r="U253" s="902"/>
      <c r="V253" s="902"/>
    </row>
    <row r="254" spans="1:22" ht="15.75" x14ac:dyDescent="0.25">
      <c r="A254" s="1157"/>
      <c r="B254" s="1157"/>
      <c r="C254" s="1157"/>
      <c r="D254" s="1157"/>
      <c r="E254" s="1157"/>
      <c r="F254" s="1157"/>
      <c r="G254" s="1157"/>
      <c r="H254" s="1157"/>
      <c r="I254" s="1157"/>
      <c r="J254" s="1157"/>
      <c r="K254" s="1157"/>
      <c r="L254" s="1157"/>
      <c r="M254" s="1157"/>
      <c r="N254" s="1157"/>
      <c r="O254" s="1157"/>
      <c r="P254" s="1157"/>
      <c r="Q254" s="1157"/>
      <c r="R254" s="1157"/>
      <c r="S254" s="1157"/>
      <c r="T254" s="902"/>
      <c r="U254" s="902"/>
      <c r="V254" s="902"/>
    </row>
    <row r="255" spans="1:22" ht="15.75" x14ac:dyDescent="0.25">
      <c r="A255" s="1157"/>
      <c r="B255" s="1157"/>
      <c r="C255" s="1157"/>
      <c r="D255" s="1157"/>
      <c r="E255" s="1157"/>
      <c r="F255" s="1157"/>
      <c r="G255" s="1157"/>
      <c r="H255" s="1157"/>
      <c r="I255" s="1157"/>
      <c r="J255" s="1157"/>
      <c r="K255" s="1157"/>
      <c r="L255" s="1157"/>
      <c r="M255" s="1157"/>
      <c r="N255" s="1157"/>
      <c r="O255" s="1157"/>
      <c r="P255" s="1157"/>
      <c r="Q255" s="1157"/>
      <c r="R255" s="1157"/>
      <c r="S255" s="1157"/>
      <c r="T255" s="902"/>
      <c r="U255" s="902"/>
      <c r="V255" s="902"/>
    </row>
    <row r="256" spans="1:22" ht="15.75" x14ac:dyDescent="0.25">
      <c r="A256" s="1157"/>
      <c r="B256" s="1157"/>
      <c r="C256" s="1157"/>
      <c r="D256" s="1157"/>
      <c r="E256" s="1157"/>
      <c r="F256" s="1157"/>
      <c r="G256" s="1157"/>
      <c r="H256" s="1157"/>
      <c r="I256" s="1157"/>
      <c r="J256" s="1157"/>
      <c r="K256" s="1157"/>
      <c r="L256" s="1157"/>
      <c r="M256" s="1157"/>
      <c r="N256" s="1157"/>
      <c r="O256" s="1157"/>
      <c r="P256" s="1157"/>
      <c r="Q256" s="1157"/>
      <c r="R256" s="1157"/>
      <c r="S256" s="1157"/>
      <c r="T256" s="902"/>
      <c r="U256" s="902"/>
      <c r="V256" s="902"/>
    </row>
    <row r="257" spans="1:22" ht="15.75" x14ac:dyDescent="0.25">
      <c r="A257" s="1157"/>
      <c r="B257" s="1157"/>
      <c r="C257" s="1157"/>
      <c r="D257" s="1157"/>
      <c r="E257" s="1157"/>
      <c r="F257" s="1157"/>
      <c r="G257" s="1157"/>
      <c r="H257" s="1157"/>
      <c r="I257" s="1157"/>
      <c r="J257" s="1157"/>
      <c r="K257" s="1157"/>
      <c r="L257" s="1157"/>
      <c r="M257" s="1157"/>
      <c r="N257" s="1157"/>
      <c r="O257" s="1157"/>
      <c r="P257" s="1157"/>
      <c r="Q257" s="1157"/>
      <c r="R257" s="1157"/>
      <c r="S257" s="1157"/>
      <c r="T257" s="902"/>
      <c r="U257" s="902"/>
      <c r="V257" s="902"/>
    </row>
    <row r="258" spans="1:22" ht="15.75" x14ac:dyDescent="0.25">
      <c r="A258" s="1157"/>
      <c r="B258" s="1157"/>
      <c r="C258" s="1157"/>
      <c r="D258" s="1157"/>
      <c r="E258" s="1157"/>
      <c r="F258" s="1157"/>
      <c r="G258" s="1157"/>
      <c r="H258" s="1157"/>
      <c r="I258" s="1157"/>
      <c r="J258" s="1157"/>
      <c r="K258" s="1157"/>
      <c r="L258" s="1157"/>
      <c r="M258" s="1157"/>
      <c r="N258" s="1157"/>
      <c r="O258" s="1157"/>
      <c r="P258" s="1157"/>
      <c r="Q258" s="1157"/>
      <c r="R258" s="1157"/>
      <c r="S258" s="1157"/>
      <c r="T258" s="902"/>
      <c r="U258" s="902"/>
      <c r="V258" s="902"/>
    </row>
    <row r="259" spans="1:22" ht="15.75" x14ac:dyDescent="0.25">
      <c r="A259" s="1157"/>
      <c r="B259" s="1157"/>
      <c r="C259" s="1157"/>
      <c r="D259" s="1157"/>
      <c r="E259" s="1157"/>
      <c r="F259" s="1157"/>
      <c r="G259" s="1157"/>
      <c r="H259" s="1157"/>
      <c r="I259" s="1157"/>
      <c r="J259" s="1157"/>
      <c r="K259" s="1157"/>
      <c r="L259" s="1157"/>
      <c r="M259" s="1157"/>
      <c r="N259" s="1157"/>
      <c r="O259" s="1157"/>
      <c r="P259" s="1157"/>
      <c r="Q259" s="1157"/>
      <c r="R259" s="1157"/>
      <c r="S259" s="1157"/>
      <c r="T259" s="902"/>
      <c r="U259" s="902"/>
      <c r="V259" s="902"/>
    </row>
    <row r="260" spans="1:22" ht="15.75" x14ac:dyDescent="0.25">
      <c r="A260" s="1157"/>
      <c r="B260" s="1157"/>
      <c r="C260" s="1157"/>
      <c r="D260" s="1157"/>
      <c r="E260" s="1157"/>
      <c r="F260" s="1157"/>
      <c r="G260" s="1157"/>
      <c r="H260" s="1157"/>
      <c r="I260" s="1157"/>
      <c r="J260" s="1157"/>
      <c r="K260" s="1157"/>
      <c r="L260" s="1157"/>
      <c r="M260" s="1157"/>
      <c r="N260" s="1157"/>
      <c r="O260" s="1157"/>
      <c r="P260" s="1157"/>
      <c r="Q260" s="1157"/>
      <c r="R260" s="1157"/>
      <c r="S260" s="1157"/>
      <c r="T260" s="902"/>
      <c r="U260" s="902"/>
      <c r="V260" s="902"/>
    </row>
    <row r="261" spans="1:22" ht="15.75" x14ac:dyDescent="0.25">
      <c r="A261" s="1157"/>
      <c r="B261" s="1157"/>
      <c r="C261" s="1157"/>
      <c r="D261" s="1157"/>
      <c r="E261" s="1157"/>
      <c r="F261" s="1157"/>
      <c r="G261" s="1157"/>
      <c r="H261" s="1157"/>
      <c r="I261" s="1157"/>
      <c r="J261" s="1157"/>
      <c r="K261" s="1157"/>
      <c r="L261" s="1157"/>
      <c r="M261" s="1157"/>
      <c r="N261" s="1157"/>
      <c r="O261" s="1157"/>
      <c r="P261" s="1157"/>
      <c r="Q261" s="1157"/>
      <c r="R261" s="1157"/>
      <c r="S261" s="1157"/>
      <c r="T261" s="902"/>
      <c r="U261" s="902"/>
      <c r="V261" s="902"/>
    </row>
    <row r="262" spans="1:22" ht="15.75" x14ac:dyDescent="0.25">
      <c r="A262" s="1157"/>
      <c r="B262" s="1157"/>
      <c r="C262" s="1157"/>
      <c r="D262" s="1157"/>
      <c r="E262" s="1157"/>
      <c r="F262" s="1157"/>
      <c r="G262" s="1157"/>
      <c r="H262" s="1157"/>
      <c r="I262" s="1157"/>
      <c r="J262" s="1157"/>
      <c r="K262" s="1157"/>
      <c r="L262" s="1157"/>
      <c r="M262" s="1157"/>
      <c r="N262" s="1157"/>
      <c r="O262" s="1157"/>
      <c r="P262" s="1157"/>
      <c r="Q262" s="1157"/>
      <c r="R262" s="1157"/>
      <c r="S262" s="1157"/>
      <c r="T262" s="902"/>
      <c r="U262" s="902"/>
      <c r="V262" s="902"/>
    </row>
    <row r="263" spans="1:22" ht="15.75" x14ac:dyDescent="0.25">
      <c r="A263" s="1157"/>
      <c r="B263" s="1157"/>
      <c r="C263" s="1157"/>
      <c r="D263" s="1157"/>
      <c r="E263" s="1157"/>
      <c r="F263" s="1157"/>
      <c r="G263" s="1157"/>
      <c r="H263" s="1157"/>
      <c r="I263" s="1157"/>
      <c r="J263" s="1157"/>
      <c r="K263" s="1157"/>
      <c r="L263" s="1157"/>
      <c r="M263" s="1157"/>
      <c r="N263" s="1157"/>
      <c r="O263" s="1157"/>
      <c r="P263" s="1157"/>
      <c r="Q263" s="1157"/>
      <c r="R263" s="1157"/>
      <c r="S263" s="1157"/>
      <c r="T263" s="902"/>
      <c r="U263" s="902"/>
      <c r="V263" s="902"/>
    </row>
    <row r="264" spans="1:22" ht="15.75" x14ac:dyDescent="0.25">
      <c r="A264" s="1157"/>
      <c r="B264" s="1157"/>
      <c r="C264" s="1157"/>
      <c r="D264" s="1157"/>
      <c r="E264" s="1157"/>
      <c r="F264" s="1157"/>
      <c r="G264" s="1157"/>
      <c r="H264" s="1157"/>
      <c r="I264" s="1157"/>
      <c r="J264" s="1157"/>
      <c r="K264" s="1157"/>
      <c r="L264" s="1157"/>
      <c r="M264" s="1157"/>
      <c r="N264" s="1157"/>
      <c r="O264" s="1157"/>
      <c r="P264" s="1157"/>
      <c r="Q264" s="1157"/>
      <c r="R264" s="1157"/>
      <c r="S264" s="1157"/>
      <c r="T264" s="902"/>
      <c r="U264" s="902"/>
      <c r="V264" s="902"/>
    </row>
    <row r="265" spans="1:22" ht="15.75" x14ac:dyDescent="0.25">
      <c r="A265" s="1157"/>
      <c r="B265" s="1157"/>
      <c r="C265" s="1157"/>
      <c r="D265" s="1157"/>
      <c r="E265" s="1157"/>
      <c r="F265" s="1157"/>
      <c r="G265" s="1157"/>
      <c r="H265" s="1157"/>
      <c r="I265" s="1157"/>
      <c r="J265" s="1157"/>
      <c r="K265" s="1157"/>
      <c r="L265" s="1157"/>
      <c r="M265" s="1157"/>
      <c r="N265" s="1157"/>
      <c r="O265" s="1157"/>
      <c r="P265" s="1157"/>
      <c r="Q265" s="1157"/>
      <c r="R265" s="1157"/>
      <c r="S265" s="1157"/>
      <c r="T265" s="902"/>
      <c r="U265" s="902"/>
      <c r="V265" s="902"/>
    </row>
    <row r="266" spans="1:22" ht="15.75" x14ac:dyDescent="0.25">
      <c r="A266" s="1157"/>
      <c r="B266" s="1157"/>
      <c r="C266" s="1157"/>
      <c r="D266" s="1157"/>
      <c r="E266" s="1157"/>
      <c r="F266" s="1157"/>
      <c r="G266" s="1157"/>
      <c r="H266" s="1157"/>
      <c r="I266" s="1157"/>
      <c r="J266" s="1157"/>
      <c r="K266" s="1157"/>
      <c r="L266" s="1157"/>
      <c r="M266" s="1157"/>
      <c r="N266" s="1157"/>
      <c r="O266" s="1157"/>
      <c r="P266" s="1157"/>
      <c r="Q266" s="1157"/>
      <c r="R266" s="1157"/>
      <c r="S266" s="1157"/>
      <c r="T266" s="902"/>
      <c r="U266" s="902"/>
      <c r="V266" s="902"/>
    </row>
    <row r="267" spans="1:22" ht="15.75" x14ac:dyDescent="0.25">
      <c r="A267" s="1157"/>
      <c r="B267" s="1157"/>
      <c r="C267" s="1157"/>
      <c r="D267" s="1157"/>
      <c r="E267" s="1157"/>
      <c r="F267" s="1157"/>
      <c r="G267" s="1157"/>
      <c r="H267" s="1157"/>
      <c r="I267" s="1157"/>
      <c r="J267" s="1157"/>
      <c r="K267" s="1157"/>
      <c r="L267" s="1157"/>
      <c r="M267" s="1157"/>
      <c r="N267" s="1157"/>
      <c r="O267" s="1157"/>
      <c r="P267" s="1157"/>
      <c r="Q267" s="1157"/>
      <c r="R267" s="1157"/>
      <c r="S267" s="1157"/>
      <c r="T267" s="902"/>
      <c r="U267" s="902"/>
      <c r="V267" s="902"/>
    </row>
    <row r="268" spans="1:22" ht="15.75" x14ac:dyDescent="0.25">
      <c r="A268" s="1157"/>
      <c r="B268" s="1157"/>
      <c r="C268" s="1157"/>
      <c r="D268" s="1157"/>
      <c r="E268" s="1157"/>
      <c r="F268" s="1157"/>
      <c r="G268" s="1157"/>
      <c r="H268" s="1157"/>
      <c r="I268" s="1157"/>
      <c r="J268" s="1157"/>
      <c r="K268" s="1157"/>
      <c r="L268" s="1157"/>
      <c r="M268" s="1157"/>
      <c r="N268" s="1157"/>
      <c r="O268" s="1157"/>
      <c r="P268" s="1157"/>
      <c r="Q268" s="1157"/>
      <c r="R268" s="1157"/>
      <c r="S268" s="1157"/>
      <c r="T268" s="902"/>
      <c r="U268" s="902"/>
      <c r="V268" s="902"/>
    </row>
    <row r="269" spans="1:22" ht="15.75" x14ac:dyDescent="0.25">
      <c r="A269" s="1157"/>
      <c r="B269" s="1157"/>
      <c r="C269" s="1157"/>
      <c r="D269" s="1157"/>
      <c r="E269" s="1157"/>
      <c r="F269" s="1157"/>
      <c r="G269" s="1157"/>
      <c r="H269" s="1157"/>
      <c r="I269" s="1157"/>
      <c r="J269" s="1157"/>
      <c r="K269" s="1157"/>
      <c r="L269" s="1157"/>
      <c r="M269" s="1157"/>
      <c r="N269" s="1157"/>
      <c r="O269" s="1157"/>
      <c r="P269" s="1157"/>
      <c r="Q269" s="1157"/>
      <c r="R269" s="1157"/>
      <c r="S269" s="1157"/>
      <c r="T269" s="902"/>
      <c r="U269" s="902"/>
      <c r="V269" s="902"/>
    </row>
    <row r="270" spans="1:22" ht="15.75" x14ac:dyDescent="0.25">
      <c r="A270" s="1157"/>
      <c r="B270" s="1157"/>
      <c r="C270" s="1157"/>
      <c r="D270" s="1157"/>
      <c r="E270" s="1157"/>
      <c r="F270" s="1157"/>
      <c r="G270" s="1157"/>
      <c r="H270" s="1157"/>
      <c r="I270" s="1157"/>
      <c r="J270" s="1157"/>
      <c r="K270" s="1157"/>
      <c r="L270" s="1157"/>
      <c r="M270" s="1157"/>
      <c r="N270" s="1157"/>
      <c r="O270" s="1157"/>
      <c r="P270" s="1157"/>
      <c r="Q270" s="1157"/>
      <c r="R270" s="1157"/>
      <c r="S270" s="1157"/>
      <c r="T270" s="902"/>
      <c r="U270" s="902"/>
      <c r="V270" s="902"/>
    </row>
    <row r="271" spans="1:22" ht="15.75" x14ac:dyDescent="0.25">
      <c r="A271" s="1157"/>
      <c r="B271" s="1157"/>
      <c r="C271" s="1157"/>
      <c r="D271" s="1157"/>
      <c r="E271" s="1157"/>
      <c r="F271" s="1157"/>
      <c r="G271" s="1157"/>
      <c r="H271" s="1157"/>
      <c r="I271" s="1157"/>
      <c r="J271" s="1157"/>
      <c r="K271" s="1157"/>
      <c r="L271" s="1157"/>
      <c r="M271" s="1157"/>
      <c r="N271" s="1157"/>
      <c r="O271" s="1157"/>
      <c r="P271" s="1157"/>
      <c r="Q271" s="1157"/>
      <c r="R271" s="1157"/>
      <c r="S271" s="1157"/>
      <c r="T271" s="902"/>
      <c r="U271" s="902"/>
      <c r="V271" s="902"/>
    </row>
    <row r="272" spans="1:22" ht="15.75" x14ac:dyDescent="0.25">
      <c r="A272" s="1157"/>
      <c r="B272" s="1157"/>
      <c r="C272" s="1157"/>
      <c r="D272" s="1157"/>
      <c r="E272" s="1157"/>
      <c r="F272" s="1157"/>
      <c r="G272" s="1157"/>
      <c r="H272" s="1157"/>
      <c r="I272" s="1157"/>
      <c r="J272" s="1157"/>
      <c r="K272" s="1157"/>
      <c r="L272" s="1157"/>
      <c r="M272" s="1157"/>
      <c r="N272" s="1157"/>
      <c r="O272" s="1157"/>
      <c r="P272" s="1157"/>
      <c r="Q272" s="1157"/>
      <c r="R272" s="1157"/>
      <c r="S272" s="1157"/>
      <c r="T272" s="902"/>
      <c r="U272" s="902"/>
      <c r="V272" s="902"/>
    </row>
    <row r="273" spans="1:22" ht="15.75" x14ac:dyDescent="0.25">
      <c r="A273" s="1157"/>
      <c r="B273" s="1157"/>
      <c r="C273" s="1157"/>
      <c r="D273" s="1157"/>
      <c r="E273" s="1157"/>
      <c r="F273" s="1157"/>
      <c r="G273" s="1157"/>
      <c r="H273" s="1157"/>
      <c r="I273" s="1157"/>
      <c r="J273" s="1157"/>
      <c r="K273" s="1157"/>
      <c r="L273" s="1157"/>
      <c r="M273" s="1157"/>
      <c r="N273" s="1157"/>
      <c r="O273" s="1157"/>
      <c r="P273" s="1157"/>
      <c r="Q273" s="1157"/>
      <c r="R273" s="1157"/>
      <c r="S273" s="1157"/>
      <c r="T273" s="902"/>
      <c r="U273" s="902"/>
      <c r="V273" s="902"/>
    </row>
    <row r="274" spans="1:22" ht="15.75" x14ac:dyDescent="0.25">
      <c r="A274" s="1157"/>
      <c r="B274" s="1157"/>
      <c r="C274" s="1157"/>
      <c r="D274" s="1157"/>
      <c r="E274" s="1157"/>
      <c r="F274" s="1157"/>
      <c r="G274" s="1157"/>
      <c r="H274" s="1157"/>
      <c r="I274" s="1157"/>
      <c r="J274" s="1157"/>
      <c r="K274" s="1157"/>
      <c r="L274" s="1157"/>
      <c r="M274" s="1157"/>
      <c r="N274" s="1157"/>
      <c r="O274" s="1157"/>
      <c r="P274" s="1157"/>
      <c r="Q274" s="1157"/>
      <c r="R274" s="1157"/>
      <c r="S274" s="1157"/>
      <c r="T274" s="902"/>
      <c r="U274" s="902"/>
      <c r="V274" s="902"/>
    </row>
    <row r="275" spans="1:22" ht="15.75" x14ac:dyDescent="0.25">
      <c r="A275" s="1157"/>
      <c r="B275" s="1157"/>
      <c r="C275" s="1157"/>
      <c r="D275" s="1157"/>
      <c r="E275" s="1157"/>
      <c r="F275" s="1157"/>
      <c r="G275" s="1157"/>
      <c r="H275" s="1157"/>
      <c r="I275" s="1157"/>
      <c r="J275" s="1157"/>
      <c r="K275" s="1157"/>
      <c r="L275" s="1157"/>
      <c r="M275" s="1157"/>
      <c r="N275" s="1157"/>
      <c r="O275" s="1157"/>
      <c r="P275" s="1157"/>
      <c r="Q275" s="1157"/>
      <c r="R275" s="1157"/>
      <c r="S275" s="1157"/>
      <c r="T275" s="902"/>
      <c r="U275" s="902"/>
      <c r="V275" s="902"/>
    </row>
    <row r="276" spans="1:22" ht="15.75" x14ac:dyDescent="0.25">
      <c r="A276" s="1157"/>
      <c r="B276" s="1157"/>
      <c r="C276" s="1157"/>
      <c r="D276" s="1157"/>
      <c r="E276" s="1157"/>
      <c r="F276" s="1157"/>
      <c r="G276" s="1157"/>
      <c r="H276" s="1157"/>
      <c r="I276" s="1157"/>
      <c r="J276" s="1157"/>
      <c r="K276" s="1157"/>
      <c r="L276" s="1157"/>
      <c r="M276" s="1157"/>
      <c r="N276" s="1157"/>
      <c r="O276" s="1157"/>
      <c r="P276" s="1157"/>
      <c r="Q276" s="1157"/>
      <c r="R276" s="1157"/>
      <c r="S276" s="1157"/>
      <c r="T276" s="902"/>
      <c r="U276" s="902"/>
      <c r="V276" s="902"/>
    </row>
    <row r="277" spans="1:22" ht="15.75" x14ac:dyDescent="0.25">
      <c r="A277" s="1157"/>
      <c r="B277" s="1157"/>
      <c r="C277" s="1157"/>
      <c r="D277" s="1157"/>
      <c r="E277" s="1157"/>
      <c r="F277" s="1157"/>
      <c r="G277" s="1157"/>
      <c r="H277" s="1157"/>
      <c r="I277" s="1157"/>
      <c r="J277" s="1157"/>
      <c r="K277" s="1157"/>
      <c r="L277" s="1157"/>
      <c r="M277" s="1157"/>
      <c r="N277" s="1157"/>
      <c r="O277" s="1157"/>
      <c r="P277" s="1157"/>
      <c r="Q277" s="1157"/>
      <c r="R277" s="1157"/>
      <c r="S277" s="1157"/>
      <c r="T277" s="902"/>
      <c r="U277" s="902"/>
      <c r="V277" s="902"/>
    </row>
    <row r="278" spans="1:22" ht="15.75" x14ac:dyDescent="0.25">
      <c r="A278" s="1157"/>
      <c r="B278" s="1157"/>
      <c r="C278" s="1157"/>
      <c r="D278" s="1157"/>
      <c r="E278" s="1157"/>
      <c r="F278" s="1157"/>
      <c r="G278" s="1157"/>
      <c r="H278" s="1157"/>
      <c r="I278" s="1157"/>
      <c r="J278" s="1157"/>
      <c r="K278" s="1157"/>
      <c r="L278" s="1157"/>
      <c r="M278" s="1157"/>
      <c r="N278" s="1157"/>
      <c r="O278" s="1157"/>
      <c r="P278" s="1157"/>
      <c r="Q278" s="1157"/>
      <c r="R278" s="1157"/>
      <c r="S278" s="1157"/>
      <c r="T278" s="902"/>
      <c r="U278" s="902"/>
      <c r="V278" s="902"/>
    </row>
    <row r="279" spans="1:22" ht="15.75" x14ac:dyDescent="0.25">
      <c r="A279" s="1157"/>
      <c r="B279" s="1157"/>
      <c r="C279" s="1157"/>
      <c r="D279" s="1157"/>
      <c r="E279" s="1157"/>
      <c r="F279" s="1157"/>
      <c r="G279" s="1157"/>
      <c r="H279" s="1157"/>
      <c r="I279" s="1157"/>
      <c r="J279" s="1157"/>
      <c r="K279" s="1157"/>
      <c r="L279" s="1157"/>
      <c r="M279" s="1157"/>
      <c r="N279" s="1157"/>
      <c r="O279" s="1157"/>
      <c r="P279" s="1157"/>
      <c r="Q279" s="1157"/>
      <c r="R279" s="1157"/>
      <c r="S279" s="1157"/>
      <c r="T279" s="902"/>
      <c r="U279" s="902"/>
      <c r="V279" s="902"/>
    </row>
    <row r="280" spans="1:22" ht="15.75" x14ac:dyDescent="0.25">
      <c r="A280" s="1157"/>
      <c r="B280" s="1157"/>
      <c r="C280" s="1157"/>
      <c r="D280" s="1157"/>
      <c r="E280" s="1157"/>
      <c r="F280" s="1157"/>
      <c r="G280" s="1157"/>
      <c r="H280" s="1157"/>
      <c r="I280" s="1157"/>
      <c r="J280" s="1157"/>
      <c r="K280" s="1157"/>
      <c r="L280" s="1157"/>
      <c r="M280" s="1157"/>
      <c r="N280" s="1157"/>
      <c r="O280" s="1157"/>
      <c r="P280" s="1157"/>
      <c r="Q280" s="1157"/>
      <c r="R280" s="1157"/>
      <c r="S280" s="1157"/>
      <c r="T280" s="902"/>
      <c r="U280" s="902"/>
      <c r="V280" s="902"/>
    </row>
    <row r="281" spans="1:22" ht="15.75" x14ac:dyDescent="0.25">
      <c r="A281" s="1157"/>
      <c r="B281" s="1157"/>
      <c r="C281" s="1157"/>
      <c r="D281" s="1157"/>
      <c r="E281" s="1157"/>
      <c r="F281" s="1157"/>
      <c r="G281" s="1157"/>
      <c r="H281" s="1157"/>
      <c r="I281" s="1157"/>
      <c r="J281" s="1157"/>
      <c r="K281" s="1157"/>
      <c r="L281" s="1157"/>
      <c r="M281" s="1157"/>
      <c r="N281" s="1157"/>
      <c r="O281" s="1157"/>
      <c r="P281" s="1157"/>
      <c r="Q281" s="1157"/>
      <c r="R281" s="1157"/>
      <c r="S281" s="1157"/>
      <c r="T281" s="902"/>
      <c r="U281" s="902"/>
      <c r="V281" s="902"/>
    </row>
    <row r="282" spans="1:22" ht="15.75" x14ac:dyDescent="0.25">
      <c r="A282" s="1157"/>
      <c r="B282" s="1157"/>
      <c r="C282" s="1157"/>
      <c r="D282" s="1157"/>
      <c r="E282" s="1157"/>
      <c r="F282" s="1157"/>
      <c r="G282" s="1157"/>
      <c r="H282" s="1157"/>
      <c r="I282" s="1157"/>
      <c r="J282" s="1157"/>
      <c r="K282" s="1157"/>
      <c r="L282" s="1157"/>
      <c r="M282" s="1157"/>
      <c r="N282" s="1157"/>
      <c r="O282" s="1157"/>
      <c r="P282" s="1157"/>
      <c r="Q282" s="1157"/>
      <c r="R282" s="1157"/>
      <c r="S282" s="1157"/>
      <c r="T282" s="902"/>
      <c r="U282" s="902"/>
      <c r="V282" s="902"/>
    </row>
    <row r="283" spans="1:22" ht="15.75" x14ac:dyDescent="0.25">
      <c r="A283" s="1157"/>
      <c r="B283" s="1157"/>
      <c r="C283" s="1157"/>
      <c r="D283" s="1157"/>
      <c r="E283" s="1157"/>
      <c r="F283" s="1157"/>
      <c r="G283" s="1157"/>
      <c r="H283" s="1157"/>
      <c r="I283" s="1157"/>
      <c r="J283" s="1157"/>
      <c r="K283" s="1157"/>
      <c r="L283" s="1157"/>
      <c r="M283" s="1157"/>
      <c r="N283" s="1157"/>
      <c r="O283" s="1157"/>
      <c r="P283" s="1157"/>
      <c r="Q283" s="1157"/>
      <c r="R283" s="1157"/>
      <c r="S283" s="1157"/>
      <c r="T283" s="902"/>
      <c r="U283" s="902"/>
      <c r="V283" s="902"/>
    </row>
    <row r="284" spans="1:22" ht="15.75" x14ac:dyDescent="0.25">
      <c r="A284" s="1157"/>
      <c r="B284" s="1157"/>
      <c r="C284" s="1157"/>
      <c r="D284" s="1157"/>
      <c r="E284" s="1157"/>
      <c r="F284" s="1157"/>
      <c r="G284" s="1157"/>
      <c r="H284" s="1157"/>
      <c r="I284" s="1157"/>
      <c r="J284" s="1157"/>
      <c r="K284" s="1157"/>
      <c r="L284" s="1157"/>
      <c r="M284" s="1157"/>
      <c r="N284" s="1157"/>
      <c r="O284" s="1157"/>
      <c r="P284" s="1157"/>
      <c r="Q284" s="1157"/>
      <c r="R284" s="1157"/>
      <c r="S284" s="1157"/>
      <c r="T284" s="902"/>
      <c r="U284" s="902"/>
      <c r="V284" s="902"/>
    </row>
    <row r="285" spans="1:22" ht="15.75" x14ac:dyDescent="0.25">
      <c r="A285" s="1157"/>
      <c r="B285" s="1157"/>
      <c r="C285" s="1157"/>
      <c r="D285" s="1157"/>
      <c r="E285" s="1157"/>
      <c r="F285" s="1157"/>
      <c r="G285" s="1157"/>
      <c r="H285" s="1157"/>
      <c r="I285" s="1157"/>
      <c r="J285" s="1157"/>
      <c r="K285" s="1157"/>
      <c r="L285" s="1157"/>
      <c r="M285" s="1157"/>
      <c r="N285" s="1157"/>
      <c r="O285" s="1157"/>
      <c r="P285" s="1157"/>
      <c r="Q285" s="1157"/>
      <c r="R285" s="1157"/>
      <c r="S285" s="1157"/>
      <c r="T285" s="902"/>
      <c r="U285" s="902"/>
      <c r="V285" s="902"/>
    </row>
    <row r="286" spans="1:22" ht="15.75" x14ac:dyDescent="0.25">
      <c r="A286" s="1157"/>
      <c r="B286" s="1157"/>
      <c r="C286" s="1157"/>
      <c r="D286" s="1157"/>
      <c r="E286" s="1157"/>
      <c r="F286" s="1157"/>
      <c r="G286" s="1157"/>
      <c r="H286" s="1157"/>
      <c r="I286" s="1157"/>
      <c r="J286" s="1157"/>
      <c r="K286" s="1157"/>
      <c r="L286" s="1157"/>
      <c r="M286" s="1157"/>
      <c r="N286" s="1157"/>
      <c r="O286" s="1157"/>
      <c r="P286" s="1157"/>
      <c r="Q286" s="1157"/>
      <c r="R286" s="1157"/>
      <c r="S286" s="1157"/>
      <c r="T286" s="902"/>
      <c r="U286" s="902"/>
      <c r="V286" s="902"/>
    </row>
    <row r="287" spans="1:22" ht="15.75" x14ac:dyDescent="0.25">
      <c r="A287" s="1157"/>
      <c r="B287" s="1157"/>
      <c r="C287" s="1157"/>
      <c r="D287" s="1157"/>
      <c r="E287" s="1157"/>
      <c r="F287" s="1157"/>
      <c r="G287" s="1157"/>
      <c r="H287" s="1157"/>
      <c r="I287" s="1157"/>
      <c r="J287" s="1157"/>
      <c r="K287" s="1157"/>
      <c r="L287" s="1157"/>
      <c r="M287" s="1157"/>
      <c r="N287" s="1157"/>
      <c r="O287" s="1157"/>
      <c r="P287" s="1157"/>
      <c r="Q287" s="1157"/>
      <c r="R287" s="1157"/>
      <c r="S287" s="1157"/>
      <c r="T287" s="902"/>
      <c r="U287" s="902"/>
      <c r="V287" s="902"/>
    </row>
    <row r="288" spans="1:22" ht="15.75" x14ac:dyDescent="0.25">
      <c r="A288" s="1157"/>
      <c r="B288" s="1157"/>
      <c r="C288" s="1157"/>
      <c r="D288" s="1157"/>
      <c r="E288" s="1157"/>
      <c r="F288" s="1157"/>
      <c r="G288" s="1157"/>
      <c r="H288" s="1157"/>
      <c r="I288" s="1157"/>
      <c r="J288" s="1157"/>
      <c r="K288" s="1157"/>
      <c r="L288" s="1157"/>
      <c r="M288" s="1157"/>
      <c r="N288" s="1157"/>
      <c r="O288" s="1157"/>
      <c r="P288" s="1157"/>
      <c r="Q288" s="1157"/>
      <c r="R288" s="1157"/>
      <c r="S288" s="1157"/>
      <c r="T288" s="902"/>
      <c r="U288" s="902"/>
      <c r="V288" s="902"/>
    </row>
    <row r="289" spans="1:22" ht="15.75" x14ac:dyDescent="0.25">
      <c r="A289" s="1157"/>
      <c r="B289" s="1157"/>
      <c r="C289" s="1157"/>
      <c r="D289" s="1157"/>
      <c r="E289" s="1157"/>
      <c r="F289" s="1157"/>
      <c r="G289" s="1157"/>
      <c r="H289" s="1157"/>
      <c r="I289" s="1157"/>
      <c r="J289" s="1157"/>
      <c r="K289" s="1157"/>
      <c r="L289" s="1157"/>
      <c r="M289" s="1157"/>
      <c r="N289" s="1157"/>
      <c r="O289" s="1157"/>
      <c r="P289" s="1157"/>
      <c r="Q289" s="1157"/>
      <c r="R289" s="1157"/>
      <c r="S289" s="1157"/>
      <c r="T289" s="902"/>
      <c r="U289" s="902"/>
      <c r="V289" s="902"/>
    </row>
    <row r="290" spans="1:22" ht="15.75" x14ac:dyDescent="0.25">
      <c r="A290" s="1157"/>
      <c r="B290" s="1157"/>
      <c r="C290" s="1157"/>
      <c r="D290" s="1157"/>
      <c r="E290" s="1157"/>
      <c r="F290" s="1157"/>
      <c r="G290" s="1157"/>
      <c r="H290" s="1157"/>
      <c r="I290" s="1157"/>
      <c r="J290" s="1157"/>
      <c r="K290" s="1157"/>
      <c r="L290" s="1157"/>
      <c r="M290" s="1157"/>
      <c r="N290" s="1157"/>
      <c r="O290" s="1157"/>
      <c r="P290" s="1157"/>
      <c r="Q290" s="1157"/>
      <c r="R290" s="1157"/>
      <c r="S290" s="1157"/>
      <c r="T290" s="902"/>
      <c r="U290" s="902"/>
      <c r="V290" s="902"/>
    </row>
    <row r="291" spans="1:22" ht="15.75" x14ac:dyDescent="0.25">
      <c r="A291" s="1157"/>
      <c r="B291" s="1157"/>
      <c r="C291" s="1157"/>
      <c r="D291" s="1157"/>
      <c r="E291" s="1157"/>
      <c r="F291" s="1157"/>
      <c r="G291" s="1157"/>
      <c r="H291" s="1157"/>
      <c r="I291" s="1157"/>
      <c r="J291" s="1157"/>
      <c r="K291" s="1157"/>
      <c r="L291" s="1157"/>
      <c r="M291" s="1157"/>
      <c r="N291" s="1157"/>
      <c r="O291" s="1157"/>
      <c r="P291" s="1157"/>
      <c r="Q291" s="1157"/>
      <c r="R291" s="1157"/>
      <c r="S291" s="1157"/>
      <c r="T291" s="902"/>
      <c r="U291" s="902"/>
      <c r="V291" s="902"/>
    </row>
    <row r="292" spans="1:22" ht="15.75" x14ac:dyDescent="0.25">
      <c r="A292" s="1157"/>
      <c r="B292" s="1157"/>
      <c r="C292" s="1157"/>
      <c r="D292" s="1157"/>
      <c r="E292" s="1157"/>
      <c r="F292" s="1157"/>
      <c r="G292" s="1157"/>
      <c r="H292" s="1157"/>
      <c r="I292" s="1157"/>
      <c r="J292" s="1157"/>
      <c r="K292" s="1157"/>
      <c r="L292" s="1157"/>
      <c r="M292" s="1157"/>
      <c r="N292" s="1157"/>
      <c r="O292" s="1157"/>
      <c r="P292" s="1157"/>
      <c r="Q292" s="1157"/>
      <c r="R292" s="1157"/>
      <c r="S292" s="1157"/>
      <c r="T292" s="902"/>
      <c r="U292" s="902"/>
      <c r="V292" s="902"/>
    </row>
    <row r="293" spans="1:22" ht="15.75" x14ac:dyDescent="0.25">
      <c r="A293" s="1157"/>
      <c r="B293" s="1157"/>
      <c r="C293" s="1157"/>
      <c r="D293" s="1157"/>
      <c r="E293" s="1157"/>
      <c r="F293" s="1157"/>
      <c r="G293" s="1157"/>
      <c r="H293" s="1157"/>
      <c r="I293" s="1157"/>
      <c r="J293" s="1157"/>
      <c r="K293" s="1157"/>
      <c r="L293" s="1157"/>
      <c r="M293" s="1157"/>
      <c r="N293" s="1157"/>
      <c r="O293" s="1157"/>
      <c r="P293" s="1157"/>
      <c r="Q293" s="1157"/>
      <c r="R293" s="1157"/>
      <c r="S293" s="1157"/>
      <c r="T293" s="902"/>
      <c r="U293" s="902"/>
      <c r="V293" s="902"/>
    </row>
    <row r="294" spans="1:22" ht="15.75" x14ac:dyDescent="0.25">
      <c r="A294" s="1157"/>
      <c r="B294" s="1157"/>
      <c r="C294" s="1157"/>
      <c r="D294" s="1157"/>
      <c r="E294" s="1157"/>
      <c r="F294" s="1157"/>
      <c r="G294" s="1157"/>
      <c r="H294" s="1157"/>
      <c r="I294" s="1157"/>
      <c r="J294" s="1157"/>
      <c r="K294" s="1157"/>
      <c r="L294" s="1157"/>
      <c r="M294" s="1157"/>
      <c r="N294" s="1157"/>
      <c r="O294" s="1157"/>
      <c r="P294" s="1157"/>
      <c r="Q294" s="1157"/>
      <c r="R294" s="1157"/>
      <c r="S294" s="1157"/>
      <c r="T294" s="902"/>
      <c r="U294" s="902"/>
      <c r="V294" s="902"/>
    </row>
    <row r="295" spans="1:22" ht="15.75" x14ac:dyDescent="0.25">
      <c r="A295" s="1157"/>
      <c r="B295" s="1157"/>
      <c r="C295" s="1157"/>
      <c r="D295" s="1157"/>
      <c r="E295" s="1157"/>
      <c r="F295" s="1157"/>
      <c r="G295" s="1157"/>
      <c r="H295" s="1157"/>
      <c r="I295" s="1157"/>
      <c r="J295" s="1157"/>
      <c r="K295" s="1157"/>
      <c r="L295" s="1157"/>
      <c r="M295" s="1157"/>
      <c r="N295" s="1157"/>
      <c r="O295" s="1157"/>
      <c r="P295" s="1157"/>
      <c r="Q295" s="1157"/>
      <c r="R295" s="1157"/>
      <c r="S295" s="1157"/>
      <c r="T295" s="902"/>
      <c r="U295" s="902"/>
      <c r="V295" s="902"/>
    </row>
    <row r="296" spans="1:22" ht="15.75" x14ac:dyDescent="0.25">
      <c r="A296" s="1157"/>
      <c r="B296" s="1157"/>
      <c r="C296" s="1157"/>
      <c r="D296" s="1157"/>
      <c r="E296" s="1157"/>
      <c r="F296" s="1157"/>
      <c r="G296" s="1157"/>
      <c r="H296" s="1157"/>
      <c r="I296" s="1157"/>
      <c r="J296" s="1157"/>
      <c r="K296" s="1157"/>
      <c r="L296" s="1157"/>
      <c r="M296" s="1157"/>
      <c r="N296" s="1157"/>
      <c r="O296" s="1157"/>
      <c r="P296" s="1157"/>
      <c r="Q296" s="1157"/>
      <c r="R296" s="1157"/>
      <c r="S296" s="1157"/>
      <c r="T296" s="902"/>
      <c r="U296" s="902"/>
      <c r="V296" s="902"/>
    </row>
    <row r="297" spans="1:22" ht="15.75" x14ac:dyDescent="0.25">
      <c r="A297" s="1157"/>
      <c r="B297" s="1157"/>
      <c r="C297" s="1157"/>
      <c r="D297" s="1157"/>
      <c r="E297" s="1157"/>
      <c r="F297" s="1157"/>
      <c r="G297" s="1157"/>
      <c r="H297" s="1157"/>
      <c r="I297" s="1157"/>
      <c r="J297" s="1157"/>
      <c r="K297" s="1157"/>
      <c r="L297" s="1157"/>
      <c r="M297" s="1157"/>
      <c r="N297" s="1157"/>
      <c r="O297" s="1157"/>
      <c r="P297" s="1157"/>
      <c r="Q297" s="1157"/>
      <c r="R297" s="1157"/>
      <c r="S297" s="1157"/>
      <c r="T297" s="902"/>
      <c r="U297" s="902"/>
      <c r="V297" s="902"/>
    </row>
    <row r="298" spans="1:22" ht="15.75" x14ac:dyDescent="0.25">
      <c r="A298" s="1157"/>
      <c r="B298" s="1157"/>
      <c r="C298" s="1157"/>
      <c r="D298" s="1157"/>
      <c r="E298" s="1157"/>
      <c r="F298" s="1157"/>
      <c r="G298" s="1157"/>
      <c r="H298" s="1157"/>
      <c r="I298" s="1157"/>
      <c r="J298" s="1157"/>
      <c r="K298" s="1157"/>
      <c r="L298" s="1157"/>
      <c r="M298" s="1157"/>
      <c r="N298" s="1157"/>
      <c r="O298" s="1157"/>
      <c r="P298" s="1157"/>
      <c r="Q298" s="1157"/>
      <c r="R298" s="1157"/>
      <c r="S298" s="1157"/>
      <c r="T298" s="902"/>
      <c r="U298" s="902"/>
      <c r="V298" s="902"/>
    </row>
    <row r="299" spans="1:22" ht="15.75" x14ac:dyDescent="0.25">
      <c r="A299" s="902"/>
      <c r="B299" s="902"/>
      <c r="C299" s="902"/>
      <c r="D299" s="902"/>
      <c r="E299" s="902"/>
      <c r="F299" s="902"/>
      <c r="G299" s="902"/>
      <c r="H299" s="902"/>
      <c r="I299" s="902"/>
      <c r="J299" s="902"/>
      <c r="K299" s="902"/>
      <c r="L299" s="902"/>
      <c r="M299" s="902"/>
      <c r="N299" s="902"/>
      <c r="O299" s="902"/>
      <c r="P299" s="902"/>
      <c r="Q299" s="902"/>
      <c r="R299" s="902"/>
      <c r="S299" s="902"/>
      <c r="T299" s="902"/>
      <c r="U299" s="902"/>
      <c r="V299" s="902"/>
    </row>
    <row r="300" spans="1:22" ht="15.75" x14ac:dyDescent="0.25">
      <c r="A300" s="902"/>
      <c r="B300" s="902"/>
      <c r="C300" s="902"/>
      <c r="D300" s="902"/>
      <c r="E300" s="902"/>
      <c r="F300" s="902"/>
      <c r="G300" s="902"/>
      <c r="H300" s="902"/>
      <c r="I300" s="902"/>
      <c r="J300" s="902"/>
      <c r="K300" s="902"/>
      <c r="L300" s="902"/>
      <c r="M300" s="902"/>
      <c r="N300" s="902"/>
      <c r="O300" s="902"/>
      <c r="P300" s="902"/>
      <c r="Q300" s="902"/>
      <c r="R300" s="902"/>
      <c r="S300" s="902"/>
      <c r="T300" s="902"/>
      <c r="U300" s="902"/>
      <c r="V300" s="902"/>
    </row>
    <row r="301" spans="1:22" ht="15.75" x14ac:dyDescent="0.25">
      <c r="A301" s="902"/>
      <c r="B301" s="902"/>
      <c r="C301" s="902"/>
      <c r="D301" s="902"/>
      <c r="E301" s="902"/>
      <c r="F301" s="902"/>
      <c r="G301" s="902"/>
      <c r="H301" s="902"/>
      <c r="I301" s="902"/>
      <c r="J301" s="902"/>
      <c r="K301" s="902"/>
      <c r="L301" s="902"/>
      <c r="M301" s="902"/>
      <c r="N301" s="902"/>
      <c r="O301" s="902"/>
      <c r="P301" s="902"/>
      <c r="Q301" s="902"/>
      <c r="R301" s="902"/>
      <c r="S301" s="902"/>
      <c r="T301" s="902"/>
      <c r="U301" s="902"/>
      <c r="V301" s="902"/>
    </row>
    <row r="302" spans="1:22" ht="15.75" x14ac:dyDescent="0.25">
      <c r="A302" s="902"/>
      <c r="B302" s="902"/>
      <c r="C302" s="902"/>
      <c r="D302" s="902"/>
      <c r="E302" s="902"/>
      <c r="F302" s="902"/>
      <c r="G302" s="902"/>
      <c r="H302" s="902"/>
      <c r="I302" s="902"/>
      <c r="J302" s="902"/>
      <c r="K302" s="902"/>
      <c r="L302" s="902"/>
      <c r="M302" s="902"/>
      <c r="N302" s="902"/>
      <c r="O302" s="902"/>
      <c r="P302" s="902"/>
      <c r="Q302" s="902"/>
      <c r="R302" s="902"/>
      <c r="S302" s="902"/>
      <c r="T302" s="902"/>
      <c r="U302" s="902"/>
      <c r="V302" s="902"/>
    </row>
    <row r="303" spans="1:22" ht="15.75" x14ac:dyDescent="0.25">
      <c r="A303" s="902"/>
      <c r="B303" s="902"/>
      <c r="C303" s="902"/>
      <c r="D303" s="902"/>
      <c r="E303" s="902"/>
      <c r="F303" s="902"/>
      <c r="G303" s="902"/>
      <c r="H303" s="902"/>
      <c r="I303" s="902"/>
      <c r="J303" s="902"/>
      <c r="K303" s="902"/>
      <c r="L303" s="902"/>
      <c r="M303" s="902"/>
      <c r="N303" s="902"/>
      <c r="O303" s="902"/>
      <c r="P303" s="902"/>
      <c r="Q303" s="902"/>
      <c r="R303" s="902"/>
      <c r="S303" s="902"/>
      <c r="T303" s="902"/>
      <c r="U303" s="902"/>
      <c r="V303" s="902"/>
    </row>
    <row r="304" spans="1:22" ht="15.75" x14ac:dyDescent="0.25">
      <c r="A304" s="902"/>
      <c r="B304" s="902"/>
      <c r="C304" s="902"/>
      <c r="D304" s="902"/>
      <c r="E304" s="902"/>
      <c r="F304" s="902"/>
      <c r="G304" s="902"/>
      <c r="H304" s="902"/>
      <c r="I304" s="902"/>
      <c r="J304" s="902"/>
      <c r="K304" s="902"/>
      <c r="L304" s="902"/>
      <c r="M304" s="902"/>
      <c r="N304" s="902"/>
      <c r="O304" s="902"/>
      <c r="P304" s="902"/>
      <c r="Q304" s="902"/>
      <c r="R304" s="902"/>
      <c r="S304" s="902"/>
      <c r="T304" s="902"/>
      <c r="U304" s="902"/>
      <c r="V304" s="902"/>
    </row>
    <row r="305" spans="1:22" ht="15.75" x14ac:dyDescent="0.25">
      <c r="A305" s="902"/>
      <c r="B305" s="902"/>
      <c r="C305" s="902"/>
      <c r="D305" s="902"/>
      <c r="E305" s="902"/>
      <c r="F305" s="902"/>
      <c r="G305" s="902"/>
      <c r="H305" s="902"/>
      <c r="I305" s="902"/>
      <c r="J305" s="902"/>
      <c r="K305" s="902"/>
      <c r="L305" s="902"/>
      <c r="M305" s="902"/>
      <c r="N305" s="902"/>
      <c r="O305" s="902"/>
      <c r="P305" s="902"/>
      <c r="Q305" s="902"/>
      <c r="R305" s="902"/>
      <c r="S305" s="902"/>
      <c r="T305" s="902"/>
      <c r="U305" s="902"/>
      <c r="V305" s="902"/>
    </row>
    <row r="306" spans="1:22" ht="15.75" x14ac:dyDescent="0.25">
      <c r="A306" s="902"/>
      <c r="B306" s="902"/>
      <c r="C306" s="902"/>
      <c r="D306" s="902"/>
      <c r="E306" s="902"/>
      <c r="F306" s="902"/>
      <c r="G306" s="902"/>
      <c r="H306" s="902"/>
      <c r="I306" s="902"/>
      <c r="J306" s="902"/>
      <c r="K306" s="902"/>
      <c r="L306" s="902"/>
      <c r="M306" s="902"/>
      <c r="N306" s="902"/>
      <c r="O306" s="902"/>
      <c r="P306" s="902"/>
      <c r="Q306" s="902"/>
      <c r="R306" s="902"/>
      <c r="S306" s="902"/>
      <c r="T306" s="902"/>
      <c r="U306" s="902"/>
      <c r="V306" s="902"/>
    </row>
    <row r="307" spans="1:22" ht="15.75" x14ac:dyDescent="0.25">
      <c r="A307" s="902"/>
      <c r="B307" s="902"/>
      <c r="C307" s="902"/>
      <c r="D307" s="902"/>
      <c r="E307" s="902"/>
      <c r="F307" s="902"/>
      <c r="G307" s="902"/>
      <c r="H307" s="902"/>
      <c r="I307" s="902"/>
      <c r="J307" s="902"/>
      <c r="K307" s="902"/>
      <c r="L307" s="902"/>
      <c r="M307" s="902"/>
      <c r="N307" s="902"/>
      <c r="O307" s="902"/>
      <c r="P307" s="902"/>
      <c r="Q307" s="902"/>
      <c r="R307" s="902"/>
      <c r="S307" s="902"/>
      <c r="T307" s="902"/>
      <c r="U307" s="902"/>
      <c r="V307" s="902"/>
    </row>
    <row r="308" spans="1:22" ht="15.75" x14ac:dyDescent="0.25">
      <c r="A308" s="902"/>
      <c r="B308" s="902"/>
      <c r="C308" s="902"/>
      <c r="D308" s="902"/>
      <c r="E308" s="902"/>
      <c r="F308" s="902"/>
      <c r="G308" s="902"/>
      <c r="H308" s="902"/>
      <c r="I308" s="902"/>
      <c r="J308" s="902"/>
      <c r="K308" s="902"/>
      <c r="L308" s="902"/>
      <c r="M308" s="902"/>
      <c r="N308" s="902"/>
      <c r="O308" s="902"/>
      <c r="P308" s="902"/>
      <c r="Q308" s="902"/>
      <c r="R308" s="902"/>
      <c r="S308" s="902"/>
      <c r="T308" s="902"/>
      <c r="U308" s="902"/>
      <c r="V308" s="902"/>
    </row>
    <row r="309" spans="1:22" ht="15.75" x14ac:dyDescent="0.25">
      <c r="A309" s="902"/>
      <c r="B309" s="902"/>
      <c r="C309" s="902"/>
      <c r="D309" s="902"/>
      <c r="E309" s="902"/>
      <c r="F309" s="902"/>
      <c r="G309" s="902"/>
      <c r="H309" s="902"/>
      <c r="I309" s="902"/>
      <c r="J309" s="902"/>
      <c r="K309" s="902"/>
      <c r="L309" s="902"/>
      <c r="M309" s="902"/>
      <c r="N309" s="902"/>
      <c r="O309" s="902"/>
      <c r="P309" s="902"/>
      <c r="Q309" s="902"/>
      <c r="R309" s="902"/>
      <c r="S309" s="902"/>
      <c r="T309" s="902"/>
      <c r="U309" s="902"/>
      <c r="V309" s="902"/>
    </row>
    <row r="310" spans="1:22" ht="15.75" x14ac:dyDescent="0.25">
      <c r="A310" s="902"/>
      <c r="B310" s="902"/>
      <c r="C310" s="902"/>
      <c r="D310" s="902"/>
      <c r="E310" s="902"/>
      <c r="F310" s="902"/>
      <c r="G310" s="902"/>
      <c r="H310" s="902"/>
      <c r="I310" s="902"/>
      <c r="J310" s="902"/>
      <c r="K310" s="902"/>
      <c r="L310" s="902"/>
      <c r="M310" s="902"/>
      <c r="N310" s="902"/>
      <c r="O310" s="902"/>
      <c r="P310" s="902"/>
      <c r="Q310" s="902"/>
      <c r="R310" s="902"/>
      <c r="S310" s="902"/>
      <c r="T310" s="902"/>
      <c r="U310" s="902"/>
      <c r="V310" s="902"/>
    </row>
    <row r="311" spans="1:22" ht="15.75" x14ac:dyDescent="0.25">
      <c r="A311" s="902"/>
      <c r="B311" s="902"/>
      <c r="C311" s="902"/>
      <c r="D311" s="902"/>
      <c r="E311" s="902"/>
      <c r="F311" s="902"/>
      <c r="G311" s="902"/>
      <c r="H311" s="902"/>
      <c r="I311" s="902"/>
      <c r="J311" s="902"/>
      <c r="K311" s="902"/>
      <c r="L311" s="902"/>
      <c r="M311" s="902"/>
      <c r="N311" s="902"/>
      <c r="O311" s="902"/>
      <c r="P311" s="902"/>
      <c r="Q311" s="902"/>
      <c r="R311" s="902"/>
      <c r="S311" s="902"/>
      <c r="T311" s="902"/>
      <c r="U311" s="902"/>
      <c r="V311" s="902"/>
    </row>
    <row r="312" spans="1:22" ht="15.75" x14ac:dyDescent="0.25">
      <c r="A312" s="902"/>
      <c r="B312" s="902"/>
      <c r="C312" s="902"/>
      <c r="D312" s="902"/>
      <c r="E312" s="902"/>
      <c r="F312" s="902"/>
      <c r="G312" s="902"/>
      <c r="H312" s="902"/>
      <c r="I312" s="902"/>
      <c r="J312" s="902"/>
      <c r="K312" s="902"/>
      <c r="L312" s="902"/>
      <c r="M312" s="902"/>
      <c r="N312" s="902"/>
      <c r="O312" s="902"/>
      <c r="P312" s="902"/>
      <c r="Q312" s="902"/>
      <c r="R312" s="902"/>
      <c r="S312" s="902"/>
      <c r="T312" s="902"/>
      <c r="U312" s="902"/>
      <c r="V312" s="902"/>
    </row>
    <row r="313" spans="1:22" ht="15.75" x14ac:dyDescent="0.25">
      <c r="A313" s="902"/>
      <c r="B313" s="902"/>
      <c r="C313" s="902"/>
      <c r="D313" s="902"/>
      <c r="E313" s="902"/>
      <c r="F313" s="902"/>
      <c r="G313" s="902"/>
      <c r="H313" s="902"/>
      <c r="I313" s="902"/>
      <c r="J313" s="902"/>
      <c r="K313" s="902"/>
      <c r="L313" s="902"/>
      <c r="M313" s="902"/>
      <c r="N313" s="902"/>
      <c r="O313" s="902"/>
      <c r="P313" s="902"/>
      <c r="Q313" s="902"/>
      <c r="R313" s="902"/>
      <c r="S313" s="902"/>
      <c r="T313" s="902"/>
      <c r="U313" s="902"/>
      <c r="V313" s="902"/>
    </row>
    <row r="314" spans="1:22" ht="15.75" x14ac:dyDescent="0.25">
      <c r="A314" s="902"/>
      <c r="B314" s="902"/>
      <c r="C314" s="902"/>
      <c r="D314" s="902"/>
      <c r="E314" s="902"/>
      <c r="F314" s="902"/>
      <c r="G314" s="902"/>
      <c r="H314" s="902"/>
      <c r="I314" s="902"/>
      <c r="J314" s="902"/>
      <c r="K314" s="902"/>
      <c r="L314" s="902"/>
      <c r="M314" s="902"/>
      <c r="N314" s="902"/>
      <c r="O314" s="902"/>
      <c r="P314" s="902"/>
      <c r="Q314" s="902"/>
      <c r="R314" s="902"/>
      <c r="S314" s="902"/>
      <c r="T314" s="902"/>
      <c r="U314" s="902"/>
      <c r="V314" s="902"/>
    </row>
    <row r="315" spans="1:22" ht="15.75" x14ac:dyDescent="0.25">
      <c r="A315" s="902"/>
      <c r="B315" s="902"/>
      <c r="C315" s="902"/>
      <c r="D315" s="902"/>
      <c r="E315" s="902"/>
      <c r="F315" s="902"/>
      <c r="G315" s="902"/>
      <c r="H315" s="902"/>
      <c r="I315" s="902"/>
      <c r="J315" s="902"/>
      <c r="K315" s="902"/>
      <c r="L315" s="902"/>
      <c r="M315" s="902"/>
      <c r="N315" s="902"/>
      <c r="O315" s="902"/>
      <c r="P315" s="902"/>
      <c r="Q315" s="902"/>
      <c r="R315" s="902"/>
      <c r="S315" s="902"/>
      <c r="T315" s="902"/>
      <c r="U315" s="902"/>
      <c r="V315" s="902"/>
    </row>
    <row r="316" spans="1:22" ht="15.75" x14ac:dyDescent="0.25">
      <c r="A316" s="902"/>
      <c r="B316" s="902"/>
      <c r="C316" s="902"/>
      <c r="D316" s="902"/>
      <c r="E316" s="902"/>
      <c r="F316" s="902"/>
      <c r="G316" s="902"/>
      <c r="H316" s="902"/>
      <c r="I316" s="902"/>
      <c r="J316" s="902"/>
      <c r="K316" s="902"/>
      <c r="L316" s="902"/>
      <c r="M316" s="902"/>
      <c r="N316" s="902"/>
      <c r="O316" s="902"/>
      <c r="P316" s="902"/>
      <c r="Q316" s="902"/>
      <c r="R316" s="902"/>
      <c r="S316" s="902"/>
      <c r="T316" s="902"/>
      <c r="U316" s="902"/>
      <c r="V316" s="902"/>
    </row>
    <row r="317" spans="1:22" ht="15.75" x14ac:dyDescent="0.25">
      <c r="A317" s="902"/>
      <c r="B317" s="902"/>
      <c r="C317" s="902"/>
      <c r="D317" s="902"/>
      <c r="E317" s="902"/>
      <c r="F317" s="902"/>
      <c r="G317" s="902"/>
      <c r="H317" s="902"/>
      <c r="I317" s="902"/>
      <c r="J317" s="902"/>
      <c r="K317" s="902"/>
      <c r="L317" s="902"/>
      <c r="M317" s="902"/>
      <c r="N317" s="902"/>
      <c r="O317" s="902"/>
      <c r="P317" s="902"/>
      <c r="Q317" s="902"/>
      <c r="R317" s="902"/>
      <c r="S317" s="902"/>
      <c r="T317" s="902"/>
      <c r="U317" s="902"/>
      <c r="V317" s="902"/>
    </row>
    <row r="318" spans="1:22" ht="15.75" x14ac:dyDescent="0.25">
      <c r="A318" s="902"/>
      <c r="B318" s="902"/>
      <c r="C318" s="902"/>
      <c r="D318" s="902"/>
      <c r="E318" s="902"/>
      <c r="F318" s="902"/>
      <c r="G318" s="902"/>
      <c r="H318" s="902"/>
      <c r="I318" s="902"/>
      <c r="J318" s="902"/>
      <c r="K318" s="902"/>
      <c r="L318" s="902"/>
      <c r="M318" s="902"/>
      <c r="N318" s="902"/>
      <c r="O318" s="902"/>
      <c r="P318" s="902"/>
      <c r="Q318" s="902"/>
      <c r="R318" s="902"/>
      <c r="S318" s="902"/>
      <c r="T318" s="902"/>
      <c r="U318" s="902"/>
      <c r="V318" s="902"/>
    </row>
    <row r="319" spans="1:22" ht="15.75" x14ac:dyDescent="0.25">
      <c r="A319" s="902"/>
      <c r="B319" s="902"/>
      <c r="C319" s="902"/>
      <c r="D319" s="902"/>
      <c r="E319" s="902"/>
      <c r="F319" s="902"/>
      <c r="G319" s="902"/>
      <c r="H319" s="902"/>
      <c r="I319" s="902"/>
      <c r="J319" s="902"/>
      <c r="K319" s="902"/>
      <c r="L319" s="902"/>
      <c r="M319" s="902"/>
      <c r="N319" s="902"/>
      <c r="O319" s="902"/>
      <c r="P319" s="902"/>
      <c r="Q319" s="902"/>
      <c r="R319" s="902"/>
      <c r="S319" s="902"/>
      <c r="T319" s="902"/>
      <c r="U319" s="902"/>
      <c r="V319" s="902"/>
    </row>
    <row r="320" spans="1:22" ht="15.75" x14ac:dyDescent="0.25">
      <c r="A320" s="902"/>
      <c r="B320" s="902"/>
      <c r="C320" s="902"/>
      <c r="D320" s="902"/>
      <c r="E320" s="902"/>
      <c r="F320" s="902"/>
      <c r="G320" s="902"/>
      <c r="H320" s="902"/>
      <c r="I320" s="902"/>
      <c r="J320" s="902"/>
      <c r="K320" s="902"/>
      <c r="L320" s="902"/>
      <c r="M320" s="902"/>
      <c r="N320" s="902"/>
      <c r="O320" s="902"/>
      <c r="P320" s="902"/>
      <c r="Q320" s="902"/>
      <c r="R320" s="902"/>
      <c r="S320" s="902"/>
      <c r="T320" s="902"/>
      <c r="U320" s="902"/>
      <c r="V320" s="902"/>
    </row>
    <row r="321" spans="1:22" ht="15.75" x14ac:dyDescent="0.25">
      <c r="A321" s="902"/>
      <c r="B321" s="902"/>
      <c r="C321" s="902"/>
      <c r="D321" s="902"/>
      <c r="E321" s="902"/>
      <c r="F321" s="902"/>
      <c r="G321" s="902"/>
      <c r="H321" s="902"/>
      <c r="I321" s="902"/>
      <c r="J321" s="902"/>
      <c r="K321" s="902"/>
      <c r="L321" s="902"/>
      <c r="M321" s="902"/>
      <c r="N321" s="902"/>
      <c r="O321" s="902"/>
      <c r="P321" s="902"/>
      <c r="Q321" s="902"/>
      <c r="R321" s="902"/>
      <c r="S321" s="902"/>
      <c r="T321" s="902"/>
      <c r="U321" s="902"/>
      <c r="V321" s="902"/>
    </row>
    <row r="322" spans="1:22" ht="15.75" x14ac:dyDescent="0.25">
      <c r="A322" s="902"/>
      <c r="B322" s="902"/>
      <c r="C322" s="902"/>
      <c r="D322" s="902"/>
      <c r="E322" s="902"/>
      <c r="F322" s="902"/>
      <c r="G322" s="902"/>
      <c r="H322" s="902"/>
      <c r="I322" s="902"/>
      <c r="J322" s="902"/>
      <c r="K322" s="902"/>
      <c r="L322" s="902"/>
      <c r="M322" s="902"/>
      <c r="N322" s="902"/>
      <c r="O322" s="902"/>
      <c r="P322" s="902"/>
      <c r="Q322" s="902"/>
      <c r="R322" s="902"/>
      <c r="S322" s="902"/>
      <c r="T322" s="902"/>
      <c r="U322" s="902"/>
      <c r="V322" s="902"/>
    </row>
    <row r="323" spans="1:22" ht="15.75" x14ac:dyDescent="0.25">
      <c r="A323" s="902"/>
      <c r="B323" s="902"/>
      <c r="C323" s="902"/>
      <c r="D323" s="902"/>
      <c r="E323" s="902"/>
      <c r="F323" s="902"/>
      <c r="G323" s="902"/>
      <c r="H323" s="902"/>
      <c r="I323" s="902"/>
      <c r="J323" s="902"/>
      <c r="K323" s="902"/>
      <c r="L323" s="902"/>
      <c r="M323" s="902"/>
      <c r="N323" s="902"/>
      <c r="O323" s="902"/>
      <c r="P323" s="902"/>
      <c r="Q323" s="902"/>
      <c r="R323" s="902"/>
      <c r="S323" s="902"/>
      <c r="T323" s="902"/>
      <c r="U323" s="902"/>
      <c r="V323" s="902"/>
    </row>
    <row r="324" spans="1:22" ht="15.75" x14ac:dyDescent="0.25">
      <c r="A324" s="902"/>
      <c r="B324" s="902"/>
      <c r="C324" s="902"/>
      <c r="D324" s="902"/>
      <c r="E324" s="902"/>
      <c r="F324" s="902"/>
      <c r="G324" s="902"/>
      <c r="H324" s="902"/>
      <c r="I324" s="902"/>
      <c r="J324" s="902"/>
      <c r="K324" s="902"/>
      <c r="L324" s="902"/>
      <c r="M324" s="902"/>
      <c r="N324" s="902"/>
      <c r="O324" s="902"/>
      <c r="P324" s="902"/>
      <c r="Q324" s="902"/>
      <c r="R324" s="902"/>
      <c r="S324" s="902"/>
      <c r="T324" s="902"/>
      <c r="U324" s="902"/>
      <c r="V324" s="902"/>
    </row>
    <row r="325" spans="1:22" ht="15.75" x14ac:dyDescent="0.25">
      <c r="A325" s="902"/>
      <c r="B325" s="902"/>
      <c r="C325" s="902"/>
      <c r="D325" s="902"/>
      <c r="E325" s="902"/>
      <c r="F325" s="902"/>
      <c r="G325" s="902"/>
      <c r="H325" s="902"/>
      <c r="I325" s="902"/>
      <c r="J325" s="902"/>
      <c r="K325" s="902"/>
      <c r="L325" s="902"/>
      <c r="M325" s="902"/>
      <c r="N325" s="902"/>
      <c r="O325" s="902"/>
      <c r="P325" s="902"/>
      <c r="Q325" s="902"/>
      <c r="R325" s="902"/>
      <c r="S325" s="902"/>
      <c r="T325" s="902"/>
      <c r="U325" s="902"/>
      <c r="V325" s="902"/>
    </row>
    <row r="326" spans="1:22" ht="15.75" x14ac:dyDescent="0.25">
      <c r="A326" s="902"/>
      <c r="B326" s="902"/>
      <c r="C326" s="902"/>
      <c r="D326" s="902"/>
      <c r="E326" s="902"/>
      <c r="F326" s="902"/>
      <c r="G326" s="902"/>
      <c r="H326" s="902"/>
      <c r="I326" s="902"/>
      <c r="J326" s="902"/>
      <c r="K326" s="902"/>
      <c r="L326" s="902"/>
      <c r="M326" s="902"/>
      <c r="N326" s="902"/>
      <c r="O326" s="902"/>
      <c r="P326" s="902"/>
      <c r="Q326" s="902"/>
      <c r="R326" s="902"/>
      <c r="S326" s="902"/>
      <c r="T326" s="902"/>
      <c r="U326" s="902"/>
      <c r="V326" s="902"/>
    </row>
    <row r="327" spans="1:22" ht="15.75" x14ac:dyDescent="0.25">
      <c r="A327" s="902"/>
      <c r="B327" s="902"/>
      <c r="C327" s="902"/>
      <c r="D327" s="902"/>
      <c r="E327" s="902"/>
      <c r="F327" s="902"/>
      <c r="G327" s="902"/>
      <c r="H327" s="902"/>
      <c r="I327" s="902"/>
      <c r="J327" s="902"/>
      <c r="K327" s="902"/>
      <c r="L327" s="902"/>
      <c r="M327" s="902"/>
      <c r="N327" s="902"/>
      <c r="O327" s="902"/>
      <c r="P327" s="902"/>
      <c r="Q327" s="902"/>
      <c r="R327" s="902"/>
      <c r="S327" s="902"/>
      <c r="T327" s="902"/>
      <c r="U327" s="902"/>
      <c r="V327" s="902"/>
    </row>
    <row r="328" spans="1:22" ht="15.75" x14ac:dyDescent="0.25">
      <c r="A328" s="902"/>
      <c r="B328" s="902"/>
      <c r="C328" s="902"/>
      <c r="D328" s="902"/>
      <c r="E328" s="902"/>
      <c r="F328" s="902"/>
      <c r="G328" s="902"/>
      <c r="H328" s="902"/>
      <c r="I328" s="902"/>
      <c r="J328" s="902"/>
      <c r="K328" s="902"/>
      <c r="L328" s="902"/>
      <c r="M328" s="902"/>
      <c r="N328" s="902"/>
      <c r="O328" s="902"/>
      <c r="P328" s="902"/>
      <c r="Q328" s="902"/>
      <c r="R328" s="902"/>
      <c r="S328" s="902"/>
      <c r="T328" s="902"/>
      <c r="U328" s="902"/>
      <c r="V328" s="902"/>
    </row>
    <row r="329" spans="1:22" ht="15.75" x14ac:dyDescent="0.25">
      <c r="A329" s="902"/>
      <c r="B329" s="902"/>
      <c r="C329" s="902"/>
      <c r="D329" s="902"/>
      <c r="E329" s="902"/>
      <c r="F329" s="902"/>
      <c r="G329" s="902"/>
      <c r="H329" s="902"/>
      <c r="I329" s="902"/>
      <c r="J329" s="902"/>
      <c r="K329" s="902"/>
      <c r="L329" s="902"/>
      <c r="M329" s="902"/>
      <c r="N329" s="902"/>
      <c r="O329" s="902"/>
      <c r="P329" s="902"/>
      <c r="Q329" s="902"/>
      <c r="R329" s="902"/>
      <c r="S329" s="902"/>
      <c r="T329" s="902"/>
      <c r="U329" s="902"/>
      <c r="V329" s="902"/>
    </row>
    <row r="330" spans="1:22" ht="15.75" x14ac:dyDescent="0.25">
      <c r="A330" s="902"/>
      <c r="B330" s="902"/>
      <c r="C330" s="902"/>
      <c r="D330" s="902"/>
      <c r="E330" s="902"/>
      <c r="F330" s="902"/>
      <c r="G330" s="902"/>
      <c r="H330" s="902"/>
      <c r="I330" s="902"/>
      <c r="J330" s="902"/>
      <c r="K330" s="902"/>
      <c r="L330" s="902"/>
      <c r="M330" s="902"/>
      <c r="N330" s="902"/>
      <c r="O330" s="902"/>
      <c r="P330" s="902"/>
      <c r="Q330" s="902"/>
      <c r="R330" s="902"/>
      <c r="S330" s="902"/>
      <c r="T330" s="902"/>
      <c r="U330" s="902"/>
      <c r="V330" s="902"/>
    </row>
    <row r="331" spans="1:22" ht="15.75" x14ac:dyDescent="0.25">
      <c r="A331" s="902"/>
      <c r="B331" s="902"/>
      <c r="C331" s="902"/>
      <c r="D331" s="902"/>
      <c r="E331" s="902"/>
      <c r="F331" s="902"/>
      <c r="G331" s="902"/>
      <c r="H331" s="902"/>
      <c r="I331" s="902"/>
      <c r="J331" s="902"/>
      <c r="K331" s="902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2" ht="15.75" x14ac:dyDescent="0.25">
      <c r="A332" s="902"/>
      <c r="B332" s="902"/>
      <c r="C332" s="902"/>
      <c r="D332" s="902"/>
      <c r="E332" s="902"/>
      <c r="F332" s="902"/>
      <c r="G332" s="902"/>
      <c r="H332" s="902"/>
      <c r="I332" s="902"/>
      <c r="J332" s="902"/>
      <c r="K332" s="902"/>
      <c r="L332" s="902"/>
      <c r="M332" s="902"/>
      <c r="N332" s="902"/>
      <c r="O332" s="902"/>
      <c r="P332" s="902"/>
      <c r="Q332" s="902"/>
      <c r="R332" s="902"/>
      <c r="S332" s="902"/>
      <c r="T332" s="902"/>
      <c r="U332" s="902"/>
      <c r="V332" s="902"/>
    </row>
    <row r="333" spans="1:22" ht="15.75" x14ac:dyDescent="0.25">
      <c r="A333" s="902"/>
      <c r="B333" s="902"/>
      <c r="C333" s="902"/>
      <c r="D333" s="902"/>
      <c r="E333" s="902"/>
      <c r="F333" s="902"/>
      <c r="G333" s="902"/>
      <c r="H333" s="902"/>
      <c r="I333" s="902"/>
      <c r="J333" s="902"/>
      <c r="K333" s="902"/>
      <c r="L333" s="902"/>
      <c r="M333" s="902"/>
      <c r="N333" s="902"/>
      <c r="O333" s="902"/>
      <c r="P333" s="902"/>
      <c r="Q333" s="902"/>
      <c r="R333" s="902"/>
      <c r="S333" s="902"/>
      <c r="T333" s="902"/>
      <c r="U333" s="902"/>
      <c r="V333" s="902"/>
    </row>
    <row r="334" spans="1:22" ht="15.75" x14ac:dyDescent="0.25">
      <c r="A334" s="902"/>
      <c r="B334" s="902"/>
      <c r="C334" s="902"/>
      <c r="D334" s="902"/>
      <c r="E334" s="902"/>
      <c r="F334" s="902"/>
      <c r="G334" s="902"/>
      <c r="H334" s="902"/>
      <c r="I334" s="902"/>
      <c r="J334" s="902"/>
      <c r="K334" s="902"/>
      <c r="L334" s="902"/>
      <c r="M334" s="902"/>
      <c r="N334" s="902"/>
      <c r="O334" s="902"/>
      <c r="P334" s="902"/>
      <c r="Q334" s="902"/>
      <c r="R334" s="902"/>
      <c r="S334" s="902"/>
      <c r="T334" s="902"/>
      <c r="U334" s="902"/>
      <c r="V334" s="902"/>
    </row>
    <row r="335" spans="1:22" ht="15.75" x14ac:dyDescent="0.25">
      <c r="A335" s="902"/>
      <c r="B335" s="902"/>
      <c r="C335" s="902"/>
      <c r="D335" s="902"/>
      <c r="E335" s="902"/>
      <c r="F335" s="902"/>
      <c r="G335" s="902"/>
      <c r="H335" s="902"/>
      <c r="I335" s="902"/>
      <c r="J335" s="902"/>
      <c r="K335" s="902"/>
      <c r="L335" s="902"/>
      <c r="M335" s="902"/>
      <c r="N335" s="902"/>
      <c r="O335" s="902"/>
      <c r="P335" s="902"/>
      <c r="Q335" s="902"/>
      <c r="R335" s="902"/>
      <c r="S335" s="902"/>
      <c r="T335" s="902"/>
      <c r="U335" s="902"/>
      <c r="V335" s="902"/>
    </row>
    <row r="336" spans="1:22" ht="15.75" x14ac:dyDescent="0.25">
      <c r="A336" s="902"/>
      <c r="B336" s="902"/>
      <c r="C336" s="902"/>
      <c r="D336" s="902"/>
      <c r="E336" s="902"/>
      <c r="F336" s="902"/>
      <c r="G336" s="902"/>
      <c r="H336" s="902"/>
      <c r="I336" s="902"/>
      <c r="J336" s="902"/>
      <c r="K336" s="902"/>
      <c r="L336" s="902"/>
      <c r="M336" s="902"/>
      <c r="N336" s="902"/>
      <c r="O336" s="902"/>
      <c r="P336" s="902"/>
      <c r="Q336" s="902"/>
      <c r="R336" s="902"/>
      <c r="S336" s="902"/>
      <c r="T336" s="902"/>
      <c r="U336" s="902"/>
      <c r="V336" s="902"/>
    </row>
    <row r="337" spans="1:22" ht="15.75" x14ac:dyDescent="0.25">
      <c r="A337" s="902"/>
      <c r="B337" s="902"/>
      <c r="C337" s="902"/>
      <c r="D337" s="902"/>
      <c r="E337" s="902"/>
      <c r="F337" s="902"/>
      <c r="G337" s="902"/>
      <c r="H337" s="902"/>
      <c r="I337" s="902"/>
      <c r="J337" s="902"/>
      <c r="K337" s="902"/>
      <c r="L337" s="902"/>
      <c r="M337" s="902"/>
      <c r="N337" s="902"/>
      <c r="O337" s="902"/>
      <c r="P337" s="902"/>
      <c r="Q337" s="902"/>
      <c r="R337" s="902"/>
      <c r="S337" s="902"/>
      <c r="T337" s="902"/>
      <c r="U337" s="902"/>
      <c r="V337" s="902"/>
    </row>
    <row r="338" spans="1:22" ht="15.75" x14ac:dyDescent="0.25">
      <c r="A338" s="902"/>
      <c r="B338" s="902"/>
      <c r="C338" s="902"/>
      <c r="D338" s="902"/>
      <c r="E338" s="902"/>
      <c r="F338" s="902"/>
      <c r="G338" s="902"/>
      <c r="H338" s="902"/>
      <c r="I338" s="902"/>
      <c r="J338" s="902"/>
      <c r="K338" s="902"/>
      <c r="L338" s="902"/>
      <c r="M338" s="902"/>
      <c r="N338" s="902"/>
      <c r="O338" s="902"/>
      <c r="P338" s="902"/>
      <c r="Q338" s="902"/>
      <c r="R338" s="902"/>
      <c r="S338" s="902"/>
      <c r="T338" s="902"/>
      <c r="U338" s="902"/>
      <c r="V338" s="902"/>
    </row>
    <row r="339" spans="1:22" ht="15.75" x14ac:dyDescent="0.25">
      <c r="A339" s="902"/>
      <c r="B339" s="902"/>
      <c r="C339" s="902"/>
      <c r="D339" s="902"/>
      <c r="E339" s="902"/>
      <c r="F339" s="902"/>
      <c r="G339" s="902"/>
      <c r="H339" s="902"/>
      <c r="I339" s="902"/>
      <c r="J339" s="902"/>
      <c r="K339" s="902"/>
      <c r="L339" s="902"/>
      <c r="M339" s="902"/>
      <c r="N339" s="902"/>
      <c r="O339" s="902"/>
      <c r="P339" s="902"/>
      <c r="Q339" s="902"/>
      <c r="R339" s="902"/>
      <c r="S339" s="902"/>
      <c r="T339" s="902"/>
      <c r="U339" s="902"/>
      <c r="V339" s="902"/>
    </row>
    <row r="340" spans="1:22" ht="15.75" x14ac:dyDescent="0.25">
      <c r="A340" s="902"/>
      <c r="B340" s="902"/>
      <c r="C340" s="902"/>
      <c r="D340" s="902"/>
      <c r="E340" s="902"/>
      <c r="F340" s="902"/>
      <c r="G340" s="902"/>
      <c r="H340" s="902"/>
      <c r="I340" s="902"/>
      <c r="J340" s="902"/>
      <c r="K340" s="902"/>
      <c r="L340" s="902"/>
      <c r="M340" s="902"/>
      <c r="N340" s="902"/>
      <c r="O340" s="902"/>
      <c r="P340" s="902"/>
      <c r="Q340" s="902"/>
      <c r="R340" s="902"/>
      <c r="S340" s="902"/>
      <c r="T340" s="902"/>
      <c r="U340" s="902"/>
      <c r="V340" s="902"/>
    </row>
    <row r="341" spans="1:22" ht="15.75" x14ac:dyDescent="0.25">
      <c r="A341" s="902"/>
      <c r="B341" s="902"/>
      <c r="C341" s="902"/>
      <c r="D341" s="902"/>
      <c r="E341" s="902"/>
      <c r="F341" s="902"/>
      <c r="G341" s="902"/>
      <c r="H341" s="902"/>
      <c r="I341" s="902"/>
      <c r="J341" s="902"/>
      <c r="K341" s="902"/>
      <c r="L341" s="902"/>
      <c r="M341" s="902"/>
      <c r="N341" s="902"/>
      <c r="O341" s="902"/>
      <c r="P341" s="902"/>
      <c r="Q341" s="902"/>
      <c r="R341" s="902"/>
      <c r="S341" s="902"/>
      <c r="T341" s="902"/>
      <c r="U341" s="902"/>
      <c r="V341" s="902"/>
    </row>
    <row r="342" spans="1:22" ht="15.75" x14ac:dyDescent="0.25">
      <c r="A342" s="902"/>
      <c r="B342" s="902"/>
      <c r="C342" s="902"/>
      <c r="D342" s="902"/>
      <c r="E342" s="902"/>
      <c r="F342" s="902"/>
      <c r="G342" s="902"/>
      <c r="H342" s="902"/>
      <c r="I342" s="902"/>
      <c r="J342" s="902"/>
      <c r="K342" s="902"/>
      <c r="L342" s="902"/>
      <c r="M342" s="902"/>
      <c r="N342" s="902"/>
      <c r="O342" s="902"/>
      <c r="P342" s="902"/>
      <c r="Q342" s="902"/>
      <c r="R342" s="902"/>
      <c r="S342" s="902"/>
      <c r="T342" s="902"/>
      <c r="U342" s="902"/>
      <c r="V342" s="902"/>
    </row>
    <row r="343" spans="1:22" ht="15.75" x14ac:dyDescent="0.25">
      <c r="A343" s="902"/>
      <c r="B343" s="902"/>
      <c r="C343" s="902"/>
      <c r="D343" s="902"/>
      <c r="E343" s="902"/>
      <c r="F343" s="902"/>
      <c r="G343" s="902"/>
      <c r="H343" s="902"/>
      <c r="I343" s="902"/>
      <c r="J343" s="902"/>
      <c r="K343" s="902"/>
      <c r="L343" s="902"/>
      <c r="M343" s="902"/>
      <c r="N343" s="902"/>
      <c r="O343" s="902"/>
      <c r="P343" s="902"/>
      <c r="Q343" s="902"/>
      <c r="R343" s="902"/>
      <c r="S343" s="902"/>
      <c r="T343" s="902"/>
      <c r="U343" s="902"/>
      <c r="V343" s="902"/>
    </row>
    <row r="344" spans="1:22" ht="15.75" x14ac:dyDescent="0.25">
      <c r="A344" s="902"/>
      <c r="B344" s="902"/>
      <c r="C344" s="902"/>
      <c r="D344" s="902"/>
      <c r="E344" s="902"/>
      <c r="F344" s="902"/>
      <c r="G344" s="902"/>
      <c r="H344" s="902"/>
      <c r="I344" s="902"/>
      <c r="J344" s="902"/>
      <c r="K344" s="902"/>
      <c r="L344" s="902"/>
      <c r="M344" s="902"/>
      <c r="N344" s="902"/>
      <c r="O344" s="902"/>
      <c r="P344" s="902"/>
      <c r="Q344" s="902"/>
      <c r="R344" s="902"/>
      <c r="S344" s="902"/>
      <c r="T344" s="902"/>
      <c r="U344" s="902"/>
      <c r="V344" s="902"/>
    </row>
    <row r="345" spans="1:22" ht="15.75" x14ac:dyDescent="0.25">
      <c r="A345" s="902"/>
      <c r="B345" s="902"/>
      <c r="C345" s="902"/>
      <c r="D345" s="902"/>
      <c r="E345" s="902"/>
      <c r="F345" s="902"/>
      <c r="G345" s="902"/>
      <c r="H345" s="902"/>
      <c r="I345" s="902"/>
      <c r="J345" s="902"/>
      <c r="K345" s="902"/>
      <c r="L345" s="902"/>
      <c r="M345" s="902"/>
      <c r="N345" s="902"/>
      <c r="O345" s="902"/>
      <c r="P345" s="902"/>
      <c r="Q345" s="902"/>
      <c r="R345" s="902"/>
      <c r="S345" s="902"/>
      <c r="T345" s="902"/>
      <c r="U345" s="902"/>
      <c r="V345" s="902"/>
    </row>
    <row r="346" spans="1:22" ht="15.75" x14ac:dyDescent="0.25">
      <c r="A346" s="902"/>
      <c r="B346" s="902"/>
      <c r="C346" s="902"/>
      <c r="D346" s="902"/>
      <c r="E346" s="902"/>
      <c r="F346" s="902"/>
      <c r="G346" s="902"/>
      <c r="H346" s="902"/>
      <c r="I346" s="902"/>
      <c r="J346" s="902"/>
      <c r="K346" s="902"/>
      <c r="L346" s="902"/>
      <c r="M346" s="902"/>
      <c r="N346" s="902"/>
      <c r="O346" s="902"/>
      <c r="P346" s="902"/>
      <c r="Q346" s="902"/>
      <c r="R346" s="902"/>
      <c r="S346" s="902"/>
      <c r="T346" s="902"/>
      <c r="U346" s="902"/>
      <c r="V346" s="902"/>
    </row>
    <row r="347" spans="1:22" ht="15.75" x14ac:dyDescent="0.25">
      <c r="A347" s="902"/>
      <c r="B347" s="902"/>
      <c r="C347" s="902"/>
      <c r="D347" s="902"/>
      <c r="E347" s="902"/>
      <c r="F347" s="902"/>
      <c r="G347" s="902"/>
      <c r="H347" s="902"/>
      <c r="I347" s="902"/>
      <c r="J347" s="902"/>
      <c r="K347" s="902"/>
      <c r="L347" s="902"/>
      <c r="M347" s="902"/>
      <c r="N347" s="902"/>
      <c r="O347" s="902"/>
      <c r="P347" s="902"/>
      <c r="Q347" s="902"/>
      <c r="R347" s="902"/>
      <c r="S347" s="902"/>
      <c r="T347" s="902"/>
      <c r="U347" s="902"/>
      <c r="V347" s="902"/>
    </row>
    <row r="348" spans="1:22" ht="15.75" x14ac:dyDescent="0.25">
      <c r="A348" s="902"/>
      <c r="B348" s="902"/>
      <c r="C348" s="902"/>
      <c r="D348" s="902"/>
      <c r="E348" s="902"/>
      <c r="F348" s="902"/>
      <c r="G348" s="902"/>
      <c r="H348" s="902"/>
      <c r="I348" s="902"/>
      <c r="J348" s="902"/>
      <c r="K348" s="902"/>
      <c r="L348" s="902"/>
      <c r="M348" s="902"/>
      <c r="N348" s="902"/>
      <c r="O348" s="902"/>
      <c r="P348" s="902"/>
      <c r="Q348" s="902"/>
      <c r="R348" s="902"/>
      <c r="S348" s="902"/>
      <c r="T348" s="902"/>
      <c r="U348" s="902"/>
      <c r="V348" s="902"/>
    </row>
    <row r="349" spans="1:22" ht="15.75" x14ac:dyDescent="0.25">
      <c r="A349" s="902"/>
      <c r="B349" s="902"/>
      <c r="C349" s="902"/>
      <c r="D349" s="902"/>
      <c r="E349" s="902"/>
      <c r="F349" s="902"/>
      <c r="G349" s="902"/>
      <c r="H349" s="902"/>
      <c r="I349" s="902"/>
      <c r="J349" s="902"/>
      <c r="K349" s="902"/>
      <c r="L349" s="902"/>
      <c r="M349" s="902"/>
      <c r="N349" s="902"/>
      <c r="O349" s="902"/>
      <c r="P349" s="902"/>
      <c r="Q349" s="902"/>
      <c r="R349" s="902"/>
      <c r="S349" s="902"/>
      <c r="T349" s="902"/>
      <c r="U349" s="902"/>
      <c r="V349" s="902"/>
    </row>
    <row r="350" spans="1:22" ht="15.75" x14ac:dyDescent="0.25">
      <c r="A350" s="902"/>
      <c r="B350" s="902"/>
      <c r="C350" s="902"/>
      <c r="D350" s="902"/>
      <c r="E350" s="902"/>
      <c r="F350" s="902"/>
      <c r="G350" s="902"/>
      <c r="H350" s="902"/>
      <c r="I350" s="902"/>
      <c r="J350" s="902"/>
      <c r="K350" s="902"/>
      <c r="L350" s="902"/>
      <c r="M350" s="902"/>
      <c r="N350" s="902"/>
      <c r="O350" s="902"/>
      <c r="P350" s="902"/>
      <c r="Q350" s="902"/>
      <c r="R350" s="902"/>
      <c r="S350" s="902"/>
      <c r="T350" s="902"/>
      <c r="U350" s="902"/>
      <c r="V350" s="902"/>
    </row>
    <row r="351" spans="1:22" ht="15.75" x14ac:dyDescent="0.25">
      <c r="A351" s="902"/>
      <c r="B351" s="902"/>
      <c r="C351" s="902"/>
      <c r="D351" s="902"/>
      <c r="E351" s="902"/>
      <c r="F351" s="902"/>
      <c r="G351" s="902"/>
      <c r="H351" s="902"/>
      <c r="I351" s="902"/>
      <c r="J351" s="902"/>
      <c r="K351" s="902"/>
      <c r="L351" s="902"/>
      <c r="M351" s="902"/>
      <c r="N351" s="902"/>
      <c r="O351" s="902"/>
      <c r="P351" s="902"/>
      <c r="Q351" s="902"/>
      <c r="R351" s="902"/>
      <c r="S351" s="902"/>
      <c r="T351" s="902"/>
      <c r="U351" s="902"/>
      <c r="V351" s="902"/>
    </row>
    <row r="352" spans="1:22" ht="15.75" x14ac:dyDescent="0.25">
      <c r="A352" s="902"/>
      <c r="B352" s="902"/>
      <c r="C352" s="902"/>
      <c r="D352" s="902"/>
      <c r="E352" s="902"/>
      <c r="F352" s="902"/>
      <c r="G352" s="902"/>
      <c r="H352" s="902"/>
      <c r="I352" s="902"/>
      <c r="J352" s="902"/>
      <c r="K352" s="902"/>
      <c r="L352" s="902"/>
      <c r="M352" s="902"/>
      <c r="N352" s="902"/>
      <c r="O352" s="902"/>
      <c r="P352" s="902"/>
      <c r="Q352" s="902"/>
      <c r="R352" s="902"/>
      <c r="S352" s="902"/>
      <c r="T352" s="902"/>
      <c r="U352" s="902"/>
      <c r="V352" s="902"/>
    </row>
    <row r="353" spans="1:22" ht="15.75" x14ac:dyDescent="0.25">
      <c r="A353" s="902"/>
      <c r="B353" s="902"/>
      <c r="C353" s="902"/>
      <c r="D353" s="902"/>
      <c r="E353" s="902"/>
      <c r="F353" s="902"/>
      <c r="G353" s="902"/>
      <c r="H353" s="902"/>
      <c r="I353" s="902"/>
      <c r="J353" s="902"/>
      <c r="K353" s="902"/>
      <c r="L353" s="902"/>
      <c r="M353" s="902"/>
      <c r="N353" s="902"/>
      <c r="O353" s="902"/>
      <c r="P353" s="902"/>
      <c r="Q353" s="902"/>
      <c r="R353" s="902"/>
      <c r="S353" s="902"/>
      <c r="T353" s="902"/>
      <c r="U353" s="902"/>
      <c r="V353" s="902"/>
    </row>
    <row r="354" spans="1:22" ht="15.75" x14ac:dyDescent="0.25">
      <c r="A354" s="902"/>
      <c r="B354" s="902"/>
      <c r="C354" s="902"/>
      <c r="D354" s="902"/>
      <c r="E354" s="902"/>
      <c r="F354" s="902"/>
      <c r="G354" s="902"/>
      <c r="H354" s="902"/>
      <c r="I354" s="902"/>
      <c r="J354" s="902"/>
      <c r="K354" s="902"/>
      <c r="L354" s="902"/>
      <c r="M354" s="902"/>
      <c r="N354" s="902"/>
      <c r="O354" s="902"/>
      <c r="P354" s="902"/>
      <c r="Q354" s="902"/>
      <c r="R354" s="902"/>
      <c r="S354" s="902"/>
      <c r="T354" s="902"/>
      <c r="U354" s="902"/>
      <c r="V354" s="902"/>
    </row>
    <row r="355" spans="1:22" ht="15.75" x14ac:dyDescent="0.25">
      <c r="A355" s="902"/>
      <c r="B355" s="902"/>
      <c r="C355" s="902"/>
      <c r="D355" s="902"/>
      <c r="E355" s="902"/>
      <c r="F355" s="902"/>
      <c r="G355" s="902"/>
      <c r="H355" s="902"/>
      <c r="I355" s="902"/>
      <c r="J355" s="902"/>
      <c r="K355" s="902"/>
      <c r="L355" s="902"/>
      <c r="M355" s="902"/>
      <c r="N355" s="902"/>
      <c r="O355" s="902"/>
      <c r="P355" s="902"/>
      <c r="Q355" s="902"/>
      <c r="R355" s="902"/>
      <c r="S355" s="902"/>
      <c r="T355" s="902"/>
      <c r="U355" s="902"/>
      <c r="V355" s="902"/>
    </row>
    <row r="356" spans="1:22" ht="15.75" x14ac:dyDescent="0.25">
      <c r="A356" s="902"/>
      <c r="B356" s="902"/>
      <c r="C356" s="902"/>
      <c r="D356" s="902"/>
      <c r="E356" s="902"/>
      <c r="F356" s="902"/>
      <c r="G356" s="902"/>
      <c r="H356" s="902"/>
      <c r="I356" s="902"/>
      <c r="J356" s="902"/>
      <c r="K356" s="902"/>
      <c r="L356" s="902"/>
      <c r="M356" s="902"/>
      <c r="N356" s="902"/>
      <c r="O356" s="902"/>
      <c r="P356" s="902"/>
      <c r="Q356" s="902"/>
      <c r="R356" s="902"/>
      <c r="S356" s="902"/>
      <c r="T356" s="902"/>
      <c r="U356" s="902"/>
      <c r="V356" s="902"/>
    </row>
    <row r="357" spans="1:22" ht="15.75" x14ac:dyDescent="0.25">
      <c r="A357" s="902"/>
      <c r="B357" s="902"/>
      <c r="C357" s="902"/>
      <c r="D357" s="902"/>
      <c r="E357" s="902"/>
      <c r="F357" s="902"/>
      <c r="G357" s="902"/>
      <c r="H357" s="902"/>
      <c r="I357" s="902"/>
      <c r="J357" s="902"/>
      <c r="K357" s="902"/>
      <c r="L357" s="902"/>
      <c r="M357" s="902"/>
      <c r="N357" s="902"/>
      <c r="O357" s="902"/>
      <c r="P357" s="902"/>
      <c r="Q357" s="902"/>
      <c r="R357" s="902"/>
      <c r="S357" s="902"/>
      <c r="T357" s="902"/>
      <c r="U357" s="902"/>
      <c r="V357" s="902"/>
    </row>
    <row r="358" spans="1:22" ht="15.75" x14ac:dyDescent="0.25">
      <c r="A358" s="902"/>
      <c r="B358" s="902"/>
      <c r="C358" s="902"/>
      <c r="D358" s="902"/>
      <c r="E358" s="902"/>
      <c r="F358" s="902"/>
      <c r="G358" s="902"/>
      <c r="H358" s="902"/>
      <c r="I358" s="902"/>
      <c r="J358" s="902"/>
      <c r="K358" s="902"/>
      <c r="L358" s="902"/>
      <c r="M358" s="902"/>
      <c r="N358" s="902"/>
      <c r="O358" s="902"/>
      <c r="P358" s="902"/>
      <c r="Q358" s="902"/>
      <c r="R358" s="902"/>
      <c r="S358" s="902"/>
      <c r="T358" s="902"/>
      <c r="U358" s="902"/>
      <c r="V358" s="902"/>
    </row>
    <row r="359" spans="1:22" ht="15.75" x14ac:dyDescent="0.25">
      <c r="A359" s="902"/>
      <c r="B359" s="902"/>
      <c r="C359" s="902"/>
      <c r="D359" s="902"/>
      <c r="E359" s="902"/>
      <c r="F359" s="902"/>
      <c r="G359" s="902"/>
      <c r="H359" s="902"/>
      <c r="I359" s="902"/>
      <c r="J359" s="902"/>
      <c r="K359" s="902"/>
      <c r="L359" s="902"/>
      <c r="M359" s="902"/>
      <c r="N359" s="902"/>
      <c r="O359" s="902"/>
      <c r="P359" s="902"/>
      <c r="Q359" s="902"/>
      <c r="R359" s="902"/>
      <c r="S359" s="902"/>
      <c r="T359" s="902"/>
      <c r="U359" s="902"/>
      <c r="V359" s="902"/>
    </row>
    <row r="360" spans="1:22" ht="15.75" x14ac:dyDescent="0.25">
      <c r="A360" s="902"/>
      <c r="B360" s="902"/>
      <c r="C360" s="902"/>
      <c r="D360" s="902"/>
      <c r="E360" s="902"/>
      <c r="F360" s="902"/>
      <c r="G360" s="902"/>
      <c r="H360" s="902"/>
      <c r="I360" s="902"/>
      <c r="J360" s="902"/>
      <c r="K360" s="902"/>
      <c r="L360" s="902"/>
      <c r="M360" s="902"/>
      <c r="N360" s="902"/>
      <c r="O360" s="902"/>
      <c r="P360" s="902"/>
      <c r="Q360" s="902"/>
      <c r="R360" s="902"/>
      <c r="S360" s="902"/>
      <c r="T360" s="902"/>
      <c r="U360" s="902"/>
      <c r="V360" s="902"/>
    </row>
    <row r="361" spans="1:22" ht="15.75" x14ac:dyDescent="0.25">
      <c r="A361" s="902"/>
      <c r="B361" s="902"/>
      <c r="C361" s="902"/>
      <c r="D361" s="902"/>
      <c r="E361" s="902"/>
      <c r="F361" s="902"/>
      <c r="G361" s="902"/>
      <c r="H361" s="902"/>
      <c r="I361" s="902"/>
      <c r="J361" s="902"/>
      <c r="K361" s="902"/>
      <c r="L361" s="902"/>
      <c r="M361" s="902"/>
      <c r="N361" s="902"/>
      <c r="O361" s="902"/>
      <c r="P361" s="902"/>
      <c r="Q361" s="902"/>
      <c r="R361" s="902"/>
      <c r="S361" s="902"/>
      <c r="T361" s="902"/>
      <c r="U361" s="902"/>
      <c r="V361" s="902"/>
    </row>
    <row r="362" spans="1:22" ht="15.75" x14ac:dyDescent="0.25">
      <c r="A362" s="902"/>
      <c r="B362" s="902"/>
      <c r="C362" s="902"/>
      <c r="D362" s="902"/>
      <c r="E362" s="902"/>
      <c r="F362" s="902"/>
      <c r="G362" s="902"/>
      <c r="H362" s="902"/>
      <c r="I362" s="902"/>
      <c r="J362" s="902"/>
      <c r="K362" s="902"/>
      <c r="L362" s="902"/>
      <c r="M362" s="902"/>
      <c r="N362" s="902"/>
      <c r="O362" s="902"/>
      <c r="P362" s="902"/>
      <c r="Q362" s="902"/>
      <c r="R362" s="902"/>
      <c r="S362" s="902"/>
      <c r="T362" s="902"/>
      <c r="U362" s="902"/>
      <c r="V362" s="902"/>
    </row>
    <row r="363" spans="1:22" ht="15.75" x14ac:dyDescent="0.25">
      <c r="A363" s="902"/>
      <c r="B363" s="902"/>
      <c r="C363" s="902"/>
      <c r="D363" s="902"/>
      <c r="E363" s="902"/>
      <c r="F363" s="902"/>
      <c r="G363" s="902"/>
      <c r="H363" s="902"/>
      <c r="I363" s="902"/>
      <c r="J363" s="902"/>
      <c r="K363" s="902"/>
      <c r="L363" s="902"/>
      <c r="M363" s="902"/>
      <c r="N363" s="902"/>
      <c r="O363" s="902"/>
      <c r="P363" s="902"/>
      <c r="Q363" s="902"/>
      <c r="R363" s="902"/>
      <c r="S363" s="902"/>
      <c r="T363" s="902"/>
      <c r="U363" s="902"/>
      <c r="V363" s="902"/>
    </row>
    <row r="364" spans="1:22" ht="15.75" x14ac:dyDescent="0.25">
      <c r="A364" s="902"/>
      <c r="B364" s="902"/>
      <c r="C364" s="902"/>
      <c r="D364" s="902"/>
      <c r="E364" s="902"/>
      <c r="F364" s="902"/>
      <c r="G364" s="902"/>
      <c r="H364" s="902"/>
      <c r="I364" s="902"/>
      <c r="J364" s="902"/>
      <c r="K364" s="902"/>
      <c r="L364" s="902"/>
      <c r="M364" s="902"/>
      <c r="N364" s="902"/>
      <c r="O364" s="902"/>
      <c r="P364" s="902"/>
      <c r="Q364" s="902"/>
      <c r="R364" s="902"/>
      <c r="S364" s="902"/>
      <c r="T364" s="902"/>
      <c r="U364" s="902"/>
      <c r="V364" s="902"/>
    </row>
    <row r="365" spans="1:22" ht="15.75" x14ac:dyDescent="0.25">
      <c r="A365" s="902"/>
      <c r="B365" s="902"/>
      <c r="C365" s="902"/>
      <c r="D365" s="902"/>
      <c r="E365" s="902"/>
      <c r="F365" s="902"/>
      <c r="G365" s="902"/>
      <c r="H365" s="902"/>
      <c r="I365" s="902"/>
      <c r="J365" s="902"/>
      <c r="K365" s="902"/>
      <c r="L365" s="902"/>
      <c r="M365" s="902"/>
      <c r="N365" s="902"/>
      <c r="O365" s="902"/>
      <c r="P365" s="902"/>
      <c r="Q365" s="902"/>
      <c r="R365" s="902"/>
      <c r="S365" s="902"/>
      <c r="T365" s="902"/>
      <c r="U365" s="902"/>
      <c r="V365" s="902"/>
    </row>
    <row r="366" spans="1:22" ht="15.75" x14ac:dyDescent="0.25">
      <c r="A366" s="902"/>
      <c r="B366" s="902"/>
      <c r="C366" s="902"/>
      <c r="D366" s="902"/>
      <c r="E366" s="902"/>
      <c r="F366" s="902"/>
      <c r="G366" s="902"/>
      <c r="H366" s="902"/>
      <c r="I366" s="902"/>
      <c r="J366" s="902"/>
      <c r="K366" s="902"/>
      <c r="L366" s="902"/>
      <c r="M366" s="902"/>
      <c r="N366" s="902"/>
      <c r="O366" s="902"/>
      <c r="P366" s="902"/>
      <c r="Q366" s="902"/>
      <c r="R366" s="902"/>
      <c r="S366" s="902"/>
      <c r="T366" s="902"/>
      <c r="U366" s="902"/>
      <c r="V366" s="902"/>
    </row>
    <row r="367" spans="1:22" ht="15.75" x14ac:dyDescent="0.25">
      <c r="A367" s="902"/>
      <c r="B367" s="902"/>
      <c r="C367" s="902"/>
      <c r="D367" s="902"/>
      <c r="E367" s="902"/>
      <c r="F367" s="902"/>
      <c r="G367" s="902"/>
      <c r="H367" s="902"/>
      <c r="I367" s="902"/>
      <c r="J367" s="902"/>
      <c r="K367" s="902"/>
      <c r="L367" s="902"/>
      <c r="M367" s="902"/>
      <c r="N367" s="902"/>
      <c r="O367" s="902"/>
      <c r="P367" s="902"/>
      <c r="Q367" s="902"/>
      <c r="R367" s="902"/>
      <c r="S367" s="902"/>
      <c r="T367" s="902"/>
      <c r="U367" s="902"/>
      <c r="V367" s="902"/>
    </row>
    <row r="368" spans="1:22" ht="15.75" x14ac:dyDescent="0.25">
      <c r="A368" s="902"/>
      <c r="B368" s="902"/>
      <c r="C368" s="902"/>
      <c r="D368" s="902"/>
      <c r="E368" s="902"/>
      <c r="F368" s="902"/>
      <c r="G368" s="902"/>
      <c r="H368" s="902"/>
      <c r="I368" s="902"/>
      <c r="J368" s="902"/>
      <c r="K368" s="902"/>
      <c r="L368" s="902"/>
      <c r="M368" s="902"/>
      <c r="N368" s="902"/>
      <c r="O368" s="902"/>
      <c r="P368" s="902"/>
      <c r="Q368" s="902"/>
      <c r="R368" s="902"/>
      <c r="S368" s="902"/>
      <c r="T368" s="902"/>
      <c r="U368" s="902"/>
      <c r="V368" s="902"/>
    </row>
    <row r="369" spans="1:22" ht="15.75" x14ac:dyDescent="0.25">
      <c r="A369" s="902"/>
      <c r="B369" s="902"/>
      <c r="C369" s="902"/>
      <c r="D369" s="902"/>
      <c r="E369" s="902"/>
      <c r="F369" s="902"/>
      <c r="G369" s="902"/>
      <c r="H369" s="902"/>
      <c r="I369" s="902"/>
      <c r="J369" s="902"/>
      <c r="K369" s="902"/>
      <c r="L369" s="902"/>
      <c r="M369" s="902"/>
      <c r="N369" s="902"/>
      <c r="O369" s="902"/>
      <c r="P369" s="902"/>
      <c r="Q369" s="902"/>
      <c r="R369" s="902"/>
      <c r="S369" s="902"/>
      <c r="T369" s="902"/>
      <c r="U369" s="902"/>
      <c r="V369" s="902"/>
    </row>
    <row r="370" spans="1:22" ht="15.75" x14ac:dyDescent="0.25">
      <c r="A370" s="902"/>
      <c r="B370" s="902"/>
      <c r="C370" s="902"/>
      <c r="D370" s="902"/>
      <c r="E370" s="902"/>
      <c r="F370" s="902"/>
      <c r="G370" s="902"/>
      <c r="H370" s="902"/>
      <c r="I370" s="902"/>
      <c r="J370" s="902"/>
      <c r="K370" s="902"/>
      <c r="L370" s="902"/>
      <c r="M370" s="902"/>
      <c r="N370" s="902"/>
      <c r="O370" s="902"/>
      <c r="P370" s="902"/>
      <c r="Q370" s="902"/>
      <c r="R370" s="902"/>
      <c r="S370" s="902"/>
      <c r="T370" s="902"/>
      <c r="U370" s="902"/>
      <c r="V370" s="902"/>
    </row>
    <row r="371" spans="1:22" ht="15.75" x14ac:dyDescent="0.25">
      <c r="A371" s="902"/>
      <c r="B371" s="902"/>
      <c r="C371" s="902"/>
      <c r="D371" s="902"/>
      <c r="E371" s="902"/>
      <c r="F371" s="902"/>
      <c r="G371" s="902"/>
      <c r="H371" s="902"/>
      <c r="I371" s="902"/>
      <c r="J371" s="902"/>
      <c r="K371" s="902"/>
      <c r="L371" s="902"/>
      <c r="M371" s="902"/>
      <c r="N371" s="902"/>
      <c r="O371" s="902"/>
      <c r="P371" s="902"/>
      <c r="Q371" s="902"/>
      <c r="R371" s="902"/>
      <c r="S371" s="902"/>
      <c r="T371" s="902"/>
      <c r="U371" s="902"/>
      <c r="V371" s="902"/>
    </row>
    <row r="372" spans="1:22" ht="15.75" x14ac:dyDescent="0.25">
      <c r="A372" s="902"/>
      <c r="B372" s="902"/>
      <c r="C372" s="902"/>
      <c r="D372" s="902"/>
      <c r="E372" s="902"/>
      <c r="F372" s="902"/>
      <c r="G372" s="902"/>
      <c r="H372" s="902"/>
      <c r="I372" s="902"/>
      <c r="J372" s="902"/>
      <c r="K372" s="902"/>
      <c r="L372" s="902"/>
      <c r="M372" s="902"/>
      <c r="N372" s="902"/>
      <c r="O372" s="902"/>
      <c r="P372" s="902"/>
      <c r="Q372" s="902"/>
      <c r="R372" s="902"/>
      <c r="S372" s="902"/>
      <c r="T372" s="902"/>
      <c r="U372" s="902"/>
      <c r="V372" s="902"/>
    </row>
    <row r="373" spans="1:22" ht="15.75" x14ac:dyDescent="0.25">
      <c r="A373" s="902"/>
      <c r="B373" s="902"/>
      <c r="C373" s="902"/>
      <c r="D373" s="902"/>
      <c r="E373" s="902"/>
      <c r="F373" s="902"/>
      <c r="G373" s="902"/>
      <c r="H373" s="902"/>
      <c r="I373" s="902"/>
      <c r="J373" s="902"/>
      <c r="K373" s="902"/>
      <c r="L373" s="902"/>
      <c r="M373" s="902"/>
      <c r="N373" s="902"/>
      <c r="O373" s="902"/>
      <c r="P373" s="902"/>
      <c r="Q373" s="902"/>
      <c r="R373" s="902"/>
      <c r="S373" s="902"/>
      <c r="T373" s="902"/>
      <c r="U373" s="902"/>
      <c r="V373" s="902"/>
    </row>
    <row r="374" spans="1:22" ht="15.75" x14ac:dyDescent="0.25">
      <c r="A374" s="902"/>
      <c r="B374" s="902"/>
      <c r="C374" s="902"/>
      <c r="D374" s="902"/>
      <c r="E374" s="902"/>
      <c r="F374" s="902"/>
      <c r="G374" s="902"/>
      <c r="H374" s="902"/>
      <c r="I374" s="902"/>
      <c r="J374" s="902"/>
      <c r="K374" s="902"/>
      <c r="L374" s="902"/>
      <c r="M374" s="902"/>
      <c r="N374" s="902"/>
      <c r="O374" s="902"/>
      <c r="P374" s="902"/>
      <c r="Q374" s="902"/>
      <c r="R374" s="902"/>
      <c r="S374" s="902"/>
      <c r="T374" s="902"/>
      <c r="U374" s="902"/>
      <c r="V374" s="902"/>
    </row>
    <row r="375" spans="1:22" ht="15.75" x14ac:dyDescent="0.25">
      <c r="A375" s="902"/>
      <c r="B375" s="902"/>
      <c r="C375" s="902"/>
      <c r="D375" s="902"/>
      <c r="E375" s="902"/>
      <c r="F375" s="902"/>
      <c r="G375" s="902"/>
      <c r="H375" s="902"/>
      <c r="I375" s="902"/>
      <c r="J375" s="902"/>
      <c r="K375" s="902"/>
      <c r="L375" s="902"/>
      <c r="M375" s="902"/>
      <c r="N375" s="902"/>
      <c r="O375" s="902"/>
      <c r="P375" s="902"/>
      <c r="Q375" s="902"/>
      <c r="R375" s="902"/>
      <c r="S375" s="902"/>
      <c r="T375" s="902"/>
      <c r="U375" s="902"/>
      <c r="V375" s="902"/>
    </row>
    <row r="376" spans="1:22" ht="15.75" x14ac:dyDescent="0.25">
      <c r="A376" s="902"/>
      <c r="B376" s="902"/>
      <c r="C376" s="902"/>
      <c r="D376" s="902"/>
      <c r="E376" s="902"/>
      <c r="F376" s="902"/>
      <c r="G376" s="902"/>
      <c r="H376" s="902"/>
      <c r="I376" s="902"/>
      <c r="J376" s="902"/>
      <c r="K376" s="902"/>
      <c r="L376" s="902"/>
      <c r="M376" s="902"/>
      <c r="N376" s="902"/>
      <c r="O376" s="902"/>
      <c r="P376" s="902"/>
      <c r="Q376" s="902"/>
      <c r="R376" s="902"/>
      <c r="S376" s="902"/>
      <c r="T376" s="902"/>
      <c r="U376" s="902"/>
      <c r="V376" s="902"/>
    </row>
    <row r="377" spans="1:22" ht="15.75" x14ac:dyDescent="0.25">
      <c r="A377" s="902"/>
      <c r="B377" s="902"/>
      <c r="C377" s="902"/>
      <c r="D377" s="902"/>
      <c r="E377" s="902"/>
      <c r="F377" s="902"/>
      <c r="G377" s="902"/>
      <c r="H377" s="902"/>
      <c r="I377" s="902"/>
      <c r="J377" s="902"/>
      <c r="K377" s="902"/>
      <c r="L377" s="902"/>
      <c r="M377" s="902"/>
      <c r="N377" s="902"/>
      <c r="O377" s="902"/>
      <c r="P377" s="902"/>
      <c r="Q377" s="902"/>
      <c r="R377" s="902"/>
      <c r="S377" s="902"/>
      <c r="T377" s="902"/>
      <c r="U377" s="902"/>
      <c r="V377" s="902"/>
    </row>
    <row r="378" spans="1:22" ht="15.75" x14ac:dyDescent="0.25">
      <c r="A378" s="902"/>
      <c r="B378" s="902"/>
      <c r="C378" s="902"/>
      <c r="D378" s="902"/>
      <c r="E378" s="902"/>
      <c r="F378" s="902"/>
      <c r="G378" s="902"/>
      <c r="H378" s="902"/>
      <c r="I378" s="902"/>
      <c r="J378" s="902"/>
      <c r="K378" s="902"/>
      <c r="L378" s="902"/>
      <c r="M378" s="902"/>
      <c r="N378" s="902"/>
      <c r="O378" s="902"/>
      <c r="P378" s="902"/>
      <c r="Q378" s="902"/>
      <c r="R378" s="902"/>
      <c r="S378" s="902"/>
      <c r="T378" s="902"/>
      <c r="U378" s="902"/>
      <c r="V378" s="902"/>
    </row>
    <row r="379" spans="1:22" ht="15.75" x14ac:dyDescent="0.25">
      <c r="A379" s="902"/>
      <c r="B379" s="902"/>
      <c r="C379" s="902"/>
      <c r="D379" s="902"/>
      <c r="E379" s="902"/>
      <c r="F379" s="902"/>
      <c r="G379" s="902"/>
      <c r="H379" s="902"/>
      <c r="I379" s="902"/>
      <c r="J379" s="902"/>
      <c r="K379" s="902"/>
      <c r="L379" s="902"/>
      <c r="M379" s="902"/>
      <c r="N379" s="902"/>
      <c r="O379" s="902"/>
      <c r="P379" s="902"/>
      <c r="Q379" s="902"/>
      <c r="R379" s="902"/>
      <c r="S379" s="902"/>
      <c r="T379" s="902"/>
      <c r="U379" s="902"/>
      <c r="V379" s="902"/>
    </row>
  </sheetData>
  <mergeCells count="25">
    <mergeCell ref="P5:P6"/>
    <mergeCell ref="Q5:Q6"/>
    <mergeCell ref="R5:R6"/>
    <mergeCell ref="B148:C148"/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H5:H6"/>
    <mergeCell ref="I5:I6"/>
    <mergeCell ref="B152:C152"/>
    <mergeCell ref="B156:C156"/>
    <mergeCell ref="B160:C160"/>
    <mergeCell ref="M5:M6"/>
    <mergeCell ref="O5:O6"/>
    <mergeCell ref="J5:J6"/>
    <mergeCell ref="K5:K6"/>
    <mergeCell ref="L5:L6"/>
    <mergeCell ref="N5:N6"/>
  </mergeCells>
  <pageMargins left="0.23622047244094491" right="0.23622047244094491" top="0.74803149606299213" bottom="0.6692913385826772" header="0.31496062992125984" footer="0.31496062992125984"/>
  <pageSetup paperSize="9" scale="29" fitToHeight="0" orientation="landscape" r:id="rId1"/>
  <headerFooter>
    <oddHeader>&amp;L5.melléklet a 20/2017.(IX.29.) önkormányzati rendelethez
5.melléklet a 24/2016.(XII.16.)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zoomScale="50" zoomScaleNormal="50" workbookViewId="0">
      <pane ySplit="8" topLeftCell="A9" activePane="bottomLeft" state="frozen"/>
      <selection pane="bottomLeft" activeCell="A9" sqref="A9:XFD9"/>
    </sheetView>
  </sheetViews>
  <sheetFormatPr defaultRowHeight="12.75" x14ac:dyDescent="0.2"/>
  <cols>
    <col min="1" max="1" width="23" bestFit="1" customWidth="1"/>
    <col min="2" max="2" width="12.140625" bestFit="1" customWidth="1"/>
    <col min="3" max="3" width="136.42578125" bestFit="1" customWidth="1"/>
    <col min="4" max="4" width="21.28515625" bestFit="1" customWidth="1"/>
    <col min="5" max="6" width="13" bestFit="1" customWidth="1"/>
    <col min="7" max="7" width="17.85546875" customWidth="1"/>
    <col min="8" max="8" width="29.28515625" customWidth="1"/>
    <col min="9" max="9" width="13" bestFit="1" customWidth="1"/>
    <col min="10" max="10" width="16.7109375" bestFit="1" customWidth="1"/>
    <col min="11" max="11" width="17" bestFit="1" customWidth="1"/>
    <col min="12" max="12" width="17.85546875" bestFit="1" customWidth="1"/>
    <col min="13" max="13" width="15.28515625" bestFit="1" customWidth="1"/>
    <col min="14" max="14" width="18.140625" customWidth="1"/>
    <col min="15" max="15" width="21.85546875" bestFit="1" customWidth="1"/>
    <col min="16" max="16" width="22.7109375" bestFit="1" customWidth="1"/>
    <col min="17" max="17" width="27.85546875" bestFit="1" customWidth="1"/>
    <col min="18" max="18" width="22.42578125" bestFit="1" customWidth="1"/>
  </cols>
  <sheetData>
    <row r="1" spans="1:18" ht="23.25" x14ac:dyDescent="0.35">
      <c r="A1" s="1142"/>
      <c r="B1" s="1412"/>
      <c r="C1" s="1412"/>
      <c r="D1" s="1141"/>
      <c r="E1" s="1143"/>
      <c r="F1" s="1142"/>
      <c r="G1" s="1142"/>
      <c r="H1" s="1142"/>
      <c r="I1" s="1142"/>
      <c r="J1" s="1142"/>
      <c r="K1" s="1142"/>
      <c r="L1" s="1142"/>
      <c r="M1" s="1142"/>
      <c r="N1" s="1142"/>
      <c r="O1" s="1147"/>
      <c r="P1" s="1142"/>
      <c r="Q1" s="1142"/>
      <c r="R1" s="1142"/>
    </row>
    <row r="2" spans="1:18" ht="23.25" x14ac:dyDescent="0.35">
      <c r="A2" s="1142"/>
      <c r="B2" s="1144"/>
      <c r="C2" s="1142"/>
      <c r="D2" s="1141"/>
      <c r="E2" s="1143"/>
      <c r="F2" s="1142"/>
      <c r="G2" s="1142"/>
      <c r="H2" s="1142"/>
      <c r="I2" s="1142"/>
      <c r="J2" s="1142"/>
      <c r="K2" s="1142"/>
      <c r="L2" s="1142"/>
      <c r="M2" s="1142"/>
      <c r="N2" s="1142"/>
      <c r="O2" s="1147"/>
      <c r="P2" s="1142"/>
      <c r="Q2" s="1142"/>
      <c r="R2" s="1142"/>
    </row>
    <row r="3" spans="1:18" ht="25.5" x14ac:dyDescent="0.35">
      <c r="A3" s="1142"/>
      <c r="B3" s="1413" t="s">
        <v>728</v>
      </c>
      <c r="C3" s="1413"/>
      <c r="D3" s="1413"/>
      <c r="E3" s="1413"/>
      <c r="F3" s="1413"/>
      <c r="G3" s="1413"/>
      <c r="H3" s="1413"/>
      <c r="I3" s="1413"/>
      <c r="J3" s="1413"/>
      <c r="K3" s="1413"/>
      <c r="L3" s="1413"/>
      <c r="M3" s="1413"/>
      <c r="N3" s="1413"/>
      <c r="O3" s="1413"/>
      <c r="P3" s="1413"/>
      <c r="Q3" s="1413"/>
      <c r="R3" s="1413"/>
    </row>
    <row r="4" spans="1:18" ht="25.5" x14ac:dyDescent="0.35">
      <c r="A4" s="1142"/>
      <c r="B4" s="1156"/>
      <c r="C4" s="1145"/>
      <c r="D4" s="1145"/>
      <c r="E4" s="1146"/>
      <c r="F4" s="1145"/>
      <c r="G4" s="1145"/>
      <c r="H4" s="1145"/>
      <c r="I4" s="1145"/>
      <c r="J4" s="1145"/>
      <c r="K4" s="1145"/>
      <c r="L4" s="1145"/>
      <c r="M4" s="1145"/>
      <c r="N4" s="1145"/>
      <c r="O4" s="1145"/>
      <c r="P4" s="1145"/>
      <c r="Q4" s="1145"/>
      <c r="R4" s="1145"/>
    </row>
    <row r="5" spans="1:18" ht="24" thickBot="1" x14ac:dyDescent="0.4">
      <c r="A5" s="1142"/>
      <c r="B5" s="1144"/>
      <c r="C5" s="1142"/>
      <c r="D5" s="1141"/>
      <c r="E5" s="1143"/>
      <c r="F5" s="1142"/>
      <c r="G5" s="1142"/>
      <c r="H5" s="1142"/>
      <c r="I5" s="1142"/>
      <c r="J5" s="1142"/>
      <c r="K5" s="1142"/>
      <c r="L5" s="1142"/>
      <c r="M5" s="1142"/>
      <c r="N5" s="1141"/>
      <c r="O5" s="1140"/>
      <c r="P5" s="1140"/>
      <c r="Q5" s="1140"/>
      <c r="R5" s="1140"/>
    </row>
    <row r="6" spans="1:18" ht="22.5" x14ac:dyDescent="0.3">
      <c r="A6" s="1414" t="s">
        <v>2</v>
      </c>
      <c r="B6" s="1415"/>
      <c r="C6" s="1415"/>
      <c r="D6" s="1415"/>
      <c r="E6" s="1416" t="s">
        <v>96</v>
      </c>
      <c r="F6" s="1415" t="s">
        <v>729</v>
      </c>
      <c r="G6" s="1418" t="s">
        <v>675</v>
      </c>
      <c r="H6" s="1418"/>
      <c r="I6" s="1418"/>
      <c r="J6" s="1418"/>
      <c r="K6" s="1418"/>
      <c r="L6" s="1418"/>
      <c r="M6" s="1418" t="s">
        <v>676</v>
      </c>
      <c r="N6" s="1418"/>
      <c r="O6" s="1418"/>
      <c r="P6" s="1418"/>
      <c r="Q6" s="1418" t="s">
        <v>60</v>
      </c>
      <c r="R6" s="1419"/>
    </row>
    <row r="7" spans="1:18" x14ac:dyDescent="0.2">
      <c r="A7" s="1399"/>
      <c r="B7" s="1400"/>
      <c r="C7" s="1400"/>
      <c r="D7" s="1400"/>
      <c r="E7" s="1417"/>
      <c r="F7" s="1400"/>
      <c r="G7" s="1411" t="s">
        <v>6</v>
      </c>
      <c r="H7" s="1411" t="s">
        <v>730</v>
      </c>
      <c r="I7" s="1411" t="s">
        <v>680</v>
      </c>
      <c r="J7" s="1411" t="s">
        <v>50</v>
      </c>
      <c r="K7" s="1411" t="s">
        <v>731</v>
      </c>
      <c r="L7" s="1411" t="s">
        <v>20</v>
      </c>
      <c r="M7" s="1400" t="s">
        <v>63</v>
      </c>
      <c r="N7" s="1400" t="s">
        <v>62</v>
      </c>
      <c r="O7" s="1411" t="s">
        <v>33</v>
      </c>
      <c r="P7" s="1420" t="s">
        <v>36</v>
      </c>
      <c r="Q7" s="1420" t="s">
        <v>732</v>
      </c>
      <c r="R7" s="1421" t="s">
        <v>733</v>
      </c>
    </row>
    <row r="8" spans="1:18" ht="72.75" customHeight="1" x14ac:dyDescent="0.2">
      <c r="A8" s="1399"/>
      <c r="B8" s="1400"/>
      <c r="C8" s="1400"/>
      <c r="D8" s="1400"/>
      <c r="E8" s="1417"/>
      <c r="F8" s="1400"/>
      <c r="G8" s="1411"/>
      <c r="H8" s="1411"/>
      <c r="I8" s="1411"/>
      <c r="J8" s="1411"/>
      <c r="K8" s="1411"/>
      <c r="L8" s="1411"/>
      <c r="M8" s="1400"/>
      <c r="N8" s="1400"/>
      <c r="O8" s="1411"/>
      <c r="P8" s="1420"/>
      <c r="Q8" s="1420"/>
      <c r="R8" s="1421"/>
    </row>
    <row r="9" spans="1:18" ht="23.25" x14ac:dyDescent="0.35">
      <c r="A9" s="1403" t="s">
        <v>97</v>
      </c>
      <c r="B9" s="1404"/>
      <c r="C9" s="1404"/>
      <c r="D9" s="1120"/>
      <c r="E9" s="1126"/>
      <c r="F9" s="1126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24"/>
    </row>
    <row r="10" spans="1:18" ht="23.25" x14ac:dyDescent="0.35">
      <c r="A10" s="1123" t="s">
        <v>734</v>
      </c>
      <c r="B10" s="1128" t="s">
        <v>98</v>
      </c>
      <c r="C10" s="1127" t="s">
        <v>735</v>
      </c>
      <c r="D10" s="1120" t="s">
        <v>3</v>
      </c>
      <c r="E10" s="1137">
        <v>3405</v>
      </c>
      <c r="F10" s="1126">
        <f t="shared" ref="F10:F36" si="0">SUM(G10:R10)</f>
        <v>329529</v>
      </c>
      <c r="G10" s="1125">
        <v>172984</v>
      </c>
      <c r="H10" s="1125">
        <v>47639</v>
      </c>
      <c r="I10" s="1125">
        <f>126668-26612</f>
        <v>100056</v>
      </c>
      <c r="J10" s="1125"/>
      <c r="K10" s="1125"/>
      <c r="L10" s="1125"/>
      <c r="M10" s="1125"/>
      <c r="N10" s="1125">
        <v>8850</v>
      </c>
      <c r="O10" s="1125"/>
      <c r="P10" s="1125"/>
      <c r="Q10" s="1125"/>
      <c r="R10" s="1124"/>
    </row>
    <row r="11" spans="1:18" ht="23.25" x14ac:dyDescent="0.35">
      <c r="A11" s="1123"/>
      <c r="B11" s="1128"/>
      <c r="C11" s="1127"/>
      <c r="D11" s="1120" t="s">
        <v>567</v>
      </c>
      <c r="E11" s="1137">
        <v>1400</v>
      </c>
      <c r="F11" s="1126">
        <f t="shared" si="0"/>
        <v>353871</v>
      </c>
      <c r="G11" s="1125">
        <f>193834</f>
        <v>193834</v>
      </c>
      <c r="H11" s="1125">
        <f>52231</f>
        <v>52231</v>
      </c>
      <c r="I11" s="1125">
        <v>99036</v>
      </c>
      <c r="J11" s="1125"/>
      <c r="K11" s="1125"/>
      <c r="L11" s="1125"/>
      <c r="M11" s="1125"/>
      <c r="N11" s="1125">
        <v>8770</v>
      </c>
      <c r="O11" s="1125"/>
      <c r="P11" s="1125"/>
      <c r="Q11" s="1125"/>
      <c r="R11" s="1124"/>
    </row>
    <row r="12" spans="1:18" ht="23.25" x14ac:dyDescent="0.35">
      <c r="A12" s="1123"/>
      <c r="B12" s="1128"/>
      <c r="C12" s="1127"/>
      <c r="D12" s="1120" t="s">
        <v>619</v>
      </c>
      <c r="E12" s="1137">
        <v>1400</v>
      </c>
      <c r="F12" s="1126">
        <f t="shared" si="0"/>
        <v>344541</v>
      </c>
      <c r="G12" s="1125">
        <f>193834+200+28-10500+977+291</f>
        <v>184830</v>
      </c>
      <c r="H12" s="1125">
        <f>52231+44+8-2500+276+64</f>
        <v>50123</v>
      </c>
      <c r="I12" s="1125">
        <f>99036+1782</f>
        <v>100818</v>
      </c>
      <c r="J12" s="1125"/>
      <c r="K12" s="1125"/>
      <c r="L12" s="1125"/>
      <c r="M12" s="1125"/>
      <c r="N12" s="1125">
        <v>8770</v>
      </c>
      <c r="O12" s="1125"/>
      <c r="P12" s="1125"/>
      <c r="Q12" s="1125"/>
      <c r="R12" s="1124"/>
    </row>
    <row r="13" spans="1:18" ht="23.25" x14ac:dyDescent="0.35">
      <c r="A13" s="1123" t="s">
        <v>734</v>
      </c>
      <c r="B13" s="1128" t="s">
        <v>736</v>
      </c>
      <c r="C13" s="1127" t="s">
        <v>737</v>
      </c>
      <c r="D13" s="1120" t="s">
        <v>3</v>
      </c>
      <c r="E13" s="1137"/>
      <c r="F13" s="1126">
        <f t="shared" si="0"/>
        <v>37512</v>
      </c>
      <c r="G13" s="1125">
        <v>29264</v>
      </c>
      <c r="H13" s="1125">
        <v>8022</v>
      </c>
      <c r="I13" s="1125">
        <f>1226-1000</f>
        <v>226</v>
      </c>
      <c r="J13" s="1125"/>
      <c r="K13" s="1125"/>
      <c r="L13" s="1125"/>
      <c r="M13" s="1125"/>
      <c r="N13" s="1125"/>
      <c r="O13" s="1125"/>
      <c r="P13" s="1125"/>
      <c r="Q13" s="1125"/>
      <c r="R13" s="1124"/>
    </row>
    <row r="14" spans="1:18" ht="23.25" x14ac:dyDescent="0.35">
      <c r="A14" s="1123"/>
      <c r="B14" s="1128"/>
      <c r="C14" s="1127"/>
      <c r="D14" s="1120" t="s">
        <v>567</v>
      </c>
      <c r="E14" s="1137"/>
      <c r="F14" s="1126">
        <f t="shared" si="0"/>
        <v>47688</v>
      </c>
      <c r="G14" s="1125">
        <v>37576</v>
      </c>
      <c r="H14" s="1125">
        <f>9886</f>
        <v>9886</v>
      </c>
      <c r="I14" s="1125">
        <v>226</v>
      </c>
      <c r="J14" s="1125"/>
      <c r="K14" s="1125"/>
      <c r="L14" s="1125"/>
      <c r="M14" s="1125"/>
      <c r="N14" s="1125"/>
      <c r="O14" s="1125"/>
      <c r="P14" s="1125"/>
      <c r="Q14" s="1125"/>
      <c r="R14" s="1124"/>
    </row>
    <row r="15" spans="1:18" ht="23.25" x14ac:dyDescent="0.35">
      <c r="A15" s="1123"/>
      <c r="B15" s="1128"/>
      <c r="C15" s="1127"/>
      <c r="D15" s="1120" t="s">
        <v>619</v>
      </c>
      <c r="E15" s="1137"/>
      <c r="F15" s="1126">
        <f t="shared" si="0"/>
        <v>47793</v>
      </c>
      <c r="G15" s="1125">
        <f>37576+86</f>
        <v>37662</v>
      </c>
      <c r="H15" s="1125">
        <f>9886+19</f>
        <v>9905</v>
      </c>
      <c r="I15" s="1125">
        <v>226</v>
      </c>
      <c r="J15" s="1125"/>
      <c r="K15" s="1125"/>
      <c r="L15" s="1125"/>
      <c r="M15" s="1125"/>
      <c r="N15" s="1125"/>
      <c r="O15" s="1125"/>
      <c r="P15" s="1125"/>
      <c r="Q15" s="1125"/>
      <c r="R15" s="1124"/>
    </row>
    <row r="16" spans="1:18" ht="23.25" x14ac:dyDescent="0.35">
      <c r="A16" s="1123" t="s">
        <v>734</v>
      </c>
      <c r="B16" s="1128" t="s">
        <v>738</v>
      </c>
      <c r="C16" s="1127" t="s">
        <v>739</v>
      </c>
      <c r="D16" s="1120" t="s">
        <v>3</v>
      </c>
      <c r="E16" s="1137">
        <v>4100</v>
      </c>
      <c r="F16" s="1126">
        <f t="shared" si="0"/>
        <v>4723</v>
      </c>
      <c r="G16" s="1125">
        <v>3407</v>
      </c>
      <c r="H16" s="1125">
        <v>918</v>
      </c>
      <c r="I16" s="1125">
        <f>1028-630</f>
        <v>398</v>
      </c>
      <c r="J16" s="1125"/>
      <c r="K16" s="1125"/>
      <c r="L16" s="1125"/>
      <c r="M16" s="1125"/>
      <c r="N16" s="1125"/>
      <c r="O16" s="1125"/>
      <c r="P16" s="1125"/>
      <c r="Q16" s="1125"/>
      <c r="R16" s="1124"/>
    </row>
    <row r="17" spans="1:18" ht="23.25" x14ac:dyDescent="0.35">
      <c r="A17" s="1123"/>
      <c r="B17" s="1128"/>
      <c r="C17" s="1127"/>
      <c r="D17" s="1120" t="s">
        <v>567</v>
      </c>
      <c r="E17" s="1137">
        <v>6600</v>
      </c>
      <c r="F17" s="1126">
        <f t="shared" si="0"/>
        <v>8823</v>
      </c>
      <c r="G17" s="1125">
        <v>6277</v>
      </c>
      <c r="H17" s="1125">
        <v>1548</v>
      </c>
      <c r="I17" s="1125">
        <v>998</v>
      </c>
      <c r="J17" s="1125"/>
      <c r="K17" s="1125"/>
      <c r="L17" s="1125"/>
      <c r="M17" s="1125"/>
      <c r="N17" s="1125"/>
      <c r="O17" s="1125"/>
      <c r="P17" s="1125"/>
      <c r="Q17" s="1125"/>
      <c r="R17" s="1124"/>
    </row>
    <row r="18" spans="1:18" ht="23.25" x14ac:dyDescent="0.35">
      <c r="A18" s="1123"/>
      <c r="B18" s="1128"/>
      <c r="C18" s="1127"/>
      <c r="D18" s="1120" t="s">
        <v>619</v>
      </c>
      <c r="E18" s="1137">
        <v>6600</v>
      </c>
      <c r="F18" s="1126">
        <f t="shared" si="0"/>
        <v>8823</v>
      </c>
      <c r="G18" s="1125">
        <v>6277</v>
      </c>
      <c r="H18" s="1125">
        <v>1548</v>
      </c>
      <c r="I18" s="1125">
        <v>998</v>
      </c>
      <c r="J18" s="1125"/>
      <c r="K18" s="1125"/>
      <c r="L18" s="1125"/>
      <c r="M18" s="1125"/>
      <c r="N18" s="1125"/>
      <c r="O18" s="1125"/>
      <c r="P18" s="1125"/>
      <c r="Q18" s="1125"/>
      <c r="R18" s="1124"/>
    </row>
    <row r="19" spans="1:18" ht="23.25" x14ac:dyDescent="0.35">
      <c r="A19" s="1123" t="s">
        <v>734</v>
      </c>
      <c r="B19" s="1128" t="s">
        <v>740</v>
      </c>
      <c r="C19" s="1127" t="s">
        <v>741</v>
      </c>
      <c r="D19" s="1120" t="s">
        <v>3</v>
      </c>
      <c r="E19" s="1137">
        <v>492596</v>
      </c>
      <c r="F19" s="1126">
        <f t="shared" si="0"/>
        <v>0</v>
      </c>
      <c r="G19" s="1125"/>
      <c r="H19" s="1125"/>
      <c r="I19" s="1125"/>
      <c r="J19" s="1125"/>
      <c r="K19" s="1125"/>
      <c r="L19" s="1125"/>
      <c r="M19" s="1125"/>
      <c r="N19" s="1125"/>
      <c r="O19" s="1125"/>
      <c r="P19" s="1125"/>
      <c r="Q19" s="1125"/>
      <c r="R19" s="1139"/>
    </row>
    <row r="20" spans="1:18" ht="23.25" x14ac:dyDescent="0.35">
      <c r="A20" s="1123"/>
      <c r="B20" s="1128"/>
      <c r="C20" s="1127"/>
      <c r="D20" s="1120" t="s">
        <v>567</v>
      </c>
      <c r="E20" s="1137">
        <f>525083</f>
        <v>525083</v>
      </c>
      <c r="F20" s="1126">
        <f t="shared" si="0"/>
        <v>0</v>
      </c>
      <c r="G20" s="1125"/>
      <c r="H20" s="1125"/>
      <c r="I20" s="1125"/>
      <c r="J20" s="1125"/>
      <c r="K20" s="1125"/>
      <c r="L20" s="1125"/>
      <c r="M20" s="1125"/>
      <c r="N20" s="1125"/>
      <c r="O20" s="1125"/>
      <c r="P20" s="1125"/>
      <c r="Q20" s="1125"/>
      <c r="R20" s="1139"/>
    </row>
    <row r="21" spans="1:18" ht="23.25" x14ac:dyDescent="0.35">
      <c r="A21" s="1123"/>
      <c r="B21" s="1128"/>
      <c r="C21" s="1127"/>
      <c r="D21" s="1120" t="s">
        <v>619</v>
      </c>
      <c r="E21" s="1137">
        <f>525083+473-13000+3035+355</f>
        <v>515946</v>
      </c>
      <c r="F21" s="1126">
        <f t="shared" si="0"/>
        <v>0</v>
      </c>
      <c r="G21" s="1125"/>
      <c r="H21" s="1125"/>
      <c r="I21" s="1125"/>
      <c r="J21" s="1125"/>
      <c r="K21" s="1125"/>
      <c r="L21" s="1125"/>
      <c r="M21" s="1125"/>
      <c r="N21" s="1125"/>
      <c r="O21" s="1125"/>
      <c r="P21" s="1125"/>
      <c r="Q21" s="1125"/>
      <c r="R21" s="1139"/>
    </row>
    <row r="22" spans="1:18" ht="23.25" x14ac:dyDescent="0.35">
      <c r="A22" s="1123" t="s">
        <v>742</v>
      </c>
      <c r="B22" s="1128" t="s">
        <v>99</v>
      </c>
      <c r="C22" s="1127" t="s">
        <v>743</v>
      </c>
      <c r="D22" s="1120" t="s">
        <v>3</v>
      </c>
      <c r="E22" s="1137"/>
      <c r="F22" s="1126">
        <f t="shared" si="0"/>
        <v>22295</v>
      </c>
      <c r="G22" s="1125">
        <v>13827</v>
      </c>
      <c r="H22" s="1125">
        <v>3691</v>
      </c>
      <c r="I22" s="1125">
        <f>5095-318</f>
        <v>4777</v>
      </c>
      <c r="J22" s="1125"/>
      <c r="K22" s="1125"/>
      <c r="L22" s="1125"/>
      <c r="M22" s="1125"/>
      <c r="N22" s="1125"/>
      <c r="O22" s="1125"/>
      <c r="P22" s="1125"/>
      <c r="Q22" s="1125"/>
      <c r="R22" s="1124"/>
    </row>
    <row r="23" spans="1:18" ht="23.25" x14ac:dyDescent="0.35">
      <c r="A23" s="1123"/>
      <c r="B23" s="1128"/>
      <c r="C23" s="1127"/>
      <c r="D23" s="1120" t="s">
        <v>567</v>
      </c>
      <c r="E23" s="1137"/>
      <c r="F23" s="1126">
        <f t="shared" si="0"/>
        <v>20187</v>
      </c>
      <c r="G23" s="1125">
        <v>12309</v>
      </c>
      <c r="H23" s="1125">
        <v>3401</v>
      </c>
      <c r="I23" s="1125">
        <v>4477</v>
      </c>
      <c r="J23" s="1125"/>
      <c r="K23" s="1125"/>
      <c r="L23" s="1125"/>
      <c r="M23" s="1125"/>
      <c r="N23" s="1125"/>
      <c r="O23" s="1125"/>
      <c r="P23" s="1125"/>
      <c r="Q23" s="1125"/>
      <c r="R23" s="1124"/>
    </row>
    <row r="24" spans="1:18" ht="23.25" x14ac:dyDescent="0.35">
      <c r="A24" s="1123"/>
      <c r="B24" s="1128"/>
      <c r="C24" s="1127"/>
      <c r="D24" s="1120" t="s">
        <v>619</v>
      </c>
      <c r="E24" s="1137"/>
      <c r="F24" s="1126">
        <f t="shared" si="0"/>
        <v>20187</v>
      </c>
      <c r="G24" s="1125">
        <v>12309</v>
      </c>
      <c r="H24" s="1125">
        <v>3401</v>
      </c>
      <c r="I24" s="1125">
        <v>4477</v>
      </c>
      <c r="J24" s="1125"/>
      <c r="K24" s="1125"/>
      <c r="L24" s="1125"/>
      <c r="M24" s="1125"/>
      <c r="N24" s="1125"/>
      <c r="O24" s="1125"/>
      <c r="P24" s="1125"/>
      <c r="Q24" s="1125"/>
      <c r="R24" s="1124"/>
    </row>
    <row r="25" spans="1:18" ht="23.25" x14ac:dyDescent="0.35">
      <c r="A25" s="1123" t="s">
        <v>734</v>
      </c>
      <c r="B25" s="1128" t="s">
        <v>744</v>
      </c>
      <c r="C25" s="1127" t="s">
        <v>745</v>
      </c>
      <c r="D25" s="1120" t="s">
        <v>3</v>
      </c>
      <c r="E25" s="1137"/>
      <c r="F25" s="1126">
        <f t="shared" si="0"/>
        <v>30608</v>
      </c>
      <c r="G25" s="1125">
        <v>23393</v>
      </c>
      <c r="H25" s="1125">
        <v>6506</v>
      </c>
      <c r="I25" s="1125">
        <v>709</v>
      </c>
      <c r="J25" s="1125"/>
      <c r="K25" s="1125"/>
      <c r="L25" s="1125"/>
      <c r="M25" s="1125"/>
      <c r="N25" s="1125"/>
      <c r="O25" s="1125"/>
      <c r="P25" s="1125"/>
      <c r="Q25" s="1125"/>
      <c r="R25" s="1124"/>
    </row>
    <row r="26" spans="1:18" ht="23.25" x14ac:dyDescent="0.35">
      <c r="A26" s="1123"/>
      <c r="B26" s="1128"/>
      <c r="C26" s="1127"/>
      <c r="D26" s="1120" t="s">
        <v>567</v>
      </c>
      <c r="E26" s="1137"/>
      <c r="F26" s="1126">
        <f t="shared" si="0"/>
        <v>30616</v>
      </c>
      <c r="G26" s="1125">
        <f>23400</f>
        <v>23400</v>
      </c>
      <c r="H26" s="1125">
        <f>6507</f>
        <v>6507</v>
      </c>
      <c r="I26" s="1125">
        <v>709</v>
      </c>
      <c r="J26" s="1125"/>
      <c r="K26" s="1125"/>
      <c r="L26" s="1125"/>
      <c r="M26" s="1125"/>
      <c r="N26" s="1125"/>
      <c r="O26" s="1125"/>
      <c r="P26" s="1125"/>
      <c r="Q26" s="1125"/>
      <c r="R26" s="1124"/>
    </row>
    <row r="27" spans="1:18" ht="23.25" x14ac:dyDescent="0.35">
      <c r="A27" s="1123"/>
      <c r="B27" s="1128"/>
      <c r="C27" s="1127"/>
      <c r="D27" s="1120" t="s">
        <v>619</v>
      </c>
      <c r="E27" s="1137"/>
      <c r="F27" s="1126">
        <f t="shared" si="0"/>
        <v>30628</v>
      </c>
      <c r="G27" s="1125">
        <f>23400+10</f>
        <v>23410</v>
      </c>
      <c r="H27" s="1125">
        <f>6507+2</f>
        <v>6509</v>
      </c>
      <c r="I27" s="1125">
        <v>709</v>
      </c>
      <c r="J27" s="1125"/>
      <c r="K27" s="1125"/>
      <c r="L27" s="1125"/>
      <c r="M27" s="1125"/>
      <c r="N27" s="1125"/>
      <c r="O27" s="1125"/>
      <c r="P27" s="1125"/>
      <c r="Q27" s="1125"/>
      <c r="R27" s="1124"/>
    </row>
    <row r="28" spans="1:18" ht="23.25" x14ac:dyDescent="0.35">
      <c r="A28" s="1123" t="s">
        <v>742</v>
      </c>
      <c r="B28" s="1128" t="s">
        <v>746</v>
      </c>
      <c r="C28" s="1127" t="s">
        <v>747</v>
      </c>
      <c r="D28" s="1120" t="s">
        <v>3</v>
      </c>
      <c r="E28" s="1137">
        <v>600</v>
      </c>
      <c r="F28" s="1126">
        <f t="shared" si="0"/>
        <v>1200</v>
      </c>
      <c r="G28" s="1135"/>
      <c r="H28" s="1135"/>
      <c r="I28" s="1135"/>
      <c r="J28" s="1135"/>
      <c r="K28" s="1135"/>
      <c r="L28" s="1135"/>
      <c r="M28" s="1135"/>
      <c r="N28" s="1135"/>
      <c r="O28" s="1135">
        <v>1200</v>
      </c>
      <c r="P28" s="1135"/>
      <c r="Q28" s="1135"/>
      <c r="R28" s="1124"/>
    </row>
    <row r="29" spans="1:18" ht="23.25" x14ac:dyDescent="0.35">
      <c r="A29" s="1123"/>
      <c r="B29" s="1128"/>
      <c r="C29" s="1127"/>
      <c r="D29" s="1120" t="s">
        <v>567</v>
      </c>
      <c r="E29" s="1137">
        <v>600</v>
      </c>
      <c r="F29" s="1126">
        <f t="shared" si="0"/>
        <v>1200</v>
      </c>
      <c r="G29" s="1135"/>
      <c r="H29" s="1135"/>
      <c r="I29" s="1135"/>
      <c r="J29" s="1135"/>
      <c r="K29" s="1135"/>
      <c r="L29" s="1135"/>
      <c r="M29" s="1135"/>
      <c r="N29" s="1135"/>
      <c r="O29" s="1135">
        <v>1200</v>
      </c>
      <c r="P29" s="1135"/>
      <c r="Q29" s="1135"/>
      <c r="R29" s="1124"/>
    </row>
    <row r="30" spans="1:18" ht="23.25" x14ac:dyDescent="0.35">
      <c r="A30" s="1123"/>
      <c r="B30" s="1128"/>
      <c r="C30" s="1127"/>
      <c r="D30" s="1120" t="s">
        <v>619</v>
      </c>
      <c r="E30" s="1137">
        <v>600</v>
      </c>
      <c r="F30" s="1126">
        <f t="shared" si="0"/>
        <v>1200</v>
      </c>
      <c r="G30" s="1135"/>
      <c r="H30" s="1135"/>
      <c r="I30" s="1135"/>
      <c r="J30" s="1135"/>
      <c r="K30" s="1135"/>
      <c r="L30" s="1135"/>
      <c r="M30" s="1135"/>
      <c r="N30" s="1135"/>
      <c r="O30" s="1135">
        <v>1200</v>
      </c>
      <c r="P30" s="1135"/>
      <c r="Q30" s="1135"/>
      <c r="R30" s="1124"/>
    </row>
    <row r="31" spans="1:18" ht="23.25" x14ac:dyDescent="0.35">
      <c r="A31" s="1123" t="s">
        <v>734</v>
      </c>
      <c r="B31" s="1128" t="s">
        <v>100</v>
      </c>
      <c r="C31" s="1127" t="s">
        <v>748</v>
      </c>
      <c r="D31" s="1120" t="s">
        <v>3</v>
      </c>
      <c r="E31" s="1137">
        <v>0</v>
      </c>
      <c r="F31" s="1126">
        <f t="shared" si="0"/>
        <v>66142</v>
      </c>
      <c r="G31" s="1135">
        <v>51598</v>
      </c>
      <c r="H31" s="1135">
        <v>14149</v>
      </c>
      <c r="I31" s="1135">
        <v>395</v>
      </c>
      <c r="J31" s="1135"/>
      <c r="K31" s="1135"/>
      <c r="L31" s="1135"/>
      <c r="M31" s="1135"/>
      <c r="N31" s="1135"/>
      <c r="O31" s="1135"/>
      <c r="P31" s="1135"/>
      <c r="Q31" s="1135"/>
      <c r="R31" s="1124"/>
    </row>
    <row r="32" spans="1:18" ht="23.25" x14ac:dyDescent="0.35">
      <c r="A32" s="1123"/>
      <c r="B32" s="1128"/>
      <c r="C32" s="1127"/>
      <c r="D32" s="1120" t="s">
        <v>567</v>
      </c>
      <c r="E32" s="1137">
        <v>2005</v>
      </c>
      <c r="F32" s="1126">
        <f t="shared" si="0"/>
        <v>64600</v>
      </c>
      <c r="G32" s="1135">
        <f>46886</f>
        <v>46886</v>
      </c>
      <c r="H32" s="1135">
        <f>13919</f>
        <v>13919</v>
      </c>
      <c r="I32" s="1135">
        <v>3215</v>
      </c>
      <c r="J32" s="1135"/>
      <c r="K32" s="1135"/>
      <c r="L32" s="1135"/>
      <c r="M32" s="1135"/>
      <c r="N32" s="1135">
        <v>580</v>
      </c>
      <c r="O32" s="1135"/>
      <c r="P32" s="1135"/>
      <c r="Q32" s="1135"/>
      <c r="R32" s="1124"/>
    </row>
    <row r="33" spans="1:18" ht="23.25" x14ac:dyDescent="0.35">
      <c r="A33" s="1123"/>
      <c r="B33" s="1128"/>
      <c r="C33" s="1127"/>
      <c r="D33" s="1120" t="s">
        <v>619</v>
      </c>
      <c r="E33" s="1137">
        <v>2005</v>
      </c>
      <c r="F33" s="1126">
        <f t="shared" si="0"/>
        <v>64687</v>
      </c>
      <c r="G33" s="1135">
        <f>46886+72</f>
        <v>46958</v>
      </c>
      <c r="H33" s="1135">
        <f>13919+15</f>
        <v>13934</v>
      </c>
      <c r="I33" s="1135">
        <v>3215</v>
      </c>
      <c r="J33" s="1135"/>
      <c r="K33" s="1135"/>
      <c r="L33" s="1135"/>
      <c r="M33" s="1135"/>
      <c r="N33" s="1135">
        <v>580</v>
      </c>
      <c r="O33" s="1135"/>
      <c r="P33" s="1135"/>
      <c r="Q33" s="1135"/>
      <c r="R33" s="1124"/>
    </row>
    <row r="34" spans="1:18" ht="23.25" x14ac:dyDescent="0.35">
      <c r="A34" s="1123" t="s">
        <v>646</v>
      </c>
      <c r="B34" s="1128" t="s">
        <v>749</v>
      </c>
      <c r="C34" s="1127" t="s">
        <v>750</v>
      </c>
      <c r="D34" s="1120" t="s">
        <v>3</v>
      </c>
      <c r="E34" s="1137"/>
      <c r="F34" s="1126">
        <f t="shared" si="0"/>
        <v>8692</v>
      </c>
      <c r="G34" s="1125">
        <v>6705</v>
      </c>
      <c r="H34" s="1125">
        <v>1854</v>
      </c>
      <c r="I34" s="1125">
        <v>133</v>
      </c>
      <c r="J34" s="1125"/>
      <c r="K34" s="1125"/>
      <c r="L34" s="1125"/>
      <c r="M34" s="1125"/>
      <c r="N34" s="1125"/>
      <c r="O34" s="1125"/>
      <c r="P34" s="1125"/>
      <c r="Q34" s="1125"/>
      <c r="R34" s="1124"/>
    </row>
    <row r="35" spans="1:18" ht="23.25" x14ac:dyDescent="0.35">
      <c r="A35" s="1123"/>
      <c r="B35" s="1128"/>
      <c r="C35" s="1127"/>
      <c r="D35" s="1120" t="s">
        <v>567</v>
      </c>
      <c r="E35" s="1137"/>
      <c r="F35" s="1126">
        <f t="shared" si="0"/>
        <v>8703</v>
      </c>
      <c r="G35" s="1125">
        <f>6714</f>
        <v>6714</v>
      </c>
      <c r="H35" s="1125">
        <f>1856</f>
        <v>1856</v>
      </c>
      <c r="I35" s="1125">
        <v>133</v>
      </c>
      <c r="J35" s="1125"/>
      <c r="K35" s="1125"/>
      <c r="L35" s="1125"/>
      <c r="M35" s="1125"/>
      <c r="N35" s="1125"/>
      <c r="O35" s="1125"/>
      <c r="P35" s="1125"/>
      <c r="Q35" s="1125"/>
      <c r="R35" s="1124"/>
    </row>
    <row r="36" spans="1:18" ht="23.25" x14ac:dyDescent="0.35">
      <c r="A36" s="1123"/>
      <c r="B36" s="1128"/>
      <c r="C36" s="1127"/>
      <c r="D36" s="1120" t="s">
        <v>619</v>
      </c>
      <c r="E36" s="1137"/>
      <c r="F36" s="1126">
        <f t="shared" si="0"/>
        <v>8692</v>
      </c>
      <c r="G36" s="1125">
        <f>6714-9</f>
        <v>6705</v>
      </c>
      <c r="H36" s="1125">
        <f>1856-2</f>
        <v>1854</v>
      </c>
      <c r="I36" s="1125">
        <v>133</v>
      </c>
      <c r="J36" s="1125"/>
      <c r="K36" s="1125"/>
      <c r="L36" s="1125"/>
      <c r="M36" s="1125"/>
      <c r="N36" s="1125"/>
      <c r="O36" s="1125"/>
      <c r="P36" s="1125"/>
      <c r="Q36" s="1125"/>
      <c r="R36" s="1124"/>
    </row>
    <row r="37" spans="1:18" ht="23.25" x14ac:dyDescent="0.35">
      <c r="A37" s="1403" t="s">
        <v>751</v>
      </c>
      <c r="B37" s="1404"/>
      <c r="C37" s="1404"/>
      <c r="D37" s="1120" t="s">
        <v>3</v>
      </c>
      <c r="E37" s="1136">
        <f>E10+E13+E16+E19+E22+E25+E28+E31+E34</f>
        <v>500701</v>
      </c>
      <c r="F37" s="1136">
        <f>F10+F13+F16+F19+F22+F25+F28+F31+F34</f>
        <v>500701</v>
      </c>
      <c r="G37" s="1136">
        <f t="shared" ref="G37:R39" si="1">G10+G13+G16+G19+G22+G25+G28+G31+G34</f>
        <v>301178</v>
      </c>
      <c r="H37" s="1136">
        <f t="shared" si="1"/>
        <v>82779</v>
      </c>
      <c r="I37" s="1136">
        <f t="shared" si="1"/>
        <v>106694</v>
      </c>
      <c r="J37" s="1136">
        <f t="shared" si="1"/>
        <v>0</v>
      </c>
      <c r="K37" s="1136">
        <f t="shared" si="1"/>
        <v>0</v>
      </c>
      <c r="L37" s="1136">
        <f t="shared" si="1"/>
        <v>0</v>
      </c>
      <c r="M37" s="1136">
        <f t="shared" si="1"/>
        <v>0</v>
      </c>
      <c r="N37" s="1136">
        <f t="shared" si="1"/>
        <v>8850</v>
      </c>
      <c r="O37" s="1136">
        <f t="shared" si="1"/>
        <v>1200</v>
      </c>
      <c r="P37" s="1136">
        <f t="shared" si="1"/>
        <v>0</v>
      </c>
      <c r="Q37" s="1136">
        <f t="shared" si="1"/>
        <v>0</v>
      </c>
      <c r="R37" s="1172">
        <f t="shared" si="1"/>
        <v>0</v>
      </c>
    </row>
    <row r="38" spans="1:18" ht="23.25" x14ac:dyDescent="0.35">
      <c r="A38" s="1399"/>
      <c r="B38" s="1400"/>
      <c r="C38" s="1400"/>
      <c r="D38" s="1120" t="s">
        <v>567</v>
      </c>
      <c r="E38" s="1136">
        <f t="shared" ref="E38:F39" si="2">E11+E14+E17+E20+E23+E26+E29+E32+E35</f>
        <v>535688</v>
      </c>
      <c r="F38" s="1136">
        <f t="shared" si="2"/>
        <v>535688</v>
      </c>
      <c r="G38" s="1136">
        <f t="shared" si="1"/>
        <v>326996</v>
      </c>
      <c r="H38" s="1136">
        <f t="shared" si="1"/>
        <v>89348</v>
      </c>
      <c r="I38" s="1136">
        <f t="shared" si="1"/>
        <v>108794</v>
      </c>
      <c r="J38" s="1136">
        <f t="shared" si="1"/>
        <v>0</v>
      </c>
      <c r="K38" s="1136">
        <f t="shared" si="1"/>
        <v>0</v>
      </c>
      <c r="L38" s="1136">
        <f t="shared" si="1"/>
        <v>0</v>
      </c>
      <c r="M38" s="1136">
        <f t="shared" si="1"/>
        <v>0</v>
      </c>
      <c r="N38" s="1136">
        <f t="shared" si="1"/>
        <v>9350</v>
      </c>
      <c r="O38" s="1136">
        <f t="shared" si="1"/>
        <v>1200</v>
      </c>
      <c r="P38" s="1136">
        <f t="shared" si="1"/>
        <v>0</v>
      </c>
      <c r="Q38" s="1136">
        <f t="shared" si="1"/>
        <v>0</v>
      </c>
      <c r="R38" s="1172">
        <f t="shared" si="1"/>
        <v>0</v>
      </c>
    </row>
    <row r="39" spans="1:18" ht="23.25" x14ac:dyDescent="0.35">
      <c r="A39" s="1399"/>
      <c r="B39" s="1400"/>
      <c r="C39" s="1400"/>
      <c r="D39" s="1120" t="s">
        <v>619</v>
      </c>
      <c r="E39" s="1136">
        <f t="shared" si="2"/>
        <v>526551</v>
      </c>
      <c r="F39" s="1136">
        <f t="shared" si="2"/>
        <v>526551</v>
      </c>
      <c r="G39" s="1136">
        <f t="shared" si="1"/>
        <v>318151</v>
      </c>
      <c r="H39" s="1136">
        <f t="shared" si="1"/>
        <v>87274</v>
      </c>
      <c r="I39" s="1136">
        <f t="shared" si="1"/>
        <v>110576</v>
      </c>
      <c r="J39" s="1136">
        <f t="shared" si="1"/>
        <v>0</v>
      </c>
      <c r="K39" s="1136">
        <f t="shared" si="1"/>
        <v>0</v>
      </c>
      <c r="L39" s="1136">
        <f t="shared" si="1"/>
        <v>0</v>
      </c>
      <c r="M39" s="1136">
        <f t="shared" si="1"/>
        <v>0</v>
      </c>
      <c r="N39" s="1136">
        <f t="shared" si="1"/>
        <v>9350</v>
      </c>
      <c r="O39" s="1136">
        <f t="shared" si="1"/>
        <v>1200</v>
      </c>
      <c r="P39" s="1136">
        <f t="shared" si="1"/>
        <v>0</v>
      </c>
      <c r="Q39" s="1136">
        <f t="shared" si="1"/>
        <v>0</v>
      </c>
      <c r="R39" s="1172">
        <f t="shared" si="1"/>
        <v>0</v>
      </c>
    </row>
    <row r="40" spans="1:18" ht="23.25" x14ac:dyDescent="0.35">
      <c r="A40" s="1154"/>
      <c r="B40" s="1155"/>
      <c r="C40" s="1155"/>
      <c r="D40" s="1120"/>
      <c r="E40" s="1138"/>
      <c r="F40" s="1126"/>
      <c r="G40" s="1126"/>
      <c r="H40" s="1126"/>
      <c r="I40" s="1126"/>
      <c r="J40" s="1126"/>
      <c r="K40" s="1126"/>
      <c r="L40" s="1126"/>
      <c r="M40" s="1126"/>
      <c r="N40" s="1126"/>
      <c r="O40" s="1126"/>
      <c r="P40" s="1126"/>
      <c r="Q40" s="1126"/>
      <c r="R40" s="1133"/>
    </row>
    <row r="41" spans="1:18" ht="23.25" x14ac:dyDescent="0.35">
      <c r="A41" s="1403" t="s">
        <v>752</v>
      </c>
      <c r="B41" s="1404"/>
      <c r="C41" s="1404"/>
      <c r="D41" s="1120"/>
      <c r="E41" s="1138"/>
      <c r="F41" s="1126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4"/>
    </row>
    <row r="42" spans="1:18" ht="23.25" x14ac:dyDescent="0.35">
      <c r="A42" s="1123" t="s">
        <v>734</v>
      </c>
      <c r="B42" s="1128" t="s">
        <v>98</v>
      </c>
      <c r="C42" s="1127" t="s">
        <v>735</v>
      </c>
      <c r="D42" s="1120" t="s">
        <v>3</v>
      </c>
      <c r="E42" s="1137">
        <v>8128</v>
      </c>
      <c r="F42" s="1126">
        <f t="shared" ref="F42:F47" si="3">SUM(G42:R42)</f>
        <v>27431</v>
      </c>
      <c r="G42" s="1135">
        <v>20569</v>
      </c>
      <c r="H42" s="1135">
        <v>4335</v>
      </c>
      <c r="I42" s="1135">
        <v>2527</v>
      </c>
      <c r="J42" s="1135"/>
      <c r="K42" s="1135"/>
      <c r="L42" s="1135"/>
      <c r="M42" s="1135"/>
      <c r="N42" s="1135"/>
      <c r="O42" s="1135"/>
      <c r="P42" s="1135"/>
      <c r="Q42" s="1135"/>
      <c r="R42" s="1124"/>
    </row>
    <row r="43" spans="1:18" ht="23.25" x14ac:dyDescent="0.35">
      <c r="A43" s="1123"/>
      <c r="B43" s="1128"/>
      <c r="C43" s="1127"/>
      <c r="D43" s="1120" t="s">
        <v>567</v>
      </c>
      <c r="E43" s="1137">
        <v>8128</v>
      </c>
      <c r="F43" s="1126">
        <f t="shared" si="3"/>
        <v>27468</v>
      </c>
      <c r="G43" s="1135">
        <v>20601</v>
      </c>
      <c r="H43" s="1135">
        <v>4340</v>
      </c>
      <c r="I43" s="1135">
        <v>2527</v>
      </c>
      <c r="J43" s="1135"/>
      <c r="K43" s="1135"/>
      <c r="L43" s="1135"/>
      <c r="M43" s="1135"/>
      <c r="N43" s="1135"/>
      <c r="O43" s="1135"/>
      <c r="P43" s="1135"/>
      <c r="Q43" s="1135"/>
      <c r="R43" s="1124"/>
    </row>
    <row r="44" spans="1:18" ht="23.25" x14ac:dyDescent="0.35">
      <c r="A44" s="1123"/>
      <c r="B44" s="1128"/>
      <c r="C44" s="1127"/>
      <c r="D44" s="1120" t="s">
        <v>619</v>
      </c>
      <c r="E44" s="1137">
        <f>8128+1300</f>
        <v>9428</v>
      </c>
      <c r="F44" s="1126">
        <f t="shared" si="3"/>
        <v>28823</v>
      </c>
      <c r="G44" s="1135">
        <f>20601+45+1300</f>
        <v>21946</v>
      </c>
      <c r="H44" s="1135">
        <f>4340+10</f>
        <v>4350</v>
      </c>
      <c r="I44" s="1135">
        <v>2527</v>
      </c>
      <c r="J44" s="1135"/>
      <c r="K44" s="1135"/>
      <c r="L44" s="1135"/>
      <c r="M44" s="1135"/>
      <c r="N44" s="1135"/>
      <c r="O44" s="1135"/>
      <c r="P44" s="1135"/>
      <c r="Q44" s="1135"/>
      <c r="R44" s="1124"/>
    </row>
    <row r="45" spans="1:18" ht="23.25" x14ac:dyDescent="0.35">
      <c r="A45" s="1123" t="s">
        <v>734</v>
      </c>
      <c r="B45" s="1128" t="s">
        <v>740</v>
      </c>
      <c r="C45" s="1127" t="s">
        <v>741</v>
      </c>
      <c r="D45" s="1120" t="s">
        <v>3</v>
      </c>
      <c r="E45" s="1137">
        <v>19303</v>
      </c>
      <c r="F45" s="1126">
        <f t="shared" si="3"/>
        <v>0</v>
      </c>
      <c r="G45" s="1135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24"/>
    </row>
    <row r="46" spans="1:18" ht="23.25" x14ac:dyDescent="0.35">
      <c r="A46" s="1123"/>
      <c r="B46" s="1128"/>
      <c r="C46" s="1127"/>
      <c r="D46" s="1120" t="s">
        <v>567</v>
      </c>
      <c r="E46" s="1137">
        <v>19340</v>
      </c>
      <c r="F46" s="1126">
        <f t="shared" si="3"/>
        <v>0</v>
      </c>
      <c r="G46" s="1135"/>
      <c r="H46" s="1135"/>
      <c r="I46" s="1135"/>
      <c r="J46" s="1135"/>
      <c r="K46" s="1135"/>
      <c r="L46" s="1135"/>
      <c r="M46" s="1135"/>
      <c r="N46" s="1135"/>
      <c r="O46" s="1135"/>
      <c r="P46" s="1135"/>
      <c r="Q46" s="1135"/>
      <c r="R46" s="1124"/>
    </row>
    <row r="47" spans="1:18" ht="23.25" x14ac:dyDescent="0.35">
      <c r="A47" s="1123"/>
      <c r="B47" s="1128"/>
      <c r="C47" s="1127"/>
      <c r="D47" s="1120" t="s">
        <v>619</v>
      </c>
      <c r="E47" s="1137">
        <f>19340+55</f>
        <v>19395</v>
      </c>
      <c r="F47" s="1126">
        <f t="shared" si="3"/>
        <v>0</v>
      </c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24"/>
    </row>
    <row r="48" spans="1:18" ht="23.25" x14ac:dyDescent="0.35">
      <c r="A48" s="1403" t="s">
        <v>753</v>
      </c>
      <c r="B48" s="1404"/>
      <c r="C48" s="1404"/>
      <c r="D48" s="1120" t="s">
        <v>3</v>
      </c>
      <c r="E48" s="1136">
        <f t="shared" ref="E48:R50" si="4">(E42+E45)</f>
        <v>27431</v>
      </c>
      <c r="F48" s="1126">
        <f t="shared" si="4"/>
        <v>27431</v>
      </c>
      <c r="G48" s="1126">
        <f t="shared" si="4"/>
        <v>20569</v>
      </c>
      <c r="H48" s="1126">
        <f t="shared" si="4"/>
        <v>4335</v>
      </c>
      <c r="I48" s="1126">
        <f t="shared" si="4"/>
        <v>2527</v>
      </c>
      <c r="J48" s="1126">
        <f t="shared" si="4"/>
        <v>0</v>
      </c>
      <c r="K48" s="1126">
        <f t="shared" si="4"/>
        <v>0</v>
      </c>
      <c r="L48" s="1126">
        <f t="shared" si="4"/>
        <v>0</v>
      </c>
      <c r="M48" s="1126">
        <f t="shared" si="4"/>
        <v>0</v>
      </c>
      <c r="N48" s="1126">
        <f t="shared" si="4"/>
        <v>0</v>
      </c>
      <c r="O48" s="1126">
        <f t="shared" si="4"/>
        <v>0</v>
      </c>
      <c r="P48" s="1126">
        <f t="shared" si="4"/>
        <v>0</v>
      </c>
      <c r="Q48" s="1126">
        <f t="shared" si="4"/>
        <v>0</v>
      </c>
      <c r="R48" s="1133">
        <f t="shared" si="4"/>
        <v>0</v>
      </c>
    </row>
    <row r="49" spans="1:18" ht="23.25" x14ac:dyDescent="0.35">
      <c r="A49" s="1399"/>
      <c r="B49" s="1400"/>
      <c r="C49" s="1400"/>
      <c r="D49" s="1120" t="s">
        <v>567</v>
      </c>
      <c r="E49" s="1136">
        <f t="shared" si="4"/>
        <v>27468</v>
      </c>
      <c r="F49" s="1126">
        <f t="shared" si="4"/>
        <v>27468</v>
      </c>
      <c r="G49" s="1126">
        <f t="shared" si="4"/>
        <v>20601</v>
      </c>
      <c r="H49" s="1126">
        <f t="shared" si="4"/>
        <v>4340</v>
      </c>
      <c r="I49" s="1126">
        <f t="shared" si="4"/>
        <v>2527</v>
      </c>
      <c r="J49" s="1126">
        <f t="shared" si="4"/>
        <v>0</v>
      </c>
      <c r="K49" s="1126">
        <f t="shared" si="4"/>
        <v>0</v>
      </c>
      <c r="L49" s="1126">
        <f t="shared" si="4"/>
        <v>0</v>
      </c>
      <c r="M49" s="1126">
        <f t="shared" si="4"/>
        <v>0</v>
      </c>
      <c r="N49" s="1126">
        <f t="shared" si="4"/>
        <v>0</v>
      </c>
      <c r="O49" s="1126">
        <f t="shared" si="4"/>
        <v>0</v>
      </c>
      <c r="P49" s="1126">
        <f t="shared" si="4"/>
        <v>0</v>
      </c>
      <c r="Q49" s="1126">
        <f t="shared" si="4"/>
        <v>0</v>
      </c>
      <c r="R49" s="1133">
        <f t="shared" si="4"/>
        <v>0</v>
      </c>
    </row>
    <row r="50" spans="1:18" ht="23.25" x14ac:dyDescent="0.35">
      <c r="A50" s="1399"/>
      <c r="B50" s="1400"/>
      <c r="C50" s="1400"/>
      <c r="D50" s="1120" t="s">
        <v>619</v>
      </c>
      <c r="E50" s="1136">
        <f t="shared" si="4"/>
        <v>28823</v>
      </c>
      <c r="F50" s="1126">
        <f t="shared" si="4"/>
        <v>28823</v>
      </c>
      <c r="G50" s="1126">
        <f t="shared" si="4"/>
        <v>21946</v>
      </c>
      <c r="H50" s="1126">
        <f t="shared" si="4"/>
        <v>4350</v>
      </c>
      <c r="I50" s="1126">
        <f t="shared" si="4"/>
        <v>2527</v>
      </c>
      <c r="J50" s="1126">
        <f t="shared" si="4"/>
        <v>0</v>
      </c>
      <c r="K50" s="1126">
        <f t="shared" si="4"/>
        <v>0</v>
      </c>
      <c r="L50" s="1126">
        <f t="shared" si="4"/>
        <v>0</v>
      </c>
      <c r="M50" s="1126">
        <f t="shared" si="4"/>
        <v>0</v>
      </c>
      <c r="N50" s="1126">
        <f t="shared" si="4"/>
        <v>0</v>
      </c>
      <c r="O50" s="1126">
        <f t="shared" si="4"/>
        <v>0</v>
      </c>
      <c r="P50" s="1126">
        <f t="shared" si="4"/>
        <v>0</v>
      </c>
      <c r="Q50" s="1126">
        <f t="shared" si="4"/>
        <v>0</v>
      </c>
      <c r="R50" s="1133">
        <f t="shared" si="4"/>
        <v>0</v>
      </c>
    </row>
    <row r="51" spans="1:18" ht="23.25" x14ac:dyDescent="0.35">
      <c r="A51" s="1154"/>
      <c r="B51" s="1155"/>
      <c r="C51" s="1155"/>
      <c r="D51" s="1120"/>
      <c r="E51" s="1126"/>
      <c r="F51" s="1126"/>
      <c r="G51" s="1126"/>
      <c r="H51" s="1126"/>
      <c r="I51" s="1126"/>
      <c r="J51" s="1126"/>
      <c r="K51" s="1126"/>
      <c r="L51" s="1126"/>
      <c r="M51" s="1126"/>
      <c r="N51" s="1126"/>
      <c r="O51" s="1126"/>
      <c r="P51" s="1126"/>
      <c r="Q51" s="1126"/>
      <c r="R51" s="1133"/>
    </row>
    <row r="52" spans="1:18" ht="23.25" x14ac:dyDescent="0.35">
      <c r="A52" s="1403" t="s">
        <v>101</v>
      </c>
      <c r="B52" s="1404"/>
      <c r="C52" s="1404"/>
      <c r="D52" s="1120"/>
      <c r="E52" s="1126"/>
      <c r="F52" s="1126"/>
      <c r="G52" s="1135"/>
      <c r="H52" s="1135"/>
      <c r="I52" s="1135"/>
      <c r="J52" s="1135"/>
      <c r="K52" s="1126"/>
      <c r="L52" s="1126"/>
      <c r="M52" s="1126"/>
      <c r="N52" s="1135"/>
      <c r="O52" s="1135"/>
      <c r="P52" s="1135"/>
      <c r="Q52" s="1135"/>
      <c r="R52" s="1124"/>
    </row>
    <row r="53" spans="1:18" ht="23.25" x14ac:dyDescent="0.35">
      <c r="A53" s="1123" t="s">
        <v>734</v>
      </c>
      <c r="B53" s="1128" t="s">
        <v>98</v>
      </c>
      <c r="C53" s="1127" t="s">
        <v>735</v>
      </c>
      <c r="D53" s="1120" t="s">
        <v>3</v>
      </c>
      <c r="E53" s="1136">
        <v>3706</v>
      </c>
      <c r="F53" s="1126">
        <f t="shared" ref="F53:F58" si="5">SUM(G53:R53)</f>
        <v>25030</v>
      </c>
      <c r="G53" s="1135">
        <v>16691</v>
      </c>
      <c r="H53" s="1135">
        <v>4197</v>
      </c>
      <c r="I53" s="1135">
        <v>3542</v>
      </c>
      <c r="J53" s="1135"/>
      <c r="K53" s="1135"/>
      <c r="L53" s="1135"/>
      <c r="M53" s="1135"/>
      <c r="N53" s="1135">
        <v>600</v>
      </c>
      <c r="O53" s="1135"/>
      <c r="P53" s="1135"/>
      <c r="Q53" s="1135"/>
      <c r="R53" s="1124"/>
    </row>
    <row r="54" spans="1:18" ht="23.25" x14ac:dyDescent="0.35">
      <c r="A54" s="1123"/>
      <c r="B54" s="1128"/>
      <c r="C54" s="1127"/>
      <c r="D54" s="1120" t="s">
        <v>567</v>
      </c>
      <c r="E54" s="1136">
        <v>6205</v>
      </c>
      <c r="F54" s="1126">
        <f t="shared" si="5"/>
        <v>27556</v>
      </c>
      <c r="G54" s="1135">
        <v>19378</v>
      </c>
      <c r="H54" s="1135">
        <v>4168</v>
      </c>
      <c r="I54" s="1135">
        <v>3410</v>
      </c>
      <c r="J54" s="1135"/>
      <c r="K54" s="1135"/>
      <c r="L54" s="1135"/>
      <c r="M54" s="1135"/>
      <c r="N54" s="1135">
        <v>600</v>
      </c>
      <c r="O54" s="1135"/>
      <c r="P54" s="1135"/>
      <c r="Q54" s="1135"/>
      <c r="R54" s="1124"/>
    </row>
    <row r="55" spans="1:18" ht="23.25" x14ac:dyDescent="0.35">
      <c r="A55" s="1123"/>
      <c r="B55" s="1128"/>
      <c r="C55" s="1127"/>
      <c r="D55" s="1120" t="s">
        <v>619</v>
      </c>
      <c r="E55" s="1136">
        <v>6205</v>
      </c>
      <c r="F55" s="1126">
        <f t="shared" si="5"/>
        <v>27597</v>
      </c>
      <c r="G55" s="1135">
        <f>19378+34</f>
        <v>19412</v>
      </c>
      <c r="H55" s="1135">
        <f>4168+7</f>
        <v>4175</v>
      </c>
      <c r="I55" s="1135">
        <v>3410</v>
      </c>
      <c r="J55" s="1135"/>
      <c r="K55" s="1135"/>
      <c r="L55" s="1135"/>
      <c r="M55" s="1135"/>
      <c r="N55" s="1135">
        <v>600</v>
      </c>
      <c r="O55" s="1135"/>
      <c r="P55" s="1135"/>
      <c r="Q55" s="1135"/>
      <c r="R55" s="1124"/>
    </row>
    <row r="56" spans="1:18" ht="23.25" x14ac:dyDescent="0.35">
      <c r="A56" s="1123" t="s">
        <v>734</v>
      </c>
      <c r="B56" s="1128" t="s">
        <v>740</v>
      </c>
      <c r="C56" s="1127" t="s">
        <v>741</v>
      </c>
      <c r="D56" s="1120" t="s">
        <v>3</v>
      </c>
      <c r="E56" s="1136">
        <v>21324</v>
      </c>
      <c r="F56" s="1126">
        <f t="shared" si="5"/>
        <v>0</v>
      </c>
      <c r="G56" s="1125"/>
      <c r="H56" s="1125"/>
      <c r="I56" s="1125"/>
      <c r="J56" s="1125"/>
      <c r="K56" s="1125"/>
      <c r="L56" s="1125"/>
      <c r="M56" s="1125"/>
      <c r="N56" s="1125"/>
      <c r="O56" s="1125"/>
      <c r="P56" s="1125"/>
      <c r="Q56" s="1125"/>
      <c r="R56" s="1124"/>
    </row>
    <row r="57" spans="1:18" ht="23.25" x14ac:dyDescent="0.35">
      <c r="A57" s="1123"/>
      <c r="B57" s="1128"/>
      <c r="C57" s="1127"/>
      <c r="D57" s="1120" t="s">
        <v>567</v>
      </c>
      <c r="E57" s="1136">
        <v>21351</v>
      </c>
      <c r="F57" s="1126">
        <f t="shared" si="5"/>
        <v>0</v>
      </c>
      <c r="G57" s="1125"/>
      <c r="H57" s="1125"/>
      <c r="I57" s="1125"/>
      <c r="J57" s="1125"/>
      <c r="K57" s="1125"/>
      <c r="L57" s="1125"/>
      <c r="M57" s="1125"/>
      <c r="N57" s="1125"/>
      <c r="O57" s="1125"/>
      <c r="P57" s="1125"/>
      <c r="Q57" s="1125"/>
      <c r="R57" s="1124"/>
    </row>
    <row r="58" spans="1:18" ht="23.25" x14ac:dyDescent="0.35">
      <c r="A58" s="1123"/>
      <c r="B58" s="1128"/>
      <c r="C58" s="1127"/>
      <c r="D58" s="1120" t="s">
        <v>619</v>
      </c>
      <c r="E58" s="1136">
        <f>21351+41</f>
        <v>21392</v>
      </c>
      <c r="F58" s="1126">
        <f t="shared" si="5"/>
        <v>0</v>
      </c>
      <c r="G58" s="1125"/>
      <c r="H58" s="1125"/>
      <c r="I58" s="1125"/>
      <c r="J58" s="1125"/>
      <c r="K58" s="1125"/>
      <c r="L58" s="1125"/>
      <c r="M58" s="1125"/>
      <c r="N58" s="1125"/>
      <c r="O58" s="1125"/>
      <c r="P58" s="1125"/>
      <c r="Q58" s="1125"/>
      <c r="R58" s="1124"/>
    </row>
    <row r="59" spans="1:18" ht="23.25" x14ac:dyDescent="0.35">
      <c r="A59" s="1403" t="s">
        <v>754</v>
      </c>
      <c r="B59" s="1404"/>
      <c r="C59" s="1404"/>
      <c r="D59" s="1120" t="s">
        <v>3</v>
      </c>
      <c r="E59" s="1136">
        <f t="shared" ref="E59:R61" si="6">(E53+E56)</f>
        <v>25030</v>
      </c>
      <c r="F59" s="1126">
        <f t="shared" si="6"/>
        <v>25030</v>
      </c>
      <c r="G59" s="1126">
        <f t="shared" si="6"/>
        <v>16691</v>
      </c>
      <c r="H59" s="1126">
        <f t="shared" si="6"/>
        <v>4197</v>
      </c>
      <c r="I59" s="1126">
        <f t="shared" si="6"/>
        <v>3542</v>
      </c>
      <c r="J59" s="1126">
        <f t="shared" si="6"/>
        <v>0</v>
      </c>
      <c r="K59" s="1126">
        <f t="shared" si="6"/>
        <v>0</v>
      </c>
      <c r="L59" s="1126">
        <f t="shared" si="6"/>
        <v>0</v>
      </c>
      <c r="M59" s="1126">
        <f t="shared" si="6"/>
        <v>0</v>
      </c>
      <c r="N59" s="1126">
        <f t="shared" si="6"/>
        <v>600</v>
      </c>
      <c r="O59" s="1126">
        <f t="shared" si="6"/>
        <v>0</v>
      </c>
      <c r="P59" s="1126">
        <f t="shared" si="6"/>
        <v>0</v>
      </c>
      <c r="Q59" s="1126">
        <f t="shared" si="6"/>
        <v>0</v>
      </c>
      <c r="R59" s="1133">
        <f t="shared" si="6"/>
        <v>0</v>
      </c>
    </row>
    <row r="60" spans="1:18" ht="23.25" x14ac:dyDescent="0.35">
      <c r="A60" s="1399"/>
      <c r="B60" s="1400"/>
      <c r="C60" s="1400"/>
      <c r="D60" s="1120" t="s">
        <v>567</v>
      </c>
      <c r="E60" s="1136">
        <f t="shared" si="6"/>
        <v>27556</v>
      </c>
      <c r="F60" s="1126">
        <f t="shared" si="6"/>
        <v>27556</v>
      </c>
      <c r="G60" s="1126">
        <f t="shared" si="6"/>
        <v>19378</v>
      </c>
      <c r="H60" s="1126">
        <f t="shared" si="6"/>
        <v>4168</v>
      </c>
      <c r="I60" s="1126">
        <f t="shared" si="6"/>
        <v>3410</v>
      </c>
      <c r="J60" s="1126">
        <f t="shared" si="6"/>
        <v>0</v>
      </c>
      <c r="K60" s="1126">
        <f t="shared" si="6"/>
        <v>0</v>
      </c>
      <c r="L60" s="1126">
        <f t="shared" si="6"/>
        <v>0</v>
      </c>
      <c r="M60" s="1126">
        <f t="shared" si="6"/>
        <v>0</v>
      </c>
      <c r="N60" s="1126">
        <f t="shared" si="6"/>
        <v>600</v>
      </c>
      <c r="O60" s="1126">
        <f t="shared" si="6"/>
        <v>0</v>
      </c>
      <c r="P60" s="1126">
        <f t="shared" si="6"/>
        <v>0</v>
      </c>
      <c r="Q60" s="1126">
        <f t="shared" si="6"/>
        <v>0</v>
      </c>
      <c r="R60" s="1133">
        <f t="shared" si="6"/>
        <v>0</v>
      </c>
    </row>
    <row r="61" spans="1:18" ht="23.25" x14ac:dyDescent="0.35">
      <c r="A61" s="1399"/>
      <c r="B61" s="1400"/>
      <c r="C61" s="1400"/>
      <c r="D61" s="1120" t="s">
        <v>619</v>
      </c>
      <c r="E61" s="1136">
        <f t="shared" si="6"/>
        <v>27597</v>
      </c>
      <c r="F61" s="1126">
        <f t="shared" si="6"/>
        <v>27597</v>
      </c>
      <c r="G61" s="1126">
        <f t="shared" si="6"/>
        <v>19412</v>
      </c>
      <c r="H61" s="1126">
        <f t="shared" si="6"/>
        <v>4175</v>
      </c>
      <c r="I61" s="1126">
        <f t="shared" si="6"/>
        <v>3410</v>
      </c>
      <c r="J61" s="1126">
        <f t="shared" si="6"/>
        <v>0</v>
      </c>
      <c r="K61" s="1126">
        <f t="shared" si="6"/>
        <v>0</v>
      </c>
      <c r="L61" s="1126">
        <f t="shared" si="6"/>
        <v>0</v>
      </c>
      <c r="M61" s="1126">
        <f t="shared" si="6"/>
        <v>0</v>
      </c>
      <c r="N61" s="1126">
        <f t="shared" si="6"/>
        <v>600</v>
      </c>
      <c r="O61" s="1126">
        <f t="shared" si="6"/>
        <v>0</v>
      </c>
      <c r="P61" s="1126">
        <f t="shared" si="6"/>
        <v>0</v>
      </c>
      <c r="Q61" s="1126">
        <f t="shared" si="6"/>
        <v>0</v>
      </c>
      <c r="R61" s="1133">
        <f t="shared" si="6"/>
        <v>0</v>
      </c>
    </row>
    <row r="62" spans="1:18" ht="23.25" x14ac:dyDescent="0.35">
      <c r="A62" s="1154"/>
      <c r="B62" s="1155"/>
      <c r="C62" s="1155"/>
      <c r="D62" s="1120"/>
      <c r="E62" s="1126"/>
      <c r="F62" s="1126"/>
      <c r="G62" s="1126"/>
      <c r="H62" s="1126"/>
      <c r="I62" s="1126"/>
      <c r="J62" s="1126"/>
      <c r="K62" s="1126"/>
      <c r="L62" s="1126"/>
      <c r="M62" s="1126"/>
      <c r="N62" s="1126"/>
      <c r="O62" s="1126"/>
      <c r="P62" s="1126"/>
      <c r="Q62" s="1126"/>
      <c r="R62" s="1133"/>
    </row>
    <row r="63" spans="1:18" ht="23.25" x14ac:dyDescent="0.35">
      <c r="A63" s="1403" t="s">
        <v>102</v>
      </c>
      <c r="B63" s="1404"/>
      <c r="C63" s="1404"/>
      <c r="D63" s="1120"/>
      <c r="E63" s="1126"/>
      <c r="F63" s="1126"/>
      <c r="G63" s="1135"/>
      <c r="H63" s="1135"/>
      <c r="I63" s="1135"/>
      <c r="J63" s="1135"/>
      <c r="K63" s="1135"/>
      <c r="L63" s="1135"/>
      <c r="M63" s="1135"/>
      <c r="N63" s="1135"/>
      <c r="O63" s="1135"/>
      <c r="P63" s="1135"/>
      <c r="Q63" s="1135"/>
      <c r="R63" s="1124"/>
    </row>
    <row r="64" spans="1:18" ht="23.25" x14ac:dyDescent="0.35">
      <c r="A64" s="1123" t="s">
        <v>734</v>
      </c>
      <c r="B64" s="1128" t="s">
        <v>98</v>
      </c>
      <c r="C64" s="1127" t="s">
        <v>735</v>
      </c>
      <c r="D64" s="1120" t="s">
        <v>3</v>
      </c>
      <c r="E64" s="1126">
        <v>5332</v>
      </c>
      <c r="F64" s="1126">
        <f t="shared" ref="F64:F69" si="7">SUM(G64:R64)</f>
        <v>11675</v>
      </c>
      <c r="G64" s="1125">
        <v>8265</v>
      </c>
      <c r="H64" s="1125">
        <v>1808</v>
      </c>
      <c r="I64" s="1125">
        <v>1475</v>
      </c>
      <c r="J64" s="1125"/>
      <c r="K64" s="1125"/>
      <c r="L64" s="1125"/>
      <c r="M64" s="1125"/>
      <c r="N64" s="1125">
        <v>127</v>
      </c>
      <c r="O64" s="1134"/>
      <c r="P64" s="1125"/>
      <c r="Q64" s="1125"/>
      <c r="R64" s="1124"/>
    </row>
    <row r="65" spans="1:18" ht="23.25" x14ac:dyDescent="0.35">
      <c r="A65" s="1123"/>
      <c r="B65" s="1128"/>
      <c r="C65" s="1127"/>
      <c r="D65" s="1120" t="s">
        <v>567</v>
      </c>
      <c r="E65" s="1126">
        <v>5332</v>
      </c>
      <c r="F65" s="1126">
        <f t="shared" si="7"/>
        <v>11726</v>
      </c>
      <c r="G65" s="1125">
        <v>8309</v>
      </c>
      <c r="H65" s="1125">
        <v>1815</v>
      </c>
      <c r="I65" s="1125">
        <v>1475</v>
      </c>
      <c r="J65" s="1125"/>
      <c r="K65" s="1125"/>
      <c r="L65" s="1125"/>
      <c r="M65" s="1125"/>
      <c r="N65" s="1125">
        <v>127</v>
      </c>
      <c r="O65" s="1134"/>
      <c r="P65" s="1125"/>
      <c r="Q65" s="1125"/>
      <c r="R65" s="1124"/>
    </row>
    <row r="66" spans="1:18" ht="23.25" x14ac:dyDescent="0.35">
      <c r="A66" s="1123"/>
      <c r="B66" s="1128"/>
      <c r="C66" s="1127"/>
      <c r="D66" s="1120" t="s">
        <v>619</v>
      </c>
      <c r="E66" s="1126">
        <v>5332</v>
      </c>
      <c r="F66" s="1126">
        <f t="shared" si="7"/>
        <v>13795</v>
      </c>
      <c r="G66" s="1125">
        <f>8309+97+1536</f>
        <v>9942</v>
      </c>
      <c r="H66" s="1125">
        <f>1815+21+415</f>
        <v>2251</v>
      </c>
      <c r="I66" s="1125">
        <v>1475</v>
      </c>
      <c r="J66" s="1125"/>
      <c r="K66" s="1125"/>
      <c r="L66" s="1125"/>
      <c r="M66" s="1125"/>
      <c r="N66" s="1125">
        <v>127</v>
      </c>
      <c r="O66" s="1134"/>
      <c r="P66" s="1125"/>
      <c r="Q66" s="1125"/>
      <c r="R66" s="1124"/>
    </row>
    <row r="67" spans="1:18" ht="23.25" x14ac:dyDescent="0.35">
      <c r="A67" s="1123" t="s">
        <v>734</v>
      </c>
      <c r="B67" s="1128" t="s">
        <v>740</v>
      </c>
      <c r="C67" s="1127" t="s">
        <v>741</v>
      </c>
      <c r="D67" s="1120" t="s">
        <v>3</v>
      </c>
      <c r="E67" s="1126">
        <v>6343</v>
      </c>
      <c r="F67" s="1126">
        <f t="shared" si="7"/>
        <v>0</v>
      </c>
      <c r="G67" s="1125"/>
      <c r="H67" s="1125"/>
      <c r="I67" s="1125"/>
      <c r="J67" s="1125"/>
      <c r="K67" s="1125"/>
      <c r="L67" s="1125"/>
      <c r="M67" s="1125"/>
      <c r="N67" s="1125"/>
      <c r="O67" s="1125"/>
      <c r="P67" s="1125"/>
      <c r="Q67" s="1125"/>
      <c r="R67" s="1124"/>
    </row>
    <row r="68" spans="1:18" ht="23.25" x14ac:dyDescent="0.35">
      <c r="A68" s="1123"/>
      <c r="B68" s="1128"/>
      <c r="C68" s="1127"/>
      <c r="D68" s="1120" t="s">
        <v>567</v>
      </c>
      <c r="E68" s="1126">
        <v>6394</v>
      </c>
      <c r="F68" s="1126">
        <f t="shared" si="7"/>
        <v>0</v>
      </c>
      <c r="G68" s="1125"/>
      <c r="H68" s="1125"/>
      <c r="I68" s="1125"/>
      <c r="J68" s="1125"/>
      <c r="K68" s="1125"/>
      <c r="L68" s="1125"/>
      <c r="M68" s="1125"/>
      <c r="N68" s="1125"/>
      <c r="O68" s="1125"/>
      <c r="P68" s="1125"/>
      <c r="Q68" s="1125"/>
      <c r="R68" s="1124"/>
    </row>
    <row r="69" spans="1:18" ht="23.25" x14ac:dyDescent="0.35">
      <c r="A69" s="1123"/>
      <c r="B69" s="1128"/>
      <c r="C69" s="1127"/>
      <c r="D69" s="1120" t="s">
        <v>619</v>
      </c>
      <c r="E69" s="1126">
        <f>6394+118+1951</f>
        <v>8463</v>
      </c>
      <c r="F69" s="1126">
        <f t="shared" si="7"/>
        <v>0</v>
      </c>
      <c r="G69" s="1125"/>
      <c r="H69" s="1125"/>
      <c r="I69" s="1125"/>
      <c r="J69" s="1125"/>
      <c r="K69" s="1125"/>
      <c r="L69" s="1125"/>
      <c r="M69" s="1125"/>
      <c r="N69" s="1125"/>
      <c r="O69" s="1125"/>
      <c r="P69" s="1125"/>
      <c r="Q69" s="1125"/>
      <c r="R69" s="1124"/>
    </row>
    <row r="70" spans="1:18" ht="23.25" x14ac:dyDescent="0.35">
      <c r="A70" s="1403" t="s">
        <v>755</v>
      </c>
      <c r="B70" s="1404"/>
      <c r="C70" s="1404"/>
      <c r="D70" s="1120" t="s">
        <v>3</v>
      </c>
      <c r="E70" s="1126">
        <f t="shared" ref="E70:R72" si="8">(E64+E67)</f>
        <v>11675</v>
      </c>
      <c r="F70" s="1126">
        <f t="shared" si="8"/>
        <v>11675</v>
      </c>
      <c r="G70" s="1126">
        <f t="shared" si="8"/>
        <v>8265</v>
      </c>
      <c r="H70" s="1126">
        <f t="shared" si="8"/>
        <v>1808</v>
      </c>
      <c r="I70" s="1126">
        <f t="shared" si="8"/>
        <v>1475</v>
      </c>
      <c r="J70" s="1126">
        <f t="shared" si="8"/>
        <v>0</v>
      </c>
      <c r="K70" s="1126">
        <f t="shared" si="8"/>
        <v>0</v>
      </c>
      <c r="L70" s="1126">
        <f t="shared" si="8"/>
        <v>0</v>
      </c>
      <c r="M70" s="1126">
        <f t="shared" si="8"/>
        <v>0</v>
      </c>
      <c r="N70" s="1126">
        <f t="shared" si="8"/>
        <v>127</v>
      </c>
      <c r="O70" s="1126">
        <f t="shared" si="8"/>
        <v>0</v>
      </c>
      <c r="P70" s="1126">
        <f t="shared" si="8"/>
        <v>0</v>
      </c>
      <c r="Q70" s="1126">
        <f t="shared" si="8"/>
        <v>0</v>
      </c>
      <c r="R70" s="1133">
        <f t="shared" si="8"/>
        <v>0</v>
      </c>
    </row>
    <row r="71" spans="1:18" ht="23.25" x14ac:dyDescent="0.35">
      <c r="A71" s="1399"/>
      <c r="B71" s="1400"/>
      <c r="C71" s="1400"/>
      <c r="D71" s="1120" t="s">
        <v>567</v>
      </c>
      <c r="E71" s="1126">
        <f t="shared" si="8"/>
        <v>11726</v>
      </c>
      <c r="F71" s="1126">
        <f t="shared" si="8"/>
        <v>11726</v>
      </c>
      <c r="G71" s="1126">
        <f t="shared" si="8"/>
        <v>8309</v>
      </c>
      <c r="H71" s="1126">
        <f t="shared" si="8"/>
        <v>1815</v>
      </c>
      <c r="I71" s="1126">
        <f t="shared" si="8"/>
        <v>1475</v>
      </c>
      <c r="J71" s="1126">
        <f t="shared" si="8"/>
        <v>0</v>
      </c>
      <c r="K71" s="1126">
        <f t="shared" si="8"/>
        <v>0</v>
      </c>
      <c r="L71" s="1126">
        <f t="shared" si="8"/>
        <v>0</v>
      </c>
      <c r="M71" s="1126">
        <f t="shared" si="8"/>
        <v>0</v>
      </c>
      <c r="N71" s="1126">
        <f t="shared" si="8"/>
        <v>127</v>
      </c>
      <c r="O71" s="1126">
        <f t="shared" si="8"/>
        <v>0</v>
      </c>
      <c r="P71" s="1126">
        <f t="shared" si="8"/>
        <v>0</v>
      </c>
      <c r="Q71" s="1126">
        <f t="shared" si="8"/>
        <v>0</v>
      </c>
      <c r="R71" s="1133">
        <f t="shared" si="8"/>
        <v>0</v>
      </c>
    </row>
    <row r="72" spans="1:18" ht="23.25" x14ac:dyDescent="0.35">
      <c r="A72" s="1399"/>
      <c r="B72" s="1400"/>
      <c r="C72" s="1400"/>
      <c r="D72" s="1120" t="s">
        <v>619</v>
      </c>
      <c r="E72" s="1126">
        <f t="shared" si="8"/>
        <v>13795</v>
      </c>
      <c r="F72" s="1126">
        <f t="shared" si="8"/>
        <v>13795</v>
      </c>
      <c r="G72" s="1126">
        <f t="shared" si="8"/>
        <v>9942</v>
      </c>
      <c r="H72" s="1126">
        <f t="shared" si="8"/>
        <v>2251</v>
      </c>
      <c r="I72" s="1126">
        <f t="shared" si="8"/>
        <v>1475</v>
      </c>
      <c r="J72" s="1126">
        <f t="shared" si="8"/>
        <v>0</v>
      </c>
      <c r="K72" s="1126">
        <f t="shared" si="8"/>
        <v>0</v>
      </c>
      <c r="L72" s="1126">
        <f t="shared" si="8"/>
        <v>0</v>
      </c>
      <c r="M72" s="1126">
        <f t="shared" si="8"/>
        <v>0</v>
      </c>
      <c r="N72" s="1126">
        <f t="shared" si="8"/>
        <v>127</v>
      </c>
      <c r="O72" s="1126">
        <f t="shared" si="8"/>
        <v>0</v>
      </c>
      <c r="P72" s="1126">
        <f t="shared" si="8"/>
        <v>0</v>
      </c>
      <c r="Q72" s="1126">
        <f t="shared" si="8"/>
        <v>0</v>
      </c>
      <c r="R72" s="1133">
        <f t="shared" si="8"/>
        <v>0</v>
      </c>
    </row>
    <row r="73" spans="1:18" ht="23.25" x14ac:dyDescent="0.35">
      <c r="A73" s="1154"/>
      <c r="B73" s="1155"/>
      <c r="C73" s="1155"/>
      <c r="D73" s="1120"/>
      <c r="E73" s="1126"/>
      <c r="F73" s="1126"/>
      <c r="G73" s="1126"/>
      <c r="H73" s="1126"/>
      <c r="I73" s="1126"/>
      <c r="J73" s="1126"/>
      <c r="K73" s="1126"/>
      <c r="L73" s="1126"/>
      <c r="M73" s="1126"/>
      <c r="N73" s="1126"/>
      <c r="O73" s="1126"/>
      <c r="P73" s="1126"/>
      <c r="Q73" s="1126"/>
      <c r="R73" s="1133"/>
    </row>
    <row r="74" spans="1:18" ht="22.5" x14ac:dyDescent="0.3">
      <c r="A74" s="1403" t="s">
        <v>756</v>
      </c>
      <c r="B74" s="1404"/>
      <c r="C74" s="1404"/>
      <c r="D74" s="1121" t="s">
        <v>3</v>
      </c>
      <c r="E74" s="1126">
        <f t="shared" ref="E74:R74" si="9">SUM(E48+E59+E70)</f>
        <v>64136</v>
      </c>
      <c r="F74" s="1126">
        <f t="shared" si="9"/>
        <v>64136</v>
      </c>
      <c r="G74" s="1126">
        <f t="shared" si="9"/>
        <v>45525</v>
      </c>
      <c r="H74" s="1126">
        <f t="shared" si="9"/>
        <v>10340</v>
      </c>
      <c r="I74" s="1126">
        <f t="shared" si="9"/>
        <v>7544</v>
      </c>
      <c r="J74" s="1126">
        <f t="shared" si="9"/>
        <v>0</v>
      </c>
      <c r="K74" s="1126">
        <f t="shared" si="9"/>
        <v>0</v>
      </c>
      <c r="L74" s="1126">
        <f t="shared" si="9"/>
        <v>0</v>
      </c>
      <c r="M74" s="1126">
        <f t="shared" si="9"/>
        <v>0</v>
      </c>
      <c r="N74" s="1126">
        <f t="shared" si="9"/>
        <v>727</v>
      </c>
      <c r="O74" s="1126">
        <f t="shared" si="9"/>
        <v>0</v>
      </c>
      <c r="P74" s="1126">
        <f t="shared" si="9"/>
        <v>0</v>
      </c>
      <c r="Q74" s="1126">
        <f t="shared" si="9"/>
        <v>0</v>
      </c>
      <c r="R74" s="1133">
        <f t="shared" si="9"/>
        <v>0</v>
      </c>
    </row>
    <row r="75" spans="1:18" ht="23.25" x14ac:dyDescent="0.35">
      <c r="A75" s="1399"/>
      <c r="B75" s="1400"/>
      <c r="C75" s="1400"/>
      <c r="D75" s="1120" t="s">
        <v>567</v>
      </c>
      <c r="E75" s="1126">
        <f t="shared" ref="E75:R76" si="10">SUM(E49+E60+E71)</f>
        <v>66750</v>
      </c>
      <c r="F75" s="1126">
        <f t="shared" si="10"/>
        <v>66750</v>
      </c>
      <c r="G75" s="1126">
        <f t="shared" si="10"/>
        <v>48288</v>
      </c>
      <c r="H75" s="1126">
        <f t="shared" si="10"/>
        <v>10323</v>
      </c>
      <c r="I75" s="1126">
        <f t="shared" si="10"/>
        <v>7412</v>
      </c>
      <c r="J75" s="1126">
        <f t="shared" si="10"/>
        <v>0</v>
      </c>
      <c r="K75" s="1126">
        <f t="shared" si="10"/>
        <v>0</v>
      </c>
      <c r="L75" s="1126">
        <f t="shared" si="10"/>
        <v>0</v>
      </c>
      <c r="M75" s="1126">
        <f t="shared" si="10"/>
        <v>0</v>
      </c>
      <c r="N75" s="1126">
        <f t="shared" si="10"/>
        <v>727</v>
      </c>
      <c r="O75" s="1126">
        <f t="shared" si="10"/>
        <v>0</v>
      </c>
      <c r="P75" s="1126">
        <f t="shared" si="10"/>
        <v>0</v>
      </c>
      <c r="Q75" s="1126">
        <f t="shared" si="10"/>
        <v>0</v>
      </c>
      <c r="R75" s="1133">
        <f t="shared" si="10"/>
        <v>0</v>
      </c>
    </row>
    <row r="76" spans="1:18" ht="23.25" x14ac:dyDescent="0.35">
      <c r="A76" s="1399"/>
      <c r="B76" s="1400"/>
      <c r="C76" s="1400"/>
      <c r="D76" s="1120" t="s">
        <v>619</v>
      </c>
      <c r="E76" s="1126">
        <f t="shared" si="10"/>
        <v>70215</v>
      </c>
      <c r="F76" s="1126">
        <f t="shared" si="10"/>
        <v>70215</v>
      </c>
      <c r="G76" s="1126">
        <f t="shared" si="10"/>
        <v>51300</v>
      </c>
      <c r="H76" s="1126">
        <f t="shared" si="10"/>
        <v>10776</v>
      </c>
      <c r="I76" s="1126">
        <f t="shared" si="10"/>
        <v>7412</v>
      </c>
      <c r="J76" s="1126">
        <f t="shared" si="10"/>
        <v>0</v>
      </c>
      <c r="K76" s="1126">
        <f t="shared" si="10"/>
        <v>0</v>
      </c>
      <c r="L76" s="1126">
        <f t="shared" si="10"/>
        <v>0</v>
      </c>
      <c r="M76" s="1126">
        <f t="shared" si="10"/>
        <v>0</v>
      </c>
      <c r="N76" s="1126">
        <f t="shared" si="10"/>
        <v>727</v>
      </c>
      <c r="O76" s="1126">
        <f t="shared" si="10"/>
        <v>0</v>
      </c>
      <c r="P76" s="1126">
        <f t="shared" si="10"/>
        <v>0</v>
      </c>
      <c r="Q76" s="1126">
        <f t="shared" si="10"/>
        <v>0</v>
      </c>
      <c r="R76" s="1133">
        <f t="shared" si="10"/>
        <v>0</v>
      </c>
    </row>
    <row r="77" spans="1:18" ht="23.25" x14ac:dyDescent="0.35">
      <c r="A77" s="1123"/>
      <c r="B77" s="1128"/>
      <c r="C77" s="1127"/>
      <c r="D77" s="1121"/>
      <c r="E77" s="1126"/>
      <c r="F77" s="1126"/>
      <c r="G77" s="1125"/>
      <c r="H77" s="1125"/>
      <c r="I77" s="1125"/>
      <c r="J77" s="1125"/>
      <c r="K77" s="1125"/>
      <c r="L77" s="1125"/>
      <c r="M77" s="1125"/>
      <c r="N77" s="1125"/>
      <c r="O77" s="1125"/>
      <c r="P77" s="1125"/>
      <c r="Q77" s="1125"/>
      <c r="R77" s="1124"/>
    </row>
    <row r="78" spans="1:18" ht="22.5" x14ac:dyDescent="0.3">
      <c r="A78" s="1407" t="s">
        <v>757</v>
      </c>
      <c r="B78" s="1408"/>
      <c r="C78" s="1408"/>
      <c r="D78" s="1132" t="s">
        <v>3</v>
      </c>
      <c r="E78" s="1130">
        <f t="shared" ref="E78:R78" si="11">SUM(E37+E74)</f>
        <v>564837</v>
      </c>
      <c r="F78" s="1130">
        <f t="shared" si="11"/>
        <v>564837</v>
      </c>
      <c r="G78" s="1130">
        <f t="shared" si="11"/>
        <v>346703</v>
      </c>
      <c r="H78" s="1130">
        <f t="shared" si="11"/>
        <v>93119</v>
      </c>
      <c r="I78" s="1130">
        <f t="shared" si="11"/>
        <v>114238</v>
      </c>
      <c r="J78" s="1130">
        <f t="shared" si="11"/>
        <v>0</v>
      </c>
      <c r="K78" s="1130">
        <f t="shared" si="11"/>
        <v>0</v>
      </c>
      <c r="L78" s="1130">
        <f t="shared" si="11"/>
        <v>0</v>
      </c>
      <c r="M78" s="1130">
        <f t="shared" si="11"/>
        <v>0</v>
      </c>
      <c r="N78" s="1130">
        <f t="shared" si="11"/>
        <v>9577</v>
      </c>
      <c r="O78" s="1130">
        <f t="shared" si="11"/>
        <v>1200</v>
      </c>
      <c r="P78" s="1130">
        <f t="shared" si="11"/>
        <v>0</v>
      </c>
      <c r="Q78" s="1130">
        <f t="shared" si="11"/>
        <v>0</v>
      </c>
      <c r="R78" s="1129">
        <f t="shared" si="11"/>
        <v>0</v>
      </c>
    </row>
    <row r="79" spans="1:18" ht="23.25" x14ac:dyDescent="0.35">
      <c r="A79" s="1409"/>
      <c r="B79" s="1410"/>
      <c r="C79" s="1410"/>
      <c r="D79" s="1131" t="s">
        <v>567</v>
      </c>
      <c r="E79" s="1130">
        <f t="shared" ref="E79:R80" si="12">SUM(E38+E75)</f>
        <v>602438</v>
      </c>
      <c r="F79" s="1130">
        <f t="shared" si="12"/>
        <v>602438</v>
      </c>
      <c r="G79" s="1130">
        <f t="shared" si="12"/>
        <v>375284</v>
      </c>
      <c r="H79" s="1130">
        <f t="shared" si="12"/>
        <v>99671</v>
      </c>
      <c r="I79" s="1130">
        <f t="shared" si="12"/>
        <v>116206</v>
      </c>
      <c r="J79" s="1130">
        <f t="shared" si="12"/>
        <v>0</v>
      </c>
      <c r="K79" s="1130">
        <f t="shared" si="12"/>
        <v>0</v>
      </c>
      <c r="L79" s="1130">
        <f t="shared" si="12"/>
        <v>0</v>
      </c>
      <c r="M79" s="1130">
        <f t="shared" si="12"/>
        <v>0</v>
      </c>
      <c r="N79" s="1130">
        <f t="shared" si="12"/>
        <v>10077</v>
      </c>
      <c r="O79" s="1130">
        <f t="shared" si="12"/>
        <v>1200</v>
      </c>
      <c r="P79" s="1130">
        <f t="shared" si="12"/>
        <v>0</v>
      </c>
      <c r="Q79" s="1130">
        <f t="shared" si="12"/>
        <v>0</v>
      </c>
      <c r="R79" s="1129">
        <f t="shared" si="12"/>
        <v>0</v>
      </c>
    </row>
    <row r="80" spans="1:18" ht="23.25" x14ac:dyDescent="0.35">
      <c r="A80" s="1399"/>
      <c r="B80" s="1400"/>
      <c r="C80" s="1400"/>
      <c r="D80" s="1131" t="s">
        <v>619</v>
      </c>
      <c r="E80" s="1130">
        <f t="shared" si="12"/>
        <v>596766</v>
      </c>
      <c r="F80" s="1130">
        <f t="shared" si="12"/>
        <v>596766</v>
      </c>
      <c r="G80" s="1130">
        <f t="shared" si="12"/>
        <v>369451</v>
      </c>
      <c r="H80" s="1130">
        <f t="shared" si="12"/>
        <v>98050</v>
      </c>
      <c r="I80" s="1130">
        <f t="shared" si="12"/>
        <v>117988</v>
      </c>
      <c r="J80" s="1130">
        <f t="shared" si="12"/>
        <v>0</v>
      </c>
      <c r="K80" s="1130">
        <f t="shared" si="12"/>
        <v>0</v>
      </c>
      <c r="L80" s="1130">
        <f t="shared" si="12"/>
        <v>0</v>
      </c>
      <c r="M80" s="1130">
        <f t="shared" si="12"/>
        <v>0</v>
      </c>
      <c r="N80" s="1130">
        <f t="shared" si="12"/>
        <v>10077</v>
      </c>
      <c r="O80" s="1130">
        <f t="shared" si="12"/>
        <v>1200</v>
      </c>
      <c r="P80" s="1130">
        <f t="shared" si="12"/>
        <v>0</v>
      </c>
      <c r="Q80" s="1130">
        <f t="shared" si="12"/>
        <v>0</v>
      </c>
      <c r="R80" s="1129">
        <f t="shared" si="12"/>
        <v>0</v>
      </c>
    </row>
    <row r="81" spans="1:18" ht="23.25" x14ac:dyDescent="0.35">
      <c r="A81" s="1123"/>
      <c r="B81" s="1128"/>
      <c r="C81" s="1127"/>
      <c r="D81" s="1121"/>
      <c r="E81" s="1126"/>
      <c r="F81" s="1126"/>
      <c r="G81" s="1125"/>
      <c r="H81" s="1125"/>
      <c r="I81" s="1125"/>
      <c r="J81" s="1125"/>
      <c r="K81" s="1125"/>
      <c r="L81" s="1125"/>
      <c r="M81" s="1125"/>
      <c r="N81" s="1125"/>
      <c r="O81" s="1125"/>
      <c r="P81" s="1125"/>
      <c r="Q81" s="1125"/>
      <c r="R81" s="1124"/>
    </row>
    <row r="82" spans="1:18" ht="22.5" x14ac:dyDescent="0.3">
      <c r="A82" s="1403" t="s">
        <v>758</v>
      </c>
      <c r="B82" s="1404"/>
      <c r="C82" s="1404"/>
      <c r="D82" s="1121" t="s">
        <v>3</v>
      </c>
      <c r="E82" s="1119">
        <f>+E86+E90</f>
        <v>564837</v>
      </c>
      <c r="F82" s="1119">
        <f>F34</f>
        <v>8692</v>
      </c>
      <c r="G82" s="1119">
        <f t="shared" ref="G82:R84" si="13">G34</f>
        <v>6705</v>
      </c>
      <c r="H82" s="1119">
        <f t="shared" si="13"/>
        <v>1854</v>
      </c>
      <c r="I82" s="1119">
        <f t="shared" si="13"/>
        <v>133</v>
      </c>
      <c r="J82" s="1119">
        <f t="shared" si="13"/>
        <v>0</v>
      </c>
      <c r="K82" s="1119">
        <f t="shared" si="13"/>
        <v>0</v>
      </c>
      <c r="L82" s="1119">
        <f t="shared" si="13"/>
        <v>0</v>
      </c>
      <c r="M82" s="1119">
        <f t="shared" si="13"/>
        <v>0</v>
      </c>
      <c r="N82" s="1119">
        <f t="shared" si="13"/>
        <v>0</v>
      </c>
      <c r="O82" s="1119">
        <f t="shared" si="13"/>
        <v>0</v>
      </c>
      <c r="P82" s="1119">
        <f t="shared" si="13"/>
        <v>0</v>
      </c>
      <c r="Q82" s="1119">
        <f t="shared" si="13"/>
        <v>0</v>
      </c>
      <c r="R82" s="1122">
        <f t="shared" si="13"/>
        <v>0</v>
      </c>
    </row>
    <row r="83" spans="1:18" ht="23.25" x14ac:dyDescent="0.35">
      <c r="A83" s="1399"/>
      <c r="B83" s="1400"/>
      <c r="C83" s="1400"/>
      <c r="D83" s="1120" t="s">
        <v>567</v>
      </c>
      <c r="E83" s="1119">
        <f t="shared" ref="E83:F84" si="14">E35</f>
        <v>0</v>
      </c>
      <c r="F83" s="1119">
        <f t="shared" si="14"/>
        <v>8703</v>
      </c>
      <c r="G83" s="1119">
        <f t="shared" si="13"/>
        <v>6714</v>
      </c>
      <c r="H83" s="1119">
        <f t="shared" si="13"/>
        <v>1856</v>
      </c>
      <c r="I83" s="1119">
        <f t="shared" si="13"/>
        <v>133</v>
      </c>
      <c r="J83" s="1119">
        <f t="shared" si="13"/>
        <v>0</v>
      </c>
      <c r="K83" s="1119">
        <f t="shared" si="13"/>
        <v>0</v>
      </c>
      <c r="L83" s="1119">
        <f t="shared" si="13"/>
        <v>0</v>
      </c>
      <c r="M83" s="1119">
        <f t="shared" si="13"/>
        <v>0</v>
      </c>
      <c r="N83" s="1119">
        <f t="shared" si="13"/>
        <v>0</v>
      </c>
      <c r="O83" s="1119">
        <f t="shared" si="13"/>
        <v>0</v>
      </c>
      <c r="P83" s="1119">
        <f t="shared" si="13"/>
        <v>0</v>
      </c>
      <c r="Q83" s="1119">
        <f t="shared" si="13"/>
        <v>0</v>
      </c>
      <c r="R83" s="1122">
        <f t="shared" si="13"/>
        <v>0</v>
      </c>
    </row>
    <row r="84" spans="1:18" ht="23.25" x14ac:dyDescent="0.35">
      <c r="A84" s="1399"/>
      <c r="B84" s="1400"/>
      <c r="C84" s="1400"/>
      <c r="D84" s="1120" t="s">
        <v>619</v>
      </c>
      <c r="E84" s="1119">
        <f t="shared" si="14"/>
        <v>0</v>
      </c>
      <c r="F84" s="1119">
        <f t="shared" si="14"/>
        <v>8692</v>
      </c>
      <c r="G84" s="1119">
        <f t="shared" si="13"/>
        <v>6705</v>
      </c>
      <c r="H84" s="1119">
        <f t="shared" si="13"/>
        <v>1854</v>
      </c>
      <c r="I84" s="1119">
        <f t="shared" si="13"/>
        <v>133</v>
      </c>
      <c r="J84" s="1119">
        <f t="shared" si="13"/>
        <v>0</v>
      </c>
      <c r="K84" s="1119">
        <f t="shared" si="13"/>
        <v>0</v>
      </c>
      <c r="L84" s="1119">
        <f t="shared" si="13"/>
        <v>0</v>
      </c>
      <c r="M84" s="1119">
        <f t="shared" si="13"/>
        <v>0</v>
      </c>
      <c r="N84" s="1119">
        <f t="shared" si="13"/>
        <v>0</v>
      </c>
      <c r="O84" s="1119">
        <f t="shared" si="13"/>
        <v>0</v>
      </c>
      <c r="P84" s="1119">
        <f t="shared" si="13"/>
        <v>0</v>
      </c>
      <c r="Q84" s="1119">
        <f t="shared" si="13"/>
        <v>0</v>
      </c>
      <c r="R84" s="1122">
        <f t="shared" si="13"/>
        <v>0</v>
      </c>
    </row>
    <row r="85" spans="1:18" ht="23.25" x14ac:dyDescent="0.35">
      <c r="A85" s="1123"/>
      <c r="B85" s="1121"/>
      <c r="C85" s="1121"/>
      <c r="D85" s="1121"/>
      <c r="E85" s="1119"/>
      <c r="F85" s="1119"/>
      <c r="G85" s="1119"/>
      <c r="H85" s="1119"/>
      <c r="I85" s="1119"/>
      <c r="J85" s="1119"/>
      <c r="K85" s="1119"/>
      <c r="L85" s="1119"/>
      <c r="M85" s="1119"/>
      <c r="N85" s="1119"/>
      <c r="O85" s="1119"/>
      <c r="P85" s="1119"/>
      <c r="Q85" s="1119"/>
      <c r="R85" s="1122"/>
    </row>
    <row r="86" spans="1:18" ht="22.5" x14ac:dyDescent="0.3">
      <c r="A86" s="1403" t="s">
        <v>759</v>
      </c>
      <c r="B86" s="1404"/>
      <c r="C86" s="1404"/>
      <c r="D86" s="1121" t="s">
        <v>3</v>
      </c>
      <c r="E86" s="1119">
        <f>E28+E22</f>
        <v>600</v>
      </c>
      <c r="F86" s="1119">
        <f t="shared" ref="F86:R86" si="15">F28+F22</f>
        <v>23495</v>
      </c>
      <c r="G86" s="1119">
        <f t="shared" si="15"/>
        <v>13827</v>
      </c>
      <c r="H86" s="1119">
        <f t="shared" si="15"/>
        <v>3691</v>
      </c>
      <c r="I86" s="1119">
        <f t="shared" si="15"/>
        <v>4777</v>
      </c>
      <c r="J86" s="1119">
        <f t="shared" si="15"/>
        <v>0</v>
      </c>
      <c r="K86" s="1119">
        <f t="shared" si="15"/>
        <v>0</v>
      </c>
      <c r="L86" s="1119">
        <f t="shared" si="15"/>
        <v>0</v>
      </c>
      <c r="M86" s="1119">
        <f t="shared" si="15"/>
        <v>0</v>
      </c>
      <c r="N86" s="1119">
        <f t="shared" si="15"/>
        <v>0</v>
      </c>
      <c r="O86" s="1119">
        <f t="shared" si="15"/>
        <v>1200</v>
      </c>
      <c r="P86" s="1119">
        <f t="shared" si="15"/>
        <v>0</v>
      </c>
      <c r="Q86" s="1119">
        <f t="shared" si="15"/>
        <v>0</v>
      </c>
      <c r="R86" s="1122">
        <f t="shared" si="15"/>
        <v>0</v>
      </c>
    </row>
    <row r="87" spans="1:18" ht="23.25" x14ac:dyDescent="0.35">
      <c r="A87" s="1399"/>
      <c r="B87" s="1400"/>
      <c r="C87" s="1400"/>
      <c r="D87" s="1120" t="s">
        <v>567</v>
      </c>
      <c r="E87" s="1119">
        <f t="shared" ref="E87:R88" si="16">E29+E23</f>
        <v>600</v>
      </c>
      <c r="F87" s="1119">
        <f t="shared" si="16"/>
        <v>21387</v>
      </c>
      <c r="G87" s="1119">
        <f t="shared" si="16"/>
        <v>12309</v>
      </c>
      <c r="H87" s="1119">
        <f t="shared" si="16"/>
        <v>3401</v>
      </c>
      <c r="I87" s="1119">
        <f t="shared" si="16"/>
        <v>4477</v>
      </c>
      <c r="J87" s="1119">
        <f t="shared" si="16"/>
        <v>0</v>
      </c>
      <c r="K87" s="1119">
        <f t="shared" si="16"/>
        <v>0</v>
      </c>
      <c r="L87" s="1119">
        <f t="shared" si="16"/>
        <v>0</v>
      </c>
      <c r="M87" s="1119">
        <f t="shared" si="16"/>
        <v>0</v>
      </c>
      <c r="N87" s="1119">
        <f t="shared" si="16"/>
        <v>0</v>
      </c>
      <c r="O87" s="1119">
        <f t="shared" si="16"/>
        <v>1200</v>
      </c>
      <c r="P87" s="1119">
        <f t="shared" si="16"/>
        <v>0</v>
      </c>
      <c r="Q87" s="1119">
        <f t="shared" si="16"/>
        <v>0</v>
      </c>
      <c r="R87" s="1122">
        <f t="shared" si="16"/>
        <v>0</v>
      </c>
    </row>
    <row r="88" spans="1:18" ht="23.25" x14ac:dyDescent="0.35">
      <c r="A88" s="1399"/>
      <c r="B88" s="1400"/>
      <c r="C88" s="1400"/>
      <c r="D88" s="1120" t="s">
        <v>619</v>
      </c>
      <c r="E88" s="1119">
        <f t="shared" si="16"/>
        <v>600</v>
      </c>
      <c r="F88" s="1119">
        <f t="shared" si="16"/>
        <v>21387</v>
      </c>
      <c r="G88" s="1119">
        <f t="shared" si="16"/>
        <v>12309</v>
      </c>
      <c r="H88" s="1119">
        <f t="shared" si="16"/>
        <v>3401</v>
      </c>
      <c r="I88" s="1119">
        <f t="shared" si="16"/>
        <v>4477</v>
      </c>
      <c r="J88" s="1119">
        <f t="shared" si="16"/>
        <v>0</v>
      </c>
      <c r="K88" s="1119">
        <f t="shared" si="16"/>
        <v>0</v>
      </c>
      <c r="L88" s="1119">
        <f t="shared" si="16"/>
        <v>0</v>
      </c>
      <c r="M88" s="1119">
        <f t="shared" si="16"/>
        <v>0</v>
      </c>
      <c r="N88" s="1119">
        <f t="shared" si="16"/>
        <v>0</v>
      </c>
      <c r="O88" s="1119">
        <f t="shared" si="16"/>
        <v>1200</v>
      </c>
      <c r="P88" s="1119">
        <f t="shared" si="16"/>
        <v>0</v>
      </c>
      <c r="Q88" s="1119">
        <f t="shared" si="16"/>
        <v>0</v>
      </c>
      <c r="R88" s="1122">
        <f t="shared" si="16"/>
        <v>0</v>
      </c>
    </row>
    <row r="89" spans="1:18" ht="23.25" x14ac:dyDescent="0.35">
      <c r="A89" s="1123"/>
      <c r="B89" s="1121"/>
      <c r="C89" s="1121"/>
      <c r="D89" s="1121"/>
      <c r="E89" s="1119"/>
      <c r="F89" s="1119"/>
      <c r="G89" s="1119"/>
      <c r="H89" s="1119"/>
      <c r="I89" s="1119"/>
      <c r="J89" s="1119"/>
      <c r="K89" s="1119"/>
      <c r="L89" s="1119"/>
      <c r="M89" s="1119"/>
      <c r="N89" s="1119"/>
      <c r="O89" s="1119"/>
      <c r="P89" s="1119"/>
      <c r="Q89" s="1119"/>
      <c r="R89" s="1122"/>
    </row>
    <row r="90" spans="1:18" ht="22.5" x14ac:dyDescent="0.3">
      <c r="A90" s="1401" t="s">
        <v>760</v>
      </c>
      <c r="B90" s="1402"/>
      <c r="C90" s="1121"/>
      <c r="D90" s="1121" t="s">
        <v>3</v>
      </c>
      <c r="E90" s="1119">
        <v>564237</v>
      </c>
      <c r="F90" s="1119">
        <v>532650</v>
      </c>
      <c r="G90" s="1119">
        <v>326171</v>
      </c>
      <c r="H90" s="1119">
        <v>87574</v>
      </c>
      <c r="I90" s="1119">
        <f>I10+I13+I16+I19+I25+I31+I42+I45+I53+I56+I64+I67</f>
        <v>109328</v>
      </c>
      <c r="J90" s="1119">
        <f t="shared" ref="J90:R92" si="17">J10+J13+J16+J19+J25+J31+J42+J45+J53+J56+J64+J67</f>
        <v>0</v>
      </c>
      <c r="K90" s="1119">
        <f t="shared" si="17"/>
        <v>0</v>
      </c>
      <c r="L90" s="1119">
        <f t="shared" si="17"/>
        <v>0</v>
      </c>
      <c r="M90" s="1119">
        <f t="shared" si="17"/>
        <v>0</v>
      </c>
      <c r="N90" s="1119">
        <f t="shared" si="17"/>
        <v>9577</v>
      </c>
      <c r="O90" s="1119">
        <f t="shared" si="17"/>
        <v>0</v>
      </c>
      <c r="P90" s="1119">
        <f t="shared" si="17"/>
        <v>0</v>
      </c>
      <c r="Q90" s="1119">
        <f t="shared" si="17"/>
        <v>0</v>
      </c>
      <c r="R90" s="1122">
        <f t="shared" si="17"/>
        <v>0</v>
      </c>
    </row>
    <row r="91" spans="1:18" ht="23.25" x14ac:dyDescent="0.35">
      <c r="A91" s="1403"/>
      <c r="B91" s="1404"/>
      <c r="C91" s="1404"/>
      <c r="D91" s="1120" t="s">
        <v>567</v>
      </c>
      <c r="E91" s="1119">
        <f t="shared" ref="E91:H92" si="18">E11+E14+E17+E20+E26+E32+E43+E46+E54+E57+E65+E68</f>
        <v>601838</v>
      </c>
      <c r="F91" s="1119">
        <f t="shared" si="18"/>
        <v>572348</v>
      </c>
      <c r="G91" s="1119">
        <f t="shared" si="18"/>
        <v>356261</v>
      </c>
      <c r="H91" s="1119">
        <f t="shared" si="18"/>
        <v>94414</v>
      </c>
      <c r="I91" s="1119">
        <f>I11+I14+I17+I20+I26+I32+I43+I46+I54+I57+I65+I68</f>
        <v>111596</v>
      </c>
      <c r="J91" s="1119">
        <f t="shared" si="17"/>
        <v>0</v>
      </c>
      <c r="K91" s="1119">
        <f t="shared" si="17"/>
        <v>0</v>
      </c>
      <c r="L91" s="1119">
        <f t="shared" si="17"/>
        <v>0</v>
      </c>
      <c r="M91" s="1119">
        <f t="shared" si="17"/>
        <v>0</v>
      </c>
      <c r="N91" s="1119">
        <f t="shared" si="17"/>
        <v>10077</v>
      </c>
      <c r="O91" s="1119">
        <f t="shared" si="17"/>
        <v>0</v>
      </c>
      <c r="P91" s="1119">
        <f t="shared" si="17"/>
        <v>0</v>
      </c>
      <c r="Q91" s="1119">
        <f t="shared" si="17"/>
        <v>0</v>
      </c>
      <c r="R91" s="1122">
        <f t="shared" si="17"/>
        <v>0</v>
      </c>
    </row>
    <row r="92" spans="1:18" ht="24" thickBot="1" x14ac:dyDescent="0.4">
      <c r="A92" s="1405"/>
      <c r="B92" s="1406"/>
      <c r="C92" s="1406"/>
      <c r="D92" s="1118" t="s">
        <v>619</v>
      </c>
      <c r="E92" s="1117">
        <f t="shared" si="18"/>
        <v>596166</v>
      </c>
      <c r="F92" s="1117">
        <f t="shared" si="18"/>
        <v>566687</v>
      </c>
      <c r="G92" s="1117">
        <f t="shared" si="18"/>
        <v>350437</v>
      </c>
      <c r="H92" s="1117">
        <f t="shared" si="18"/>
        <v>92795</v>
      </c>
      <c r="I92" s="1117">
        <f>I12+I15+I18+I21+I27+I33+I44+I47+I55+I58+I66+I69</f>
        <v>113378</v>
      </c>
      <c r="J92" s="1117">
        <f t="shared" si="17"/>
        <v>0</v>
      </c>
      <c r="K92" s="1117">
        <f t="shared" si="17"/>
        <v>0</v>
      </c>
      <c r="L92" s="1117">
        <f t="shared" si="17"/>
        <v>0</v>
      </c>
      <c r="M92" s="1117">
        <f t="shared" si="17"/>
        <v>0</v>
      </c>
      <c r="N92" s="1117">
        <f t="shared" si="17"/>
        <v>10077</v>
      </c>
      <c r="O92" s="1117">
        <f t="shared" si="17"/>
        <v>0</v>
      </c>
      <c r="P92" s="1117">
        <f t="shared" si="17"/>
        <v>0</v>
      </c>
      <c r="Q92" s="1117">
        <f t="shared" si="17"/>
        <v>0</v>
      </c>
      <c r="R92" s="1173">
        <f t="shared" si="17"/>
        <v>0</v>
      </c>
    </row>
  </sheetData>
  <mergeCells count="51"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O7:O8"/>
    <mergeCell ref="P7:P8"/>
    <mergeCell ref="Q7:Q8"/>
    <mergeCell ref="R7:R8"/>
    <mergeCell ref="M7:M8"/>
    <mergeCell ref="N7:N8"/>
    <mergeCell ref="A37:C37"/>
    <mergeCell ref="I7:I8"/>
    <mergeCell ref="J7:J8"/>
    <mergeCell ref="K7:K8"/>
    <mergeCell ref="L7:L8"/>
    <mergeCell ref="A9:C9"/>
    <mergeCell ref="A70:C70"/>
    <mergeCell ref="A38:C38"/>
    <mergeCell ref="A39:C39"/>
    <mergeCell ref="A41:C41"/>
    <mergeCell ref="A48:C48"/>
    <mergeCell ref="A49:C49"/>
    <mergeCell ref="A50:C50"/>
    <mergeCell ref="A52:C52"/>
    <mergeCell ref="A59:C59"/>
    <mergeCell ref="A60:C60"/>
    <mergeCell ref="A61:C61"/>
    <mergeCell ref="A63:C63"/>
    <mergeCell ref="A86:C86"/>
    <mergeCell ref="A71:C71"/>
    <mergeCell ref="A72:C72"/>
    <mergeCell ref="A74:C74"/>
    <mergeCell ref="A75:C75"/>
    <mergeCell ref="A76:C76"/>
    <mergeCell ref="A78:C78"/>
    <mergeCell ref="A79:C79"/>
    <mergeCell ref="A80:C80"/>
    <mergeCell ref="A82:C82"/>
    <mergeCell ref="A83:C83"/>
    <mergeCell ref="A84:C84"/>
    <mergeCell ref="A87:C87"/>
    <mergeCell ref="A88:C88"/>
    <mergeCell ref="A90:B90"/>
    <mergeCell ref="A91:C91"/>
    <mergeCell ref="A92:C92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&amp;L5.melléklet a 20/2017.(IX.29.) önkormányzati rendelethez
5.melléklet a 24/2016.(XII.16.)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zoomScale="98" zoomScaleNormal="98" workbookViewId="0">
      <pane ySplit="3" topLeftCell="A67" activePane="bottomLeft" state="frozen"/>
      <selection activeCell="P1" sqref="P1"/>
      <selection pane="bottomLeft" activeCell="AD37" sqref="AD37"/>
    </sheetView>
  </sheetViews>
  <sheetFormatPr defaultColWidth="6.7109375" defaultRowHeight="21.75" customHeight="1" x14ac:dyDescent="0.25"/>
  <cols>
    <col min="1" max="1" width="55.42578125" style="824" bestFit="1" customWidth="1"/>
    <col min="2" max="2" width="21.140625" style="824" bestFit="1" customWidth="1"/>
    <col min="3" max="3" width="14" style="824" bestFit="1" customWidth="1"/>
    <col min="4" max="4" width="19.7109375" style="824" customWidth="1"/>
    <col min="5" max="5" width="13.42578125" style="824" bestFit="1" customWidth="1"/>
    <col min="6" max="6" width="13.42578125" style="824" customWidth="1"/>
    <col min="7" max="7" width="10.5703125" style="824" customWidth="1"/>
    <col min="8" max="8" width="10" style="824" customWidth="1"/>
    <col min="9" max="9" width="9.28515625" style="824" customWidth="1"/>
    <col min="10" max="10" width="11.85546875" style="824" customWidth="1"/>
    <col min="11" max="11" width="11.5703125" style="824" customWidth="1"/>
    <col min="12" max="12" width="13.85546875" style="824" customWidth="1"/>
    <col min="13" max="13" width="13.5703125" style="824" customWidth="1"/>
    <col min="14" max="15" width="14" style="824" customWidth="1"/>
    <col min="16" max="16" width="13.7109375" style="824" customWidth="1"/>
    <col min="17" max="17" width="12.140625" style="824" customWidth="1"/>
    <col min="18" max="18" width="15.140625" style="824" bestFit="1" customWidth="1"/>
    <col min="19" max="19" width="12" style="824" customWidth="1"/>
    <col min="20" max="20" width="12.140625" style="824" customWidth="1"/>
    <col min="21" max="21" width="59.28515625" style="824" customWidth="1"/>
    <col min="22" max="22" width="23.5703125" style="824" customWidth="1"/>
    <col min="23" max="23" width="26.5703125" style="824" customWidth="1"/>
    <col min="24" max="24" width="31.85546875" style="824" customWidth="1"/>
    <col min="25" max="25" width="27.140625" style="824" customWidth="1"/>
    <col min="26" max="26" width="26.140625" style="824" customWidth="1"/>
    <col min="27" max="27" width="26" style="824" customWidth="1"/>
    <col min="28" max="28" width="20.85546875" style="824" customWidth="1"/>
    <col min="29" max="29" width="24.28515625" style="824" customWidth="1"/>
    <col min="30" max="30" width="6.7109375" style="819" customWidth="1"/>
    <col min="31" max="252" width="9.140625" style="819" customWidth="1"/>
    <col min="253" max="253" width="25.85546875" style="819" customWidth="1"/>
    <col min="254" max="254" width="10" style="819" customWidth="1"/>
    <col min="255" max="255" width="6.7109375" style="819"/>
    <col min="256" max="256" width="32.140625" style="819" customWidth="1"/>
    <col min="257" max="257" width="20" style="819" customWidth="1"/>
    <col min="258" max="258" width="18.140625" style="819" customWidth="1"/>
    <col min="259" max="259" width="16.5703125" style="819" customWidth="1"/>
    <col min="260" max="260" width="18.140625" style="819" customWidth="1"/>
    <col min="261" max="261" width="17.7109375" style="819" customWidth="1"/>
    <col min="262" max="262" width="11.42578125" style="819" customWidth="1"/>
    <col min="263" max="263" width="11" style="819" customWidth="1"/>
    <col min="264" max="266" width="14.42578125" style="819" customWidth="1"/>
    <col min="267" max="267" width="19.85546875" style="819" customWidth="1"/>
    <col min="268" max="268" width="14.42578125" style="819" customWidth="1"/>
    <col min="269" max="269" width="19.140625" style="819" customWidth="1"/>
    <col min="270" max="270" width="20.42578125" style="819" customWidth="1"/>
    <col min="271" max="271" width="18.140625" style="819" customWidth="1"/>
    <col min="272" max="272" width="14.5703125" style="819" customWidth="1"/>
    <col min="273" max="273" width="20.5703125" style="819" customWidth="1"/>
    <col min="274" max="274" width="14" style="819" customWidth="1"/>
    <col min="275" max="275" width="18.85546875" style="819" customWidth="1"/>
    <col min="276" max="276" width="57.28515625" style="819" customWidth="1"/>
    <col min="277" max="277" width="21.85546875" style="819" customWidth="1"/>
    <col min="278" max="278" width="24" style="819" customWidth="1"/>
    <col min="279" max="279" width="31.85546875" style="819" customWidth="1"/>
    <col min="280" max="280" width="27.140625" style="819" customWidth="1"/>
    <col min="281" max="281" width="18.85546875" style="819" customWidth="1"/>
    <col min="282" max="282" width="21.140625" style="819" customWidth="1"/>
    <col min="283" max="283" width="18.7109375" style="819" customWidth="1"/>
    <col min="284" max="284" width="21.140625" style="819" customWidth="1"/>
    <col min="285" max="285" width="0" style="819" hidden="1" customWidth="1"/>
    <col min="286" max="286" width="6.140625" style="819" customWidth="1"/>
    <col min="287" max="508" width="9.140625" style="819" customWidth="1"/>
    <col min="509" max="509" width="25.85546875" style="819" customWidth="1"/>
    <col min="510" max="510" width="10" style="819" customWidth="1"/>
    <col min="511" max="511" width="6.7109375" style="819"/>
    <col min="512" max="512" width="32.140625" style="819" customWidth="1"/>
    <col min="513" max="513" width="20" style="819" customWidth="1"/>
    <col min="514" max="514" width="18.140625" style="819" customWidth="1"/>
    <col min="515" max="515" width="16.5703125" style="819" customWidth="1"/>
    <col min="516" max="516" width="18.140625" style="819" customWidth="1"/>
    <col min="517" max="517" width="17.7109375" style="819" customWidth="1"/>
    <col min="518" max="518" width="11.42578125" style="819" customWidth="1"/>
    <col min="519" max="519" width="11" style="819" customWidth="1"/>
    <col min="520" max="522" width="14.42578125" style="819" customWidth="1"/>
    <col min="523" max="523" width="19.85546875" style="819" customWidth="1"/>
    <col min="524" max="524" width="14.42578125" style="819" customWidth="1"/>
    <col min="525" max="525" width="19.140625" style="819" customWidth="1"/>
    <col min="526" max="526" width="20.42578125" style="819" customWidth="1"/>
    <col min="527" max="527" width="18.140625" style="819" customWidth="1"/>
    <col min="528" max="528" width="14.5703125" style="819" customWidth="1"/>
    <col min="529" max="529" width="20.5703125" style="819" customWidth="1"/>
    <col min="530" max="530" width="14" style="819" customWidth="1"/>
    <col min="531" max="531" width="18.85546875" style="819" customWidth="1"/>
    <col min="532" max="532" width="57.28515625" style="819" customWidth="1"/>
    <col min="533" max="533" width="21.85546875" style="819" customWidth="1"/>
    <col min="534" max="534" width="24" style="819" customWidth="1"/>
    <col min="535" max="535" width="31.85546875" style="819" customWidth="1"/>
    <col min="536" max="536" width="27.140625" style="819" customWidth="1"/>
    <col min="537" max="537" width="18.85546875" style="819" customWidth="1"/>
    <col min="538" max="538" width="21.140625" style="819" customWidth="1"/>
    <col min="539" max="539" width="18.7109375" style="819" customWidth="1"/>
    <col min="540" max="540" width="21.140625" style="819" customWidth="1"/>
    <col min="541" max="541" width="0" style="819" hidden="1" customWidth="1"/>
    <col min="542" max="542" width="6.140625" style="819" customWidth="1"/>
    <col min="543" max="764" width="9.140625" style="819" customWidth="1"/>
    <col min="765" max="765" width="25.85546875" style="819" customWidth="1"/>
    <col min="766" max="766" width="10" style="819" customWidth="1"/>
    <col min="767" max="767" width="6.7109375" style="819"/>
    <col min="768" max="768" width="32.140625" style="819" customWidth="1"/>
    <col min="769" max="769" width="20" style="819" customWidth="1"/>
    <col min="770" max="770" width="18.140625" style="819" customWidth="1"/>
    <col min="771" max="771" width="16.5703125" style="819" customWidth="1"/>
    <col min="772" max="772" width="18.140625" style="819" customWidth="1"/>
    <col min="773" max="773" width="17.7109375" style="819" customWidth="1"/>
    <col min="774" max="774" width="11.42578125" style="819" customWidth="1"/>
    <col min="775" max="775" width="11" style="819" customWidth="1"/>
    <col min="776" max="778" width="14.42578125" style="819" customWidth="1"/>
    <col min="779" max="779" width="19.85546875" style="819" customWidth="1"/>
    <col min="780" max="780" width="14.42578125" style="819" customWidth="1"/>
    <col min="781" max="781" width="19.140625" style="819" customWidth="1"/>
    <col min="782" max="782" width="20.42578125" style="819" customWidth="1"/>
    <col min="783" max="783" width="18.140625" style="819" customWidth="1"/>
    <col min="784" max="784" width="14.5703125" style="819" customWidth="1"/>
    <col min="785" max="785" width="20.5703125" style="819" customWidth="1"/>
    <col min="786" max="786" width="14" style="819" customWidth="1"/>
    <col min="787" max="787" width="18.85546875" style="819" customWidth="1"/>
    <col min="788" max="788" width="57.28515625" style="819" customWidth="1"/>
    <col min="789" max="789" width="21.85546875" style="819" customWidth="1"/>
    <col min="790" max="790" width="24" style="819" customWidth="1"/>
    <col min="791" max="791" width="31.85546875" style="819" customWidth="1"/>
    <col min="792" max="792" width="27.140625" style="819" customWidth="1"/>
    <col min="793" max="793" width="18.85546875" style="819" customWidth="1"/>
    <col min="794" max="794" width="21.140625" style="819" customWidth="1"/>
    <col min="795" max="795" width="18.7109375" style="819" customWidth="1"/>
    <col min="796" max="796" width="21.140625" style="819" customWidth="1"/>
    <col min="797" max="797" width="0" style="819" hidden="1" customWidth="1"/>
    <col min="798" max="798" width="6.140625" style="819" customWidth="1"/>
    <col min="799" max="1020" width="9.140625" style="819" customWidth="1"/>
    <col min="1021" max="1021" width="25.85546875" style="819" customWidth="1"/>
    <col min="1022" max="1022" width="10" style="819" customWidth="1"/>
    <col min="1023" max="1023" width="6.7109375" style="819"/>
    <col min="1024" max="1024" width="32.140625" style="819" customWidth="1"/>
    <col min="1025" max="1025" width="20" style="819" customWidth="1"/>
    <col min="1026" max="1026" width="18.140625" style="819" customWidth="1"/>
    <col min="1027" max="1027" width="16.5703125" style="819" customWidth="1"/>
    <col min="1028" max="1028" width="18.140625" style="819" customWidth="1"/>
    <col min="1029" max="1029" width="17.7109375" style="819" customWidth="1"/>
    <col min="1030" max="1030" width="11.42578125" style="819" customWidth="1"/>
    <col min="1031" max="1031" width="11" style="819" customWidth="1"/>
    <col min="1032" max="1034" width="14.42578125" style="819" customWidth="1"/>
    <col min="1035" max="1035" width="19.85546875" style="819" customWidth="1"/>
    <col min="1036" max="1036" width="14.42578125" style="819" customWidth="1"/>
    <col min="1037" max="1037" width="19.140625" style="819" customWidth="1"/>
    <col min="1038" max="1038" width="20.42578125" style="819" customWidth="1"/>
    <col min="1039" max="1039" width="18.140625" style="819" customWidth="1"/>
    <col min="1040" max="1040" width="14.5703125" style="819" customWidth="1"/>
    <col min="1041" max="1041" width="20.5703125" style="819" customWidth="1"/>
    <col min="1042" max="1042" width="14" style="819" customWidth="1"/>
    <col min="1043" max="1043" width="18.85546875" style="819" customWidth="1"/>
    <col min="1044" max="1044" width="57.28515625" style="819" customWidth="1"/>
    <col min="1045" max="1045" width="21.85546875" style="819" customWidth="1"/>
    <col min="1046" max="1046" width="24" style="819" customWidth="1"/>
    <col min="1047" max="1047" width="31.85546875" style="819" customWidth="1"/>
    <col min="1048" max="1048" width="27.140625" style="819" customWidth="1"/>
    <col min="1049" max="1049" width="18.85546875" style="819" customWidth="1"/>
    <col min="1050" max="1050" width="21.140625" style="819" customWidth="1"/>
    <col min="1051" max="1051" width="18.7109375" style="819" customWidth="1"/>
    <col min="1052" max="1052" width="21.140625" style="819" customWidth="1"/>
    <col min="1053" max="1053" width="0" style="819" hidden="1" customWidth="1"/>
    <col min="1054" max="1054" width="6.140625" style="819" customWidth="1"/>
    <col min="1055" max="1276" width="9.140625" style="819" customWidth="1"/>
    <col min="1277" max="1277" width="25.85546875" style="819" customWidth="1"/>
    <col min="1278" max="1278" width="10" style="819" customWidth="1"/>
    <col min="1279" max="1279" width="6.7109375" style="819"/>
    <col min="1280" max="1280" width="32.140625" style="819" customWidth="1"/>
    <col min="1281" max="1281" width="20" style="819" customWidth="1"/>
    <col min="1282" max="1282" width="18.140625" style="819" customWidth="1"/>
    <col min="1283" max="1283" width="16.5703125" style="819" customWidth="1"/>
    <col min="1284" max="1284" width="18.140625" style="819" customWidth="1"/>
    <col min="1285" max="1285" width="17.7109375" style="819" customWidth="1"/>
    <col min="1286" max="1286" width="11.42578125" style="819" customWidth="1"/>
    <col min="1287" max="1287" width="11" style="819" customWidth="1"/>
    <col min="1288" max="1290" width="14.42578125" style="819" customWidth="1"/>
    <col min="1291" max="1291" width="19.85546875" style="819" customWidth="1"/>
    <col min="1292" max="1292" width="14.42578125" style="819" customWidth="1"/>
    <col min="1293" max="1293" width="19.140625" style="819" customWidth="1"/>
    <col min="1294" max="1294" width="20.42578125" style="819" customWidth="1"/>
    <col min="1295" max="1295" width="18.140625" style="819" customWidth="1"/>
    <col min="1296" max="1296" width="14.5703125" style="819" customWidth="1"/>
    <col min="1297" max="1297" width="20.5703125" style="819" customWidth="1"/>
    <col min="1298" max="1298" width="14" style="819" customWidth="1"/>
    <col min="1299" max="1299" width="18.85546875" style="819" customWidth="1"/>
    <col min="1300" max="1300" width="57.28515625" style="819" customWidth="1"/>
    <col min="1301" max="1301" width="21.85546875" style="819" customWidth="1"/>
    <col min="1302" max="1302" width="24" style="819" customWidth="1"/>
    <col min="1303" max="1303" width="31.85546875" style="819" customWidth="1"/>
    <col min="1304" max="1304" width="27.140625" style="819" customWidth="1"/>
    <col min="1305" max="1305" width="18.85546875" style="819" customWidth="1"/>
    <col min="1306" max="1306" width="21.140625" style="819" customWidth="1"/>
    <col min="1307" max="1307" width="18.7109375" style="819" customWidth="1"/>
    <col min="1308" max="1308" width="21.140625" style="819" customWidth="1"/>
    <col min="1309" max="1309" width="0" style="819" hidden="1" customWidth="1"/>
    <col min="1310" max="1310" width="6.140625" style="819" customWidth="1"/>
    <col min="1311" max="1532" width="9.140625" style="819" customWidth="1"/>
    <col min="1533" max="1533" width="25.85546875" style="819" customWidth="1"/>
    <col min="1534" max="1534" width="10" style="819" customWidth="1"/>
    <col min="1535" max="1535" width="6.7109375" style="819"/>
    <col min="1536" max="1536" width="32.140625" style="819" customWidth="1"/>
    <col min="1537" max="1537" width="20" style="819" customWidth="1"/>
    <col min="1538" max="1538" width="18.140625" style="819" customWidth="1"/>
    <col min="1539" max="1539" width="16.5703125" style="819" customWidth="1"/>
    <col min="1540" max="1540" width="18.140625" style="819" customWidth="1"/>
    <col min="1541" max="1541" width="17.7109375" style="819" customWidth="1"/>
    <col min="1542" max="1542" width="11.42578125" style="819" customWidth="1"/>
    <col min="1543" max="1543" width="11" style="819" customWidth="1"/>
    <col min="1544" max="1546" width="14.42578125" style="819" customWidth="1"/>
    <col min="1547" max="1547" width="19.85546875" style="819" customWidth="1"/>
    <col min="1548" max="1548" width="14.42578125" style="819" customWidth="1"/>
    <col min="1549" max="1549" width="19.140625" style="819" customWidth="1"/>
    <col min="1550" max="1550" width="20.42578125" style="819" customWidth="1"/>
    <col min="1551" max="1551" width="18.140625" style="819" customWidth="1"/>
    <col min="1552" max="1552" width="14.5703125" style="819" customWidth="1"/>
    <col min="1553" max="1553" width="20.5703125" style="819" customWidth="1"/>
    <col min="1554" max="1554" width="14" style="819" customWidth="1"/>
    <col min="1555" max="1555" width="18.85546875" style="819" customWidth="1"/>
    <col min="1556" max="1556" width="57.28515625" style="819" customWidth="1"/>
    <col min="1557" max="1557" width="21.85546875" style="819" customWidth="1"/>
    <col min="1558" max="1558" width="24" style="819" customWidth="1"/>
    <col min="1559" max="1559" width="31.85546875" style="819" customWidth="1"/>
    <col min="1560" max="1560" width="27.140625" style="819" customWidth="1"/>
    <col min="1561" max="1561" width="18.85546875" style="819" customWidth="1"/>
    <col min="1562" max="1562" width="21.140625" style="819" customWidth="1"/>
    <col min="1563" max="1563" width="18.7109375" style="819" customWidth="1"/>
    <col min="1564" max="1564" width="21.140625" style="819" customWidth="1"/>
    <col min="1565" max="1565" width="0" style="819" hidden="1" customWidth="1"/>
    <col min="1566" max="1566" width="6.140625" style="819" customWidth="1"/>
    <col min="1567" max="1788" width="9.140625" style="819" customWidth="1"/>
    <col min="1789" max="1789" width="25.85546875" style="819" customWidth="1"/>
    <col min="1790" max="1790" width="10" style="819" customWidth="1"/>
    <col min="1791" max="1791" width="6.7109375" style="819"/>
    <col min="1792" max="1792" width="32.140625" style="819" customWidth="1"/>
    <col min="1793" max="1793" width="20" style="819" customWidth="1"/>
    <col min="1794" max="1794" width="18.140625" style="819" customWidth="1"/>
    <col min="1795" max="1795" width="16.5703125" style="819" customWidth="1"/>
    <col min="1796" max="1796" width="18.140625" style="819" customWidth="1"/>
    <col min="1797" max="1797" width="17.7109375" style="819" customWidth="1"/>
    <col min="1798" max="1798" width="11.42578125" style="819" customWidth="1"/>
    <col min="1799" max="1799" width="11" style="819" customWidth="1"/>
    <col min="1800" max="1802" width="14.42578125" style="819" customWidth="1"/>
    <col min="1803" max="1803" width="19.85546875" style="819" customWidth="1"/>
    <col min="1804" max="1804" width="14.42578125" style="819" customWidth="1"/>
    <col min="1805" max="1805" width="19.140625" style="819" customWidth="1"/>
    <col min="1806" max="1806" width="20.42578125" style="819" customWidth="1"/>
    <col min="1807" max="1807" width="18.140625" style="819" customWidth="1"/>
    <col min="1808" max="1808" width="14.5703125" style="819" customWidth="1"/>
    <col min="1809" max="1809" width="20.5703125" style="819" customWidth="1"/>
    <col min="1810" max="1810" width="14" style="819" customWidth="1"/>
    <col min="1811" max="1811" width="18.85546875" style="819" customWidth="1"/>
    <col min="1812" max="1812" width="57.28515625" style="819" customWidth="1"/>
    <col min="1813" max="1813" width="21.85546875" style="819" customWidth="1"/>
    <col min="1814" max="1814" width="24" style="819" customWidth="1"/>
    <col min="1815" max="1815" width="31.85546875" style="819" customWidth="1"/>
    <col min="1816" max="1816" width="27.140625" style="819" customWidth="1"/>
    <col min="1817" max="1817" width="18.85546875" style="819" customWidth="1"/>
    <col min="1818" max="1818" width="21.140625" style="819" customWidth="1"/>
    <col min="1819" max="1819" width="18.7109375" style="819" customWidth="1"/>
    <col min="1820" max="1820" width="21.140625" style="819" customWidth="1"/>
    <col min="1821" max="1821" width="0" style="819" hidden="1" customWidth="1"/>
    <col min="1822" max="1822" width="6.140625" style="819" customWidth="1"/>
    <col min="1823" max="2044" width="9.140625" style="819" customWidth="1"/>
    <col min="2045" max="2045" width="25.85546875" style="819" customWidth="1"/>
    <col min="2046" max="2046" width="10" style="819" customWidth="1"/>
    <col min="2047" max="2047" width="6.7109375" style="819"/>
    <col min="2048" max="2048" width="32.140625" style="819" customWidth="1"/>
    <col min="2049" max="2049" width="20" style="819" customWidth="1"/>
    <col min="2050" max="2050" width="18.140625" style="819" customWidth="1"/>
    <col min="2051" max="2051" width="16.5703125" style="819" customWidth="1"/>
    <col min="2052" max="2052" width="18.140625" style="819" customWidth="1"/>
    <col min="2053" max="2053" width="17.7109375" style="819" customWidth="1"/>
    <col min="2054" max="2054" width="11.42578125" style="819" customWidth="1"/>
    <col min="2055" max="2055" width="11" style="819" customWidth="1"/>
    <col min="2056" max="2058" width="14.42578125" style="819" customWidth="1"/>
    <col min="2059" max="2059" width="19.85546875" style="819" customWidth="1"/>
    <col min="2060" max="2060" width="14.42578125" style="819" customWidth="1"/>
    <col min="2061" max="2061" width="19.140625" style="819" customWidth="1"/>
    <col min="2062" max="2062" width="20.42578125" style="819" customWidth="1"/>
    <col min="2063" max="2063" width="18.140625" style="819" customWidth="1"/>
    <col min="2064" max="2064" width="14.5703125" style="819" customWidth="1"/>
    <col min="2065" max="2065" width="20.5703125" style="819" customWidth="1"/>
    <col min="2066" max="2066" width="14" style="819" customWidth="1"/>
    <col min="2067" max="2067" width="18.85546875" style="819" customWidth="1"/>
    <col min="2068" max="2068" width="57.28515625" style="819" customWidth="1"/>
    <col min="2069" max="2069" width="21.85546875" style="819" customWidth="1"/>
    <col min="2070" max="2070" width="24" style="819" customWidth="1"/>
    <col min="2071" max="2071" width="31.85546875" style="819" customWidth="1"/>
    <col min="2072" max="2072" width="27.140625" style="819" customWidth="1"/>
    <col min="2073" max="2073" width="18.85546875" style="819" customWidth="1"/>
    <col min="2074" max="2074" width="21.140625" style="819" customWidth="1"/>
    <col min="2075" max="2075" width="18.7109375" style="819" customWidth="1"/>
    <col min="2076" max="2076" width="21.140625" style="819" customWidth="1"/>
    <col min="2077" max="2077" width="0" style="819" hidden="1" customWidth="1"/>
    <col min="2078" max="2078" width="6.140625" style="819" customWidth="1"/>
    <col min="2079" max="2300" width="9.140625" style="819" customWidth="1"/>
    <col min="2301" max="2301" width="25.85546875" style="819" customWidth="1"/>
    <col min="2302" max="2302" width="10" style="819" customWidth="1"/>
    <col min="2303" max="2303" width="6.7109375" style="819"/>
    <col min="2304" max="2304" width="32.140625" style="819" customWidth="1"/>
    <col min="2305" max="2305" width="20" style="819" customWidth="1"/>
    <col min="2306" max="2306" width="18.140625" style="819" customWidth="1"/>
    <col min="2307" max="2307" width="16.5703125" style="819" customWidth="1"/>
    <col min="2308" max="2308" width="18.140625" style="819" customWidth="1"/>
    <col min="2309" max="2309" width="17.7109375" style="819" customWidth="1"/>
    <col min="2310" max="2310" width="11.42578125" style="819" customWidth="1"/>
    <col min="2311" max="2311" width="11" style="819" customWidth="1"/>
    <col min="2312" max="2314" width="14.42578125" style="819" customWidth="1"/>
    <col min="2315" max="2315" width="19.85546875" style="819" customWidth="1"/>
    <col min="2316" max="2316" width="14.42578125" style="819" customWidth="1"/>
    <col min="2317" max="2317" width="19.140625" style="819" customWidth="1"/>
    <col min="2318" max="2318" width="20.42578125" style="819" customWidth="1"/>
    <col min="2319" max="2319" width="18.140625" style="819" customWidth="1"/>
    <col min="2320" max="2320" width="14.5703125" style="819" customWidth="1"/>
    <col min="2321" max="2321" width="20.5703125" style="819" customWidth="1"/>
    <col min="2322" max="2322" width="14" style="819" customWidth="1"/>
    <col min="2323" max="2323" width="18.85546875" style="819" customWidth="1"/>
    <col min="2324" max="2324" width="57.28515625" style="819" customWidth="1"/>
    <col min="2325" max="2325" width="21.85546875" style="819" customWidth="1"/>
    <col min="2326" max="2326" width="24" style="819" customWidth="1"/>
    <col min="2327" max="2327" width="31.85546875" style="819" customWidth="1"/>
    <col min="2328" max="2328" width="27.140625" style="819" customWidth="1"/>
    <col min="2329" max="2329" width="18.85546875" style="819" customWidth="1"/>
    <col min="2330" max="2330" width="21.140625" style="819" customWidth="1"/>
    <col min="2331" max="2331" width="18.7109375" style="819" customWidth="1"/>
    <col min="2332" max="2332" width="21.140625" style="819" customWidth="1"/>
    <col min="2333" max="2333" width="0" style="819" hidden="1" customWidth="1"/>
    <col min="2334" max="2334" width="6.140625" style="819" customWidth="1"/>
    <col min="2335" max="2556" width="9.140625" style="819" customWidth="1"/>
    <col min="2557" max="2557" width="25.85546875" style="819" customWidth="1"/>
    <col min="2558" max="2558" width="10" style="819" customWidth="1"/>
    <col min="2559" max="2559" width="6.7109375" style="819"/>
    <col min="2560" max="2560" width="32.140625" style="819" customWidth="1"/>
    <col min="2561" max="2561" width="20" style="819" customWidth="1"/>
    <col min="2562" max="2562" width="18.140625" style="819" customWidth="1"/>
    <col min="2563" max="2563" width="16.5703125" style="819" customWidth="1"/>
    <col min="2564" max="2564" width="18.140625" style="819" customWidth="1"/>
    <col min="2565" max="2565" width="17.7109375" style="819" customWidth="1"/>
    <col min="2566" max="2566" width="11.42578125" style="819" customWidth="1"/>
    <col min="2567" max="2567" width="11" style="819" customWidth="1"/>
    <col min="2568" max="2570" width="14.42578125" style="819" customWidth="1"/>
    <col min="2571" max="2571" width="19.85546875" style="819" customWidth="1"/>
    <col min="2572" max="2572" width="14.42578125" style="819" customWidth="1"/>
    <col min="2573" max="2573" width="19.140625" style="819" customWidth="1"/>
    <col min="2574" max="2574" width="20.42578125" style="819" customWidth="1"/>
    <col min="2575" max="2575" width="18.140625" style="819" customWidth="1"/>
    <col min="2576" max="2576" width="14.5703125" style="819" customWidth="1"/>
    <col min="2577" max="2577" width="20.5703125" style="819" customWidth="1"/>
    <col min="2578" max="2578" width="14" style="819" customWidth="1"/>
    <col min="2579" max="2579" width="18.85546875" style="819" customWidth="1"/>
    <col min="2580" max="2580" width="57.28515625" style="819" customWidth="1"/>
    <col min="2581" max="2581" width="21.85546875" style="819" customWidth="1"/>
    <col min="2582" max="2582" width="24" style="819" customWidth="1"/>
    <col min="2583" max="2583" width="31.85546875" style="819" customWidth="1"/>
    <col min="2584" max="2584" width="27.140625" style="819" customWidth="1"/>
    <col min="2585" max="2585" width="18.85546875" style="819" customWidth="1"/>
    <col min="2586" max="2586" width="21.140625" style="819" customWidth="1"/>
    <col min="2587" max="2587" width="18.7109375" style="819" customWidth="1"/>
    <col min="2588" max="2588" width="21.140625" style="819" customWidth="1"/>
    <col min="2589" max="2589" width="0" style="819" hidden="1" customWidth="1"/>
    <col min="2590" max="2590" width="6.140625" style="819" customWidth="1"/>
    <col min="2591" max="2812" width="9.140625" style="819" customWidth="1"/>
    <col min="2813" max="2813" width="25.85546875" style="819" customWidth="1"/>
    <col min="2814" max="2814" width="10" style="819" customWidth="1"/>
    <col min="2815" max="2815" width="6.7109375" style="819"/>
    <col min="2816" max="2816" width="32.140625" style="819" customWidth="1"/>
    <col min="2817" max="2817" width="20" style="819" customWidth="1"/>
    <col min="2818" max="2818" width="18.140625" style="819" customWidth="1"/>
    <col min="2819" max="2819" width="16.5703125" style="819" customWidth="1"/>
    <col min="2820" max="2820" width="18.140625" style="819" customWidth="1"/>
    <col min="2821" max="2821" width="17.7109375" style="819" customWidth="1"/>
    <col min="2822" max="2822" width="11.42578125" style="819" customWidth="1"/>
    <col min="2823" max="2823" width="11" style="819" customWidth="1"/>
    <col min="2824" max="2826" width="14.42578125" style="819" customWidth="1"/>
    <col min="2827" max="2827" width="19.85546875" style="819" customWidth="1"/>
    <col min="2828" max="2828" width="14.42578125" style="819" customWidth="1"/>
    <col min="2829" max="2829" width="19.140625" style="819" customWidth="1"/>
    <col min="2830" max="2830" width="20.42578125" style="819" customWidth="1"/>
    <col min="2831" max="2831" width="18.140625" style="819" customWidth="1"/>
    <col min="2832" max="2832" width="14.5703125" style="819" customWidth="1"/>
    <col min="2833" max="2833" width="20.5703125" style="819" customWidth="1"/>
    <col min="2834" max="2834" width="14" style="819" customWidth="1"/>
    <col min="2835" max="2835" width="18.85546875" style="819" customWidth="1"/>
    <col min="2836" max="2836" width="57.28515625" style="819" customWidth="1"/>
    <col min="2837" max="2837" width="21.85546875" style="819" customWidth="1"/>
    <col min="2838" max="2838" width="24" style="819" customWidth="1"/>
    <col min="2839" max="2839" width="31.85546875" style="819" customWidth="1"/>
    <col min="2840" max="2840" width="27.140625" style="819" customWidth="1"/>
    <col min="2841" max="2841" width="18.85546875" style="819" customWidth="1"/>
    <col min="2842" max="2842" width="21.140625" style="819" customWidth="1"/>
    <col min="2843" max="2843" width="18.7109375" style="819" customWidth="1"/>
    <col min="2844" max="2844" width="21.140625" style="819" customWidth="1"/>
    <col min="2845" max="2845" width="0" style="819" hidden="1" customWidth="1"/>
    <col min="2846" max="2846" width="6.140625" style="819" customWidth="1"/>
    <col min="2847" max="3068" width="9.140625" style="819" customWidth="1"/>
    <col min="3069" max="3069" width="25.85546875" style="819" customWidth="1"/>
    <col min="3070" max="3070" width="10" style="819" customWidth="1"/>
    <col min="3071" max="3071" width="6.7109375" style="819"/>
    <col min="3072" max="3072" width="32.140625" style="819" customWidth="1"/>
    <col min="3073" max="3073" width="20" style="819" customWidth="1"/>
    <col min="3074" max="3074" width="18.140625" style="819" customWidth="1"/>
    <col min="3075" max="3075" width="16.5703125" style="819" customWidth="1"/>
    <col min="3076" max="3076" width="18.140625" style="819" customWidth="1"/>
    <col min="3077" max="3077" width="17.7109375" style="819" customWidth="1"/>
    <col min="3078" max="3078" width="11.42578125" style="819" customWidth="1"/>
    <col min="3079" max="3079" width="11" style="819" customWidth="1"/>
    <col min="3080" max="3082" width="14.42578125" style="819" customWidth="1"/>
    <col min="3083" max="3083" width="19.85546875" style="819" customWidth="1"/>
    <col min="3084" max="3084" width="14.42578125" style="819" customWidth="1"/>
    <col min="3085" max="3085" width="19.140625" style="819" customWidth="1"/>
    <col min="3086" max="3086" width="20.42578125" style="819" customWidth="1"/>
    <col min="3087" max="3087" width="18.140625" style="819" customWidth="1"/>
    <col min="3088" max="3088" width="14.5703125" style="819" customWidth="1"/>
    <col min="3089" max="3089" width="20.5703125" style="819" customWidth="1"/>
    <col min="3090" max="3090" width="14" style="819" customWidth="1"/>
    <col min="3091" max="3091" width="18.85546875" style="819" customWidth="1"/>
    <col min="3092" max="3092" width="57.28515625" style="819" customWidth="1"/>
    <col min="3093" max="3093" width="21.85546875" style="819" customWidth="1"/>
    <col min="3094" max="3094" width="24" style="819" customWidth="1"/>
    <col min="3095" max="3095" width="31.85546875" style="819" customWidth="1"/>
    <col min="3096" max="3096" width="27.140625" style="819" customWidth="1"/>
    <col min="3097" max="3097" width="18.85546875" style="819" customWidth="1"/>
    <col min="3098" max="3098" width="21.140625" style="819" customWidth="1"/>
    <col min="3099" max="3099" width="18.7109375" style="819" customWidth="1"/>
    <col min="3100" max="3100" width="21.140625" style="819" customWidth="1"/>
    <col min="3101" max="3101" width="0" style="819" hidden="1" customWidth="1"/>
    <col min="3102" max="3102" width="6.140625" style="819" customWidth="1"/>
    <col min="3103" max="3324" width="9.140625" style="819" customWidth="1"/>
    <col min="3325" max="3325" width="25.85546875" style="819" customWidth="1"/>
    <col min="3326" max="3326" width="10" style="819" customWidth="1"/>
    <col min="3327" max="3327" width="6.7109375" style="819"/>
    <col min="3328" max="3328" width="32.140625" style="819" customWidth="1"/>
    <col min="3329" max="3329" width="20" style="819" customWidth="1"/>
    <col min="3330" max="3330" width="18.140625" style="819" customWidth="1"/>
    <col min="3331" max="3331" width="16.5703125" style="819" customWidth="1"/>
    <col min="3332" max="3332" width="18.140625" style="819" customWidth="1"/>
    <col min="3333" max="3333" width="17.7109375" style="819" customWidth="1"/>
    <col min="3334" max="3334" width="11.42578125" style="819" customWidth="1"/>
    <col min="3335" max="3335" width="11" style="819" customWidth="1"/>
    <col min="3336" max="3338" width="14.42578125" style="819" customWidth="1"/>
    <col min="3339" max="3339" width="19.85546875" style="819" customWidth="1"/>
    <col min="3340" max="3340" width="14.42578125" style="819" customWidth="1"/>
    <col min="3341" max="3341" width="19.140625" style="819" customWidth="1"/>
    <col min="3342" max="3342" width="20.42578125" style="819" customWidth="1"/>
    <col min="3343" max="3343" width="18.140625" style="819" customWidth="1"/>
    <col min="3344" max="3344" width="14.5703125" style="819" customWidth="1"/>
    <col min="3345" max="3345" width="20.5703125" style="819" customWidth="1"/>
    <col min="3346" max="3346" width="14" style="819" customWidth="1"/>
    <col min="3347" max="3347" width="18.85546875" style="819" customWidth="1"/>
    <col min="3348" max="3348" width="57.28515625" style="819" customWidth="1"/>
    <col min="3349" max="3349" width="21.85546875" style="819" customWidth="1"/>
    <col min="3350" max="3350" width="24" style="819" customWidth="1"/>
    <col min="3351" max="3351" width="31.85546875" style="819" customWidth="1"/>
    <col min="3352" max="3352" width="27.140625" style="819" customWidth="1"/>
    <col min="3353" max="3353" width="18.85546875" style="819" customWidth="1"/>
    <col min="3354" max="3354" width="21.140625" style="819" customWidth="1"/>
    <col min="3355" max="3355" width="18.7109375" style="819" customWidth="1"/>
    <col min="3356" max="3356" width="21.140625" style="819" customWidth="1"/>
    <col min="3357" max="3357" width="0" style="819" hidden="1" customWidth="1"/>
    <col min="3358" max="3358" width="6.140625" style="819" customWidth="1"/>
    <col min="3359" max="3580" width="9.140625" style="819" customWidth="1"/>
    <col min="3581" max="3581" width="25.85546875" style="819" customWidth="1"/>
    <col min="3582" max="3582" width="10" style="819" customWidth="1"/>
    <col min="3583" max="3583" width="6.7109375" style="819"/>
    <col min="3584" max="3584" width="32.140625" style="819" customWidth="1"/>
    <col min="3585" max="3585" width="20" style="819" customWidth="1"/>
    <col min="3586" max="3586" width="18.140625" style="819" customWidth="1"/>
    <col min="3587" max="3587" width="16.5703125" style="819" customWidth="1"/>
    <col min="3588" max="3588" width="18.140625" style="819" customWidth="1"/>
    <col min="3589" max="3589" width="17.7109375" style="819" customWidth="1"/>
    <col min="3590" max="3590" width="11.42578125" style="819" customWidth="1"/>
    <col min="3591" max="3591" width="11" style="819" customWidth="1"/>
    <col min="3592" max="3594" width="14.42578125" style="819" customWidth="1"/>
    <col min="3595" max="3595" width="19.85546875" style="819" customWidth="1"/>
    <col min="3596" max="3596" width="14.42578125" style="819" customWidth="1"/>
    <col min="3597" max="3597" width="19.140625" style="819" customWidth="1"/>
    <col min="3598" max="3598" width="20.42578125" style="819" customWidth="1"/>
    <col min="3599" max="3599" width="18.140625" style="819" customWidth="1"/>
    <col min="3600" max="3600" width="14.5703125" style="819" customWidth="1"/>
    <col min="3601" max="3601" width="20.5703125" style="819" customWidth="1"/>
    <col min="3602" max="3602" width="14" style="819" customWidth="1"/>
    <col min="3603" max="3603" width="18.85546875" style="819" customWidth="1"/>
    <col min="3604" max="3604" width="57.28515625" style="819" customWidth="1"/>
    <col min="3605" max="3605" width="21.85546875" style="819" customWidth="1"/>
    <col min="3606" max="3606" width="24" style="819" customWidth="1"/>
    <col min="3607" max="3607" width="31.85546875" style="819" customWidth="1"/>
    <col min="3608" max="3608" width="27.140625" style="819" customWidth="1"/>
    <col min="3609" max="3609" width="18.85546875" style="819" customWidth="1"/>
    <col min="3610" max="3610" width="21.140625" style="819" customWidth="1"/>
    <col min="3611" max="3611" width="18.7109375" style="819" customWidth="1"/>
    <col min="3612" max="3612" width="21.140625" style="819" customWidth="1"/>
    <col min="3613" max="3613" width="0" style="819" hidden="1" customWidth="1"/>
    <col min="3614" max="3614" width="6.140625" style="819" customWidth="1"/>
    <col min="3615" max="3836" width="9.140625" style="819" customWidth="1"/>
    <col min="3837" max="3837" width="25.85546875" style="819" customWidth="1"/>
    <col min="3838" max="3838" width="10" style="819" customWidth="1"/>
    <col min="3839" max="3839" width="6.7109375" style="819"/>
    <col min="3840" max="3840" width="32.140625" style="819" customWidth="1"/>
    <col min="3841" max="3841" width="20" style="819" customWidth="1"/>
    <col min="3842" max="3842" width="18.140625" style="819" customWidth="1"/>
    <col min="3843" max="3843" width="16.5703125" style="819" customWidth="1"/>
    <col min="3844" max="3844" width="18.140625" style="819" customWidth="1"/>
    <col min="3845" max="3845" width="17.7109375" style="819" customWidth="1"/>
    <col min="3846" max="3846" width="11.42578125" style="819" customWidth="1"/>
    <col min="3847" max="3847" width="11" style="819" customWidth="1"/>
    <col min="3848" max="3850" width="14.42578125" style="819" customWidth="1"/>
    <col min="3851" max="3851" width="19.85546875" style="819" customWidth="1"/>
    <col min="3852" max="3852" width="14.42578125" style="819" customWidth="1"/>
    <col min="3853" max="3853" width="19.140625" style="819" customWidth="1"/>
    <col min="3854" max="3854" width="20.42578125" style="819" customWidth="1"/>
    <col min="3855" max="3855" width="18.140625" style="819" customWidth="1"/>
    <col min="3856" max="3856" width="14.5703125" style="819" customWidth="1"/>
    <col min="3857" max="3857" width="20.5703125" style="819" customWidth="1"/>
    <col min="3858" max="3858" width="14" style="819" customWidth="1"/>
    <col min="3859" max="3859" width="18.85546875" style="819" customWidth="1"/>
    <col min="3860" max="3860" width="57.28515625" style="819" customWidth="1"/>
    <col min="3861" max="3861" width="21.85546875" style="819" customWidth="1"/>
    <col min="3862" max="3862" width="24" style="819" customWidth="1"/>
    <col min="3863" max="3863" width="31.85546875" style="819" customWidth="1"/>
    <col min="3864" max="3864" width="27.140625" style="819" customWidth="1"/>
    <col min="3865" max="3865" width="18.85546875" style="819" customWidth="1"/>
    <col min="3866" max="3866" width="21.140625" style="819" customWidth="1"/>
    <col min="3867" max="3867" width="18.7109375" style="819" customWidth="1"/>
    <col min="3868" max="3868" width="21.140625" style="819" customWidth="1"/>
    <col min="3869" max="3869" width="0" style="819" hidden="1" customWidth="1"/>
    <col min="3870" max="3870" width="6.140625" style="819" customWidth="1"/>
    <col min="3871" max="4092" width="9.140625" style="819" customWidth="1"/>
    <col min="4093" max="4093" width="25.85546875" style="819" customWidth="1"/>
    <col min="4094" max="4094" width="10" style="819" customWidth="1"/>
    <col min="4095" max="4095" width="6.7109375" style="819"/>
    <col min="4096" max="4096" width="32.140625" style="819" customWidth="1"/>
    <col min="4097" max="4097" width="20" style="819" customWidth="1"/>
    <col min="4098" max="4098" width="18.140625" style="819" customWidth="1"/>
    <col min="4099" max="4099" width="16.5703125" style="819" customWidth="1"/>
    <col min="4100" max="4100" width="18.140625" style="819" customWidth="1"/>
    <col min="4101" max="4101" width="17.7109375" style="819" customWidth="1"/>
    <col min="4102" max="4102" width="11.42578125" style="819" customWidth="1"/>
    <col min="4103" max="4103" width="11" style="819" customWidth="1"/>
    <col min="4104" max="4106" width="14.42578125" style="819" customWidth="1"/>
    <col min="4107" max="4107" width="19.85546875" style="819" customWidth="1"/>
    <col min="4108" max="4108" width="14.42578125" style="819" customWidth="1"/>
    <col min="4109" max="4109" width="19.140625" style="819" customWidth="1"/>
    <col min="4110" max="4110" width="20.42578125" style="819" customWidth="1"/>
    <col min="4111" max="4111" width="18.140625" style="819" customWidth="1"/>
    <col min="4112" max="4112" width="14.5703125" style="819" customWidth="1"/>
    <col min="4113" max="4113" width="20.5703125" style="819" customWidth="1"/>
    <col min="4114" max="4114" width="14" style="819" customWidth="1"/>
    <col min="4115" max="4115" width="18.85546875" style="819" customWidth="1"/>
    <col min="4116" max="4116" width="57.28515625" style="819" customWidth="1"/>
    <col min="4117" max="4117" width="21.85546875" style="819" customWidth="1"/>
    <col min="4118" max="4118" width="24" style="819" customWidth="1"/>
    <col min="4119" max="4119" width="31.85546875" style="819" customWidth="1"/>
    <col min="4120" max="4120" width="27.140625" style="819" customWidth="1"/>
    <col min="4121" max="4121" width="18.85546875" style="819" customWidth="1"/>
    <col min="4122" max="4122" width="21.140625" style="819" customWidth="1"/>
    <col min="4123" max="4123" width="18.7109375" style="819" customWidth="1"/>
    <col min="4124" max="4124" width="21.140625" style="819" customWidth="1"/>
    <col min="4125" max="4125" width="0" style="819" hidden="1" customWidth="1"/>
    <col min="4126" max="4126" width="6.140625" style="819" customWidth="1"/>
    <col min="4127" max="4348" width="9.140625" style="819" customWidth="1"/>
    <col min="4349" max="4349" width="25.85546875" style="819" customWidth="1"/>
    <col min="4350" max="4350" width="10" style="819" customWidth="1"/>
    <col min="4351" max="4351" width="6.7109375" style="819"/>
    <col min="4352" max="4352" width="32.140625" style="819" customWidth="1"/>
    <col min="4353" max="4353" width="20" style="819" customWidth="1"/>
    <col min="4354" max="4354" width="18.140625" style="819" customWidth="1"/>
    <col min="4355" max="4355" width="16.5703125" style="819" customWidth="1"/>
    <col min="4356" max="4356" width="18.140625" style="819" customWidth="1"/>
    <col min="4357" max="4357" width="17.7109375" style="819" customWidth="1"/>
    <col min="4358" max="4358" width="11.42578125" style="819" customWidth="1"/>
    <col min="4359" max="4359" width="11" style="819" customWidth="1"/>
    <col min="4360" max="4362" width="14.42578125" style="819" customWidth="1"/>
    <col min="4363" max="4363" width="19.85546875" style="819" customWidth="1"/>
    <col min="4364" max="4364" width="14.42578125" style="819" customWidth="1"/>
    <col min="4365" max="4365" width="19.140625" style="819" customWidth="1"/>
    <col min="4366" max="4366" width="20.42578125" style="819" customWidth="1"/>
    <col min="4367" max="4367" width="18.140625" style="819" customWidth="1"/>
    <col min="4368" max="4368" width="14.5703125" style="819" customWidth="1"/>
    <col min="4369" max="4369" width="20.5703125" style="819" customWidth="1"/>
    <col min="4370" max="4370" width="14" style="819" customWidth="1"/>
    <col min="4371" max="4371" width="18.85546875" style="819" customWidth="1"/>
    <col min="4372" max="4372" width="57.28515625" style="819" customWidth="1"/>
    <col min="4373" max="4373" width="21.85546875" style="819" customWidth="1"/>
    <col min="4374" max="4374" width="24" style="819" customWidth="1"/>
    <col min="4375" max="4375" width="31.85546875" style="819" customWidth="1"/>
    <col min="4376" max="4376" width="27.140625" style="819" customWidth="1"/>
    <col min="4377" max="4377" width="18.85546875" style="819" customWidth="1"/>
    <col min="4378" max="4378" width="21.140625" style="819" customWidth="1"/>
    <col min="4379" max="4379" width="18.7109375" style="819" customWidth="1"/>
    <col min="4380" max="4380" width="21.140625" style="819" customWidth="1"/>
    <col min="4381" max="4381" width="0" style="819" hidden="1" customWidth="1"/>
    <col min="4382" max="4382" width="6.140625" style="819" customWidth="1"/>
    <col min="4383" max="4604" width="9.140625" style="819" customWidth="1"/>
    <col min="4605" max="4605" width="25.85546875" style="819" customWidth="1"/>
    <col min="4606" max="4606" width="10" style="819" customWidth="1"/>
    <col min="4607" max="4607" width="6.7109375" style="819"/>
    <col min="4608" max="4608" width="32.140625" style="819" customWidth="1"/>
    <col min="4609" max="4609" width="20" style="819" customWidth="1"/>
    <col min="4610" max="4610" width="18.140625" style="819" customWidth="1"/>
    <col min="4611" max="4611" width="16.5703125" style="819" customWidth="1"/>
    <col min="4612" max="4612" width="18.140625" style="819" customWidth="1"/>
    <col min="4613" max="4613" width="17.7109375" style="819" customWidth="1"/>
    <col min="4614" max="4614" width="11.42578125" style="819" customWidth="1"/>
    <col min="4615" max="4615" width="11" style="819" customWidth="1"/>
    <col min="4616" max="4618" width="14.42578125" style="819" customWidth="1"/>
    <col min="4619" max="4619" width="19.85546875" style="819" customWidth="1"/>
    <col min="4620" max="4620" width="14.42578125" style="819" customWidth="1"/>
    <col min="4621" max="4621" width="19.140625" style="819" customWidth="1"/>
    <col min="4622" max="4622" width="20.42578125" style="819" customWidth="1"/>
    <col min="4623" max="4623" width="18.140625" style="819" customWidth="1"/>
    <col min="4624" max="4624" width="14.5703125" style="819" customWidth="1"/>
    <col min="4625" max="4625" width="20.5703125" style="819" customWidth="1"/>
    <col min="4626" max="4626" width="14" style="819" customWidth="1"/>
    <col min="4627" max="4627" width="18.85546875" style="819" customWidth="1"/>
    <col min="4628" max="4628" width="57.28515625" style="819" customWidth="1"/>
    <col min="4629" max="4629" width="21.85546875" style="819" customWidth="1"/>
    <col min="4630" max="4630" width="24" style="819" customWidth="1"/>
    <col min="4631" max="4631" width="31.85546875" style="819" customWidth="1"/>
    <col min="4632" max="4632" width="27.140625" style="819" customWidth="1"/>
    <col min="4633" max="4633" width="18.85546875" style="819" customWidth="1"/>
    <col min="4634" max="4634" width="21.140625" style="819" customWidth="1"/>
    <col min="4635" max="4635" width="18.7109375" style="819" customWidth="1"/>
    <col min="4636" max="4636" width="21.140625" style="819" customWidth="1"/>
    <col min="4637" max="4637" width="0" style="819" hidden="1" customWidth="1"/>
    <col min="4638" max="4638" width="6.140625" style="819" customWidth="1"/>
    <col min="4639" max="4860" width="9.140625" style="819" customWidth="1"/>
    <col min="4861" max="4861" width="25.85546875" style="819" customWidth="1"/>
    <col min="4862" max="4862" width="10" style="819" customWidth="1"/>
    <col min="4863" max="4863" width="6.7109375" style="819"/>
    <col min="4864" max="4864" width="32.140625" style="819" customWidth="1"/>
    <col min="4865" max="4865" width="20" style="819" customWidth="1"/>
    <col min="4866" max="4866" width="18.140625" style="819" customWidth="1"/>
    <col min="4867" max="4867" width="16.5703125" style="819" customWidth="1"/>
    <col min="4868" max="4868" width="18.140625" style="819" customWidth="1"/>
    <col min="4869" max="4869" width="17.7109375" style="819" customWidth="1"/>
    <col min="4870" max="4870" width="11.42578125" style="819" customWidth="1"/>
    <col min="4871" max="4871" width="11" style="819" customWidth="1"/>
    <col min="4872" max="4874" width="14.42578125" style="819" customWidth="1"/>
    <col min="4875" max="4875" width="19.85546875" style="819" customWidth="1"/>
    <col min="4876" max="4876" width="14.42578125" style="819" customWidth="1"/>
    <col min="4877" max="4877" width="19.140625" style="819" customWidth="1"/>
    <col min="4878" max="4878" width="20.42578125" style="819" customWidth="1"/>
    <col min="4879" max="4879" width="18.140625" style="819" customWidth="1"/>
    <col min="4880" max="4880" width="14.5703125" style="819" customWidth="1"/>
    <col min="4881" max="4881" width="20.5703125" style="819" customWidth="1"/>
    <col min="4882" max="4882" width="14" style="819" customWidth="1"/>
    <col min="4883" max="4883" width="18.85546875" style="819" customWidth="1"/>
    <col min="4884" max="4884" width="57.28515625" style="819" customWidth="1"/>
    <col min="4885" max="4885" width="21.85546875" style="819" customWidth="1"/>
    <col min="4886" max="4886" width="24" style="819" customWidth="1"/>
    <col min="4887" max="4887" width="31.85546875" style="819" customWidth="1"/>
    <col min="4888" max="4888" width="27.140625" style="819" customWidth="1"/>
    <col min="4889" max="4889" width="18.85546875" style="819" customWidth="1"/>
    <col min="4890" max="4890" width="21.140625" style="819" customWidth="1"/>
    <col min="4891" max="4891" width="18.7109375" style="819" customWidth="1"/>
    <col min="4892" max="4892" width="21.140625" style="819" customWidth="1"/>
    <col min="4893" max="4893" width="0" style="819" hidden="1" customWidth="1"/>
    <col min="4894" max="4894" width="6.140625" style="819" customWidth="1"/>
    <col min="4895" max="5116" width="9.140625" style="819" customWidth="1"/>
    <col min="5117" max="5117" width="25.85546875" style="819" customWidth="1"/>
    <col min="5118" max="5118" width="10" style="819" customWidth="1"/>
    <col min="5119" max="5119" width="6.7109375" style="819"/>
    <col min="5120" max="5120" width="32.140625" style="819" customWidth="1"/>
    <col min="5121" max="5121" width="20" style="819" customWidth="1"/>
    <col min="5122" max="5122" width="18.140625" style="819" customWidth="1"/>
    <col min="5123" max="5123" width="16.5703125" style="819" customWidth="1"/>
    <col min="5124" max="5124" width="18.140625" style="819" customWidth="1"/>
    <col min="5125" max="5125" width="17.7109375" style="819" customWidth="1"/>
    <col min="5126" max="5126" width="11.42578125" style="819" customWidth="1"/>
    <col min="5127" max="5127" width="11" style="819" customWidth="1"/>
    <col min="5128" max="5130" width="14.42578125" style="819" customWidth="1"/>
    <col min="5131" max="5131" width="19.85546875" style="819" customWidth="1"/>
    <col min="5132" max="5132" width="14.42578125" style="819" customWidth="1"/>
    <col min="5133" max="5133" width="19.140625" style="819" customWidth="1"/>
    <col min="5134" max="5134" width="20.42578125" style="819" customWidth="1"/>
    <col min="5135" max="5135" width="18.140625" style="819" customWidth="1"/>
    <col min="5136" max="5136" width="14.5703125" style="819" customWidth="1"/>
    <col min="5137" max="5137" width="20.5703125" style="819" customWidth="1"/>
    <col min="5138" max="5138" width="14" style="819" customWidth="1"/>
    <col min="5139" max="5139" width="18.85546875" style="819" customWidth="1"/>
    <col min="5140" max="5140" width="57.28515625" style="819" customWidth="1"/>
    <col min="5141" max="5141" width="21.85546875" style="819" customWidth="1"/>
    <col min="5142" max="5142" width="24" style="819" customWidth="1"/>
    <col min="5143" max="5143" width="31.85546875" style="819" customWidth="1"/>
    <col min="5144" max="5144" width="27.140625" style="819" customWidth="1"/>
    <col min="5145" max="5145" width="18.85546875" style="819" customWidth="1"/>
    <col min="5146" max="5146" width="21.140625" style="819" customWidth="1"/>
    <col min="5147" max="5147" width="18.7109375" style="819" customWidth="1"/>
    <col min="5148" max="5148" width="21.140625" style="819" customWidth="1"/>
    <col min="5149" max="5149" width="0" style="819" hidden="1" customWidth="1"/>
    <col min="5150" max="5150" width="6.140625" style="819" customWidth="1"/>
    <col min="5151" max="5372" width="9.140625" style="819" customWidth="1"/>
    <col min="5373" max="5373" width="25.85546875" style="819" customWidth="1"/>
    <col min="5374" max="5374" width="10" style="819" customWidth="1"/>
    <col min="5375" max="5375" width="6.7109375" style="819"/>
    <col min="5376" max="5376" width="32.140625" style="819" customWidth="1"/>
    <col min="5377" max="5377" width="20" style="819" customWidth="1"/>
    <col min="5378" max="5378" width="18.140625" style="819" customWidth="1"/>
    <col min="5379" max="5379" width="16.5703125" style="819" customWidth="1"/>
    <col min="5380" max="5380" width="18.140625" style="819" customWidth="1"/>
    <col min="5381" max="5381" width="17.7109375" style="819" customWidth="1"/>
    <col min="5382" max="5382" width="11.42578125" style="819" customWidth="1"/>
    <col min="5383" max="5383" width="11" style="819" customWidth="1"/>
    <col min="5384" max="5386" width="14.42578125" style="819" customWidth="1"/>
    <col min="5387" max="5387" width="19.85546875" style="819" customWidth="1"/>
    <col min="5388" max="5388" width="14.42578125" style="819" customWidth="1"/>
    <col min="5389" max="5389" width="19.140625" style="819" customWidth="1"/>
    <col min="5390" max="5390" width="20.42578125" style="819" customWidth="1"/>
    <col min="5391" max="5391" width="18.140625" style="819" customWidth="1"/>
    <col min="5392" max="5392" width="14.5703125" style="819" customWidth="1"/>
    <col min="5393" max="5393" width="20.5703125" style="819" customWidth="1"/>
    <col min="5394" max="5394" width="14" style="819" customWidth="1"/>
    <col min="5395" max="5395" width="18.85546875" style="819" customWidth="1"/>
    <col min="5396" max="5396" width="57.28515625" style="819" customWidth="1"/>
    <col min="5397" max="5397" width="21.85546875" style="819" customWidth="1"/>
    <col min="5398" max="5398" width="24" style="819" customWidth="1"/>
    <col min="5399" max="5399" width="31.85546875" style="819" customWidth="1"/>
    <col min="5400" max="5400" width="27.140625" style="819" customWidth="1"/>
    <col min="5401" max="5401" width="18.85546875" style="819" customWidth="1"/>
    <col min="5402" max="5402" width="21.140625" style="819" customWidth="1"/>
    <col min="5403" max="5403" width="18.7109375" style="819" customWidth="1"/>
    <col min="5404" max="5404" width="21.140625" style="819" customWidth="1"/>
    <col min="5405" max="5405" width="0" style="819" hidden="1" customWidth="1"/>
    <col min="5406" max="5406" width="6.140625" style="819" customWidth="1"/>
    <col min="5407" max="5628" width="9.140625" style="819" customWidth="1"/>
    <col min="5629" max="5629" width="25.85546875" style="819" customWidth="1"/>
    <col min="5630" max="5630" width="10" style="819" customWidth="1"/>
    <col min="5631" max="5631" width="6.7109375" style="819"/>
    <col min="5632" max="5632" width="32.140625" style="819" customWidth="1"/>
    <col min="5633" max="5633" width="20" style="819" customWidth="1"/>
    <col min="5634" max="5634" width="18.140625" style="819" customWidth="1"/>
    <col min="5635" max="5635" width="16.5703125" style="819" customWidth="1"/>
    <col min="5636" max="5636" width="18.140625" style="819" customWidth="1"/>
    <col min="5637" max="5637" width="17.7109375" style="819" customWidth="1"/>
    <col min="5638" max="5638" width="11.42578125" style="819" customWidth="1"/>
    <col min="5639" max="5639" width="11" style="819" customWidth="1"/>
    <col min="5640" max="5642" width="14.42578125" style="819" customWidth="1"/>
    <col min="5643" max="5643" width="19.85546875" style="819" customWidth="1"/>
    <col min="5644" max="5644" width="14.42578125" style="819" customWidth="1"/>
    <col min="5645" max="5645" width="19.140625" style="819" customWidth="1"/>
    <col min="5646" max="5646" width="20.42578125" style="819" customWidth="1"/>
    <col min="5647" max="5647" width="18.140625" style="819" customWidth="1"/>
    <col min="5648" max="5648" width="14.5703125" style="819" customWidth="1"/>
    <col min="5649" max="5649" width="20.5703125" style="819" customWidth="1"/>
    <col min="5650" max="5650" width="14" style="819" customWidth="1"/>
    <col min="5651" max="5651" width="18.85546875" style="819" customWidth="1"/>
    <col min="5652" max="5652" width="57.28515625" style="819" customWidth="1"/>
    <col min="5653" max="5653" width="21.85546875" style="819" customWidth="1"/>
    <col min="5654" max="5654" width="24" style="819" customWidth="1"/>
    <col min="5655" max="5655" width="31.85546875" style="819" customWidth="1"/>
    <col min="5656" max="5656" width="27.140625" style="819" customWidth="1"/>
    <col min="5657" max="5657" width="18.85546875" style="819" customWidth="1"/>
    <col min="5658" max="5658" width="21.140625" style="819" customWidth="1"/>
    <col min="5659" max="5659" width="18.7109375" style="819" customWidth="1"/>
    <col min="5660" max="5660" width="21.140625" style="819" customWidth="1"/>
    <col min="5661" max="5661" width="0" style="819" hidden="1" customWidth="1"/>
    <col min="5662" max="5662" width="6.140625" style="819" customWidth="1"/>
    <col min="5663" max="5884" width="9.140625" style="819" customWidth="1"/>
    <col min="5885" max="5885" width="25.85546875" style="819" customWidth="1"/>
    <col min="5886" max="5886" width="10" style="819" customWidth="1"/>
    <col min="5887" max="5887" width="6.7109375" style="819"/>
    <col min="5888" max="5888" width="32.140625" style="819" customWidth="1"/>
    <col min="5889" max="5889" width="20" style="819" customWidth="1"/>
    <col min="5890" max="5890" width="18.140625" style="819" customWidth="1"/>
    <col min="5891" max="5891" width="16.5703125" style="819" customWidth="1"/>
    <col min="5892" max="5892" width="18.140625" style="819" customWidth="1"/>
    <col min="5893" max="5893" width="17.7109375" style="819" customWidth="1"/>
    <col min="5894" max="5894" width="11.42578125" style="819" customWidth="1"/>
    <col min="5895" max="5895" width="11" style="819" customWidth="1"/>
    <col min="5896" max="5898" width="14.42578125" style="819" customWidth="1"/>
    <col min="5899" max="5899" width="19.85546875" style="819" customWidth="1"/>
    <col min="5900" max="5900" width="14.42578125" style="819" customWidth="1"/>
    <col min="5901" max="5901" width="19.140625" style="819" customWidth="1"/>
    <col min="5902" max="5902" width="20.42578125" style="819" customWidth="1"/>
    <col min="5903" max="5903" width="18.140625" style="819" customWidth="1"/>
    <col min="5904" max="5904" width="14.5703125" style="819" customWidth="1"/>
    <col min="5905" max="5905" width="20.5703125" style="819" customWidth="1"/>
    <col min="5906" max="5906" width="14" style="819" customWidth="1"/>
    <col min="5907" max="5907" width="18.85546875" style="819" customWidth="1"/>
    <col min="5908" max="5908" width="57.28515625" style="819" customWidth="1"/>
    <col min="5909" max="5909" width="21.85546875" style="819" customWidth="1"/>
    <col min="5910" max="5910" width="24" style="819" customWidth="1"/>
    <col min="5911" max="5911" width="31.85546875" style="819" customWidth="1"/>
    <col min="5912" max="5912" width="27.140625" style="819" customWidth="1"/>
    <col min="5913" max="5913" width="18.85546875" style="819" customWidth="1"/>
    <col min="5914" max="5914" width="21.140625" style="819" customWidth="1"/>
    <col min="5915" max="5915" width="18.7109375" style="819" customWidth="1"/>
    <col min="5916" max="5916" width="21.140625" style="819" customWidth="1"/>
    <col min="5917" max="5917" width="0" style="819" hidden="1" customWidth="1"/>
    <col min="5918" max="5918" width="6.140625" style="819" customWidth="1"/>
    <col min="5919" max="6140" width="9.140625" style="819" customWidth="1"/>
    <col min="6141" max="6141" width="25.85546875" style="819" customWidth="1"/>
    <col min="6142" max="6142" width="10" style="819" customWidth="1"/>
    <col min="6143" max="6143" width="6.7109375" style="819"/>
    <col min="6144" max="6144" width="32.140625" style="819" customWidth="1"/>
    <col min="6145" max="6145" width="20" style="819" customWidth="1"/>
    <col min="6146" max="6146" width="18.140625" style="819" customWidth="1"/>
    <col min="6147" max="6147" width="16.5703125" style="819" customWidth="1"/>
    <col min="6148" max="6148" width="18.140625" style="819" customWidth="1"/>
    <col min="6149" max="6149" width="17.7109375" style="819" customWidth="1"/>
    <col min="6150" max="6150" width="11.42578125" style="819" customWidth="1"/>
    <col min="6151" max="6151" width="11" style="819" customWidth="1"/>
    <col min="6152" max="6154" width="14.42578125" style="819" customWidth="1"/>
    <col min="6155" max="6155" width="19.85546875" style="819" customWidth="1"/>
    <col min="6156" max="6156" width="14.42578125" style="819" customWidth="1"/>
    <col min="6157" max="6157" width="19.140625" style="819" customWidth="1"/>
    <col min="6158" max="6158" width="20.42578125" style="819" customWidth="1"/>
    <col min="6159" max="6159" width="18.140625" style="819" customWidth="1"/>
    <col min="6160" max="6160" width="14.5703125" style="819" customWidth="1"/>
    <col min="6161" max="6161" width="20.5703125" style="819" customWidth="1"/>
    <col min="6162" max="6162" width="14" style="819" customWidth="1"/>
    <col min="6163" max="6163" width="18.85546875" style="819" customWidth="1"/>
    <col min="6164" max="6164" width="57.28515625" style="819" customWidth="1"/>
    <col min="6165" max="6165" width="21.85546875" style="819" customWidth="1"/>
    <col min="6166" max="6166" width="24" style="819" customWidth="1"/>
    <col min="6167" max="6167" width="31.85546875" style="819" customWidth="1"/>
    <col min="6168" max="6168" width="27.140625" style="819" customWidth="1"/>
    <col min="6169" max="6169" width="18.85546875" style="819" customWidth="1"/>
    <col min="6170" max="6170" width="21.140625" style="819" customWidth="1"/>
    <col min="6171" max="6171" width="18.7109375" style="819" customWidth="1"/>
    <col min="6172" max="6172" width="21.140625" style="819" customWidth="1"/>
    <col min="6173" max="6173" width="0" style="819" hidden="1" customWidth="1"/>
    <col min="6174" max="6174" width="6.140625" style="819" customWidth="1"/>
    <col min="6175" max="6396" width="9.140625" style="819" customWidth="1"/>
    <col min="6397" max="6397" width="25.85546875" style="819" customWidth="1"/>
    <col min="6398" max="6398" width="10" style="819" customWidth="1"/>
    <col min="6399" max="6399" width="6.7109375" style="819"/>
    <col min="6400" max="6400" width="32.140625" style="819" customWidth="1"/>
    <col min="6401" max="6401" width="20" style="819" customWidth="1"/>
    <col min="6402" max="6402" width="18.140625" style="819" customWidth="1"/>
    <col min="6403" max="6403" width="16.5703125" style="819" customWidth="1"/>
    <col min="6404" max="6404" width="18.140625" style="819" customWidth="1"/>
    <col min="6405" max="6405" width="17.7109375" style="819" customWidth="1"/>
    <col min="6406" max="6406" width="11.42578125" style="819" customWidth="1"/>
    <col min="6407" max="6407" width="11" style="819" customWidth="1"/>
    <col min="6408" max="6410" width="14.42578125" style="819" customWidth="1"/>
    <col min="6411" max="6411" width="19.85546875" style="819" customWidth="1"/>
    <col min="6412" max="6412" width="14.42578125" style="819" customWidth="1"/>
    <col min="6413" max="6413" width="19.140625" style="819" customWidth="1"/>
    <col min="6414" max="6414" width="20.42578125" style="819" customWidth="1"/>
    <col min="6415" max="6415" width="18.140625" style="819" customWidth="1"/>
    <col min="6416" max="6416" width="14.5703125" style="819" customWidth="1"/>
    <col min="6417" max="6417" width="20.5703125" style="819" customWidth="1"/>
    <col min="6418" max="6418" width="14" style="819" customWidth="1"/>
    <col min="6419" max="6419" width="18.85546875" style="819" customWidth="1"/>
    <col min="6420" max="6420" width="57.28515625" style="819" customWidth="1"/>
    <col min="6421" max="6421" width="21.85546875" style="819" customWidth="1"/>
    <col min="6422" max="6422" width="24" style="819" customWidth="1"/>
    <col min="6423" max="6423" width="31.85546875" style="819" customWidth="1"/>
    <col min="6424" max="6424" width="27.140625" style="819" customWidth="1"/>
    <col min="6425" max="6425" width="18.85546875" style="819" customWidth="1"/>
    <col min="6426" max="6426" width="21.140625" style="819" customWidth="1"/>
    <col min="6427" max="6427" width="18.7109375" style="819" customWidth="1"/>
    <col min="6428" max="6428" width="21.140625" style="819" customWidth="1"/>
    <col min="6429" max="6429" width="0" style="819" hidden="1" customWidth="1"/>
    <col min="6430" max="6430" width="6.140625" style="819" customWidth="1"/>
    <col min="6431" max="6652" width="9.140625" style="819" customWidth="1"/>
    <col min="6653" max="6653" width="25.85546875" style="819" customWidth="1"/>
    <col min="6654" max="6654" width="10" style="819" customWidth="1"/>
    <col min="6655" max="6655" width="6.7109375" style="819"/>
    <col min="6656" max="6656" width="32.140625" style="819" customWidth="1"/>
    <col min="6657" max="6657" width="20" style="819" customWidth="1"/>
    <col min="6658" max="6658" width="18.140625" style="819" customWidth="1"/>
    <col min="6659" max="6659" width="16.5703125" style="819" customWidth="1"/>
    <col min="6660" max="6660" width="18.140625" style="819" customWidth="1"/>
    <col min="6661" max="6661" width="17.7109375" style="819" customWidth="1"/>
    <col min="6662" max="6662" width="11.42578125" style="819" customWidth="1"/>
    <col min="6663" max="6663" width="11" style="819" customWidth="1"/>
    <col min="6664" max="6666" width="14.42578125" style="819" customWidth="1"/>
    <col min="6667" max="6667" width="19.85546875" style="819" customWidth="1"/>
    <col min="6668" max="6668" width="14.42578125" style="819" customWidth="1"/>
    <col min="6669" max="6669" width="19.140625" style="819" customWidth="1"/>
    <col min="6670" max="6670" width="20.42578125" style="819" customWidth="1"/>
    <col min="6671" max="6671" width="18.140625" style="819" customWidth="1"/>
    <col min="6672" max="6672" width="14.5703125" style="819" customWidth="1"/>
    <col min="6673" max="6673" width="20.5703125" style="819" customWidth="1"/>
    <col min="6674" max="6674" width="14" style="819" customWidth="1"/>
    <col min="6675" max="6675" width="18.85546875" style="819" customWidth="1"/>
    <col min="6676" max="6676" width="57.28515625" style="819" customWidth="1"/>
    <col min="6677" max="6677" width="21.85546875" style="819" customWidth="1"/>
    <col min="6678" max="6678" width="24" style="819" customWidth="1"/>
    <col min="6679" max="6679" width="31.85546875" style="819" customWidth="1"/>
    <col min="6680" max="6680" width="27.140625" style="819" customWidth="1"/>
    <col min="6681" max="6681" width="18.85546875" style="819" customWidth="1"/>
    <col min="6682" max="6682" width="21.140625" style="819" customWidth="1"/>
    <col min="6683" max="6683" width="18.7109375" style="819" customWidth="1"/>
    <col min="6684" max="6684" width="21.140625" style="819" customWidth="1"/>
    <col min="6685" max="6685" width="0" style="819" hidden="1" customWidth="1"/>
    <col min="6686" max="6686" width="6.140625" style="819" customWidth="1"/>
    <col min="6687" max="6908" width="9.140625" style="819" customWidth="1"/>
    <col min="6909" max="6909" width="25.85546875" style="819" customWidth="1"/>
    <col min="6910" max="6910" width="10" style="819" customWidth="1"/>
    <col min="6911" max="6911" width="6.7109375" style="819"/>
    <col min="6912" max="6912" width="32.140625" style="819" customWidth="1"/>
    <col min="6913" max="6913" width="20" style="819" customWidth="1"/>
    <col min="6914" max="6914" width="18.140625" style="819" customWidth="1"/>
    <col min="6915" max="6915" width="16.5703125" style="819" customWidth="1"/>
    <col min="6916" max="6916" width="18.140625" style="819" customWidth="1"/>
    <col min="6917" max="6917" width="17.7109375" style="819" customWidth="1"/>
    <col min="6918" max="6918" width="11.42578125" style="819" customWidth="1"/>
    <col min="6919" max="6919" width="11" style="819" customWidth="1"/>
    <col min="6920" max="6922" width="14.42578125" style="819" customWidth="1"/>
    <col min="6923" max="6923" width="19.85546875" style="819" customWidth="1"/>
    <col min="6924" max="6924" width="14.42578125" style="819" customWidth="1"/>
    <col min="6925" max="6925" width="19.140625" style="819" customWidth="1"/>
    <col min="6926" max="6926" width="20.42578125" style="819" customWidth="1"/>
    <col min="6927" max="6927" width="18.140625" style="819" customWidth="1"/>
    <col min="6928" max="6928" width="14.5703125" style="819" customWidth="1"/>
    <col min="6929" max="6929" width="20.5703125" style="819" customWidth="1"/>
    <col min="6930" max="6930" width="14" style="819" customWidth="1"/>
    <col min="6931" max="6931" width="18.85546875" style="819" customWidth="1"/>
    <col min="6932" max="6932" width="57.28515625" style="819" customWidth="1"/>
    <col min="6933" max="6933" width="21.85546875" style="819" customWidth="1"/>
    <col min="6934" max="6934" width="24" style="819" customWidth="1"/>
    <col min="6935" max="6935" width="31.85546875" style="819" customWidth="1"/>
    <col min="6936" max="6936" width="27.140625" style="819" customWidth="1"/>
    <col min="6937" max="6937" width="18.85546875" style="819" customWidth="1"/>
    <col min="6938" max="6938" width="21.140625" style="819" customWidth="1"/>
    <col min="6939" max="6939" width="18.7109375" style="819" customWidth="1"/>
    <col min="6940" max="6940" width="21.140625" style="819" customWidth="1"/>
    <col min="6941" max="6941" width="0" style="819" hidden="1" customWidth="1"/>
    <col min="6942" max="6942" width="6.140625" style="819" customWidth="1"/>
    <col min="6943" max="7164" width="9.140625" style="819" customWidth="1"/>
    <col min="7165" max="7165" width="25.85546875" style="819" customWidth="1"/>
    <col min="7166" max="7166" width="10" style="819" customWidth="1"/>
    <col min="7167" max="7167" width="6.7109375" style="819"/>
    <col min="7168" max="7168" width="32.140625" style="819" customWidth="1"/>
    <col min="7169" max="7169" width="20" style="819" customWidth="1"/>
    <col min="7170" max="7170" width="18.140625" style="819" customWidth="1"/>
    <col min="7171" max="7171" width="16.5703125" style="819" customWidth="1"/>
    <col min="7172" max="7172" width="18.140625" style="819" customWidth="1"/>
    <col min="7173" max="7173" width="17.7109375" style="819" customWidth="1"/>
    <col min="7174" max="7174" width="11.42578125" style="819" customWidth="1"/>
    <col min="7175" max="7175" width="11" style="819" customWidth="1"/>
    <col min="7176" max="7178" width="14.42578125" style="819" customWidth="1"/>
    <col min="7179" max="7179" width="19.85546875" style="819" customWidth="1"/>
    <col min="7180" max="7180" width="14.42578125" style="819" customWidth="1"/>
    <col min="7181" max="7181" width="19.140625" style="819" customWidth="1"/>
    <col min="7182" max="7182" width="20.42578125" style="819" customWidth="1"/>
    <col min="7183" max="7183" width="18.140625" style="819" customWidth="1"/>
    <col min="7184" max="7184" width="14.5703125" style="819" customWidth="1"/>
    <col min="7185" max="7185" width="20.5703125" style="819" customWidth="1"/>
    <col min="7186" max="7186" width="14" style="819" customWidth="1"/>
    <col min="7187" max="7187" width="18.85546875" style="819" customWidth="1"/>
    <col min="7188" max="7188" width="57.28515625" style="819" customWidth="1"/>
    <col min="7189" max="7189" width="21.85546875" style="819" customWidth="1"/>
    <col min="7190" max="7190" width="24" style="819" customWidth="1"/>
    <col min="7191" max="7191" width="31.85546875" style="819" customWidth="1"/>
    <col min="7192" max="7192" width="27.140625" style="819" customWidth="1"/>
    <col min="7193" max="7193" width="18.85546875" style="819" customWidth="1"/>
    <col min="7194" max="7194" width="21.140625" style="819" customWidth="1"/>
    <col min="7195" max="7195" width="18.7109375" style="819" customWidth="1"/>
    <col min="7196" max="7196" width="21.140625" style="819" customWidth="1"/>
    <col min="7197" max="7197" width="0" style="819" hidden="1" customWidth="1"/>
    <col min="7198" max="7198" width="6.140625" style="819" customWidth="1"/>
    <col min="7199" max="7420" width="9.140625" style="819" customWidth="1"/>
    <col min="7421" max="7421" width="25.85546875" style="819" customWidth="1"/>
    <col min="7422" max="7422" width="10" style="819" customWidth="1"/>
    <col min="7423" max="7423" width="6.7109375" style="819"/>
    <col min="7424" max="7424" width="32.140625" style="819" customWidth="1"/>
    <col min="7425" max="7425" width="20" style="819" customWidth="1"/>
    <col min="7426" max="7426" width="18.140625" style="819" customWidth="1"/>
    <col min="7427" max="7427" width="16.5703125" style="819" customWidth="1"/>
    <col min="7428" max="7428" width="18.140625" style="819" customWidth="1"/>
    <col min="7429" max="7429" width="17.7109375" style="819" customWidth="1"/>
    <col min="7430" max="7430" width="11.42578125" style="819" customWidth="1"/>
    <col min="7431" max="7431" width="11" style="819" customWidth="1"/>
    <col min="7432" max="7434" width="14.42578125" style="819" customWidth="1"/>
    <col min="7435" max="7435" width="19.85546875" style="819" customWidth="1"/>
    <col min="7436" max="7436" width="14.42578125" style="819" customWidth="1"/>
    <col min="7437" max="7437" width="19.140625" style="819" customWidth="1"/>
    <col min="7438" max="7438" width="20.42578125" style="819" customWidth="1"/>
    <col min="7439" max="7439" width="18.140625" style="819" customWidth="1"/>
    <col min="7440" max="7440" width="14.5703125" style="819" customWidth="1"/>
    <col min="7441" max="7441" width="20.5703125" style="819" customWidth="1"/>
    <col min="7442" max="7442" width="14" style="819" customWidth="1"/>
    <col min="7443" max="7443" width="18.85546875" style="819" customWidth="1"/>
    <col min="7444" max="7444" width="57.28515625" style="819" customWidth="1"/>
    <col min="7445" max="7445" width="21.85546875" style="819" customWidth="1"/>
    <col min="7446" max="7446" width="24" style="819" customWidth="1"/>
    <col min="7447" max="7447" width="31.85546875" style="819" customWidth="1"/>
    <col min="7448" max="7448" width="27.140625" style="819" customWidth="1"/>
    <col min="7449" max="7449" width="18.85546875" style="819" customWidth="1"/>
    <col min="7450" max="7450" width="21.140625" style="819" customWidth="1"/>
    <col min="7451" max="7451" width="18.7109375" style="819" customWidth="1"/>
    <col min="7452" max="7452" width="21.140625" style="819" customWidth="1"/>
    <col min="7453" max="7453" width="0" style="819" hidden="1" customWidth="1"/>
    <col min="7454" max="7454" width="6.140625" style="819" customWidth="1"/>
    <col min="7455" max="7676" width="9.140625" style="819" customWidth="1"/>
    <col min="7677" max="7677" width="25.85546875" style="819" customWidth="1"/>
    <col min="7678" max="7678" width="10" style="819" customWidth="1"/>
    <col min="7679" max="7679" width="6.7109375" style="819"/>
    <col min="7680" max="7680" width="32.140625" style="819" customWidth="1"/>
    <col min="7681" max="7681" width="20" style="819" customWidth="1"/>
    <col min="7682" max="7682" width="18.140625" style="819" customWidth="1"/>
    <col min="7683" max="7683" width="16.5703125" style="819" customWidth="1"/>
    <col min="7684" max="7684" width="18.140625" style="819" customWidth="1"/>
    <col min="7685" max="7685" width="17.7109375" style="819" customWidth="1"/>
    <col min="7686" max="7686" width="11.42578125" style="819" customWidth="1"/>
    <col min="7687" max="7687" width="11" style="819" customWidth="1"/>
    <col min="7688" max="7690" width="14.42578125" style="819" customWidth="1"/>
    <col min="7691" max="7691" width="19.85546875" style="819" customWidth="1"/>
    <col min="7692" max="7692" width="14.42578125" style="819" customWidth="1"/>
    <col min="7693" max="7693" width="19.140625" style="819" customWidth="1"/>
    <col min="7694" max="7694" width="20.42578125" style="819" customWidth="1"/>
    <col min="7695" max="7695" width="18.140625" style="819" customWidth="1"/>
    <col min="7696" max="7696" width="14.5703125" style="819" customWidth="1"/>
    <col min="7697" max="7697" width="20.5703125" style="819" customWidth="1"/>
    <col min="7698" max="7698" width="14" style="819" customWidth="1"/>
    <col min="7699" max="7699" width="18.85546875" style="819" customWidth="1"/>
    <col min="7700" max="7700" width="57.28515625" style="819" customWidth="1"/>
    <col min="7701" max="7701" width="21.85546875" style="819" customWidth="1"/>
    <col min="7702" max="7702" width="24" style="819" customWidth="1"/>
    <col min="7703" max="7703" width="31.85546875" style="819" customWidth="1"/>
    <col min="7704" max="7704" width="27.140625" style="819" customWidth="1"/>
    <col min="7705" max="7705" width="18.85546875" style="819" customWidth="1"/>
    <col min="7706" max="7706" width="21.140625" style="819" customWidth="1"/>
    <col min="7707" max="7707" width="18.7109375" style="819" customWidth="1"/>
    <col min="7708" max="7708" width="21.140625" style="819" customWidth="1"/>
    <col min="7709" max="7709" width="0" style="819" hidden="1" customWidth="1"/>
    <col min="7710" max="7710" width="6.140625" style="819" customWidth="1"/>
    <col min="7711" max="7932" width="9.140625" style="819" customWidth="1"/>
    <col min="7933" max="7933" width="25.85546875" style="819" customWidth="1"/>
    <col min="7934" max="7934" width="10" style="819" customWidth="1"/>
    <col min="7935" max="7935" width="6.7109375" style="819"/>
    <col min="7936" max="7936" width="32.140625" style="819" customWidth="1"/>
    <col min="7937" max="7937" width="20" style="819" customWidth="1"/>
    <col min="7938" max="7938" width="18.140625" style="819" customWidth="1"/>
    <col min="7939" max="7939" width="16.5703125" style="819" customWidth="1"/>
    <col min="7940" max="7940" width="18.140625" style="819" customWidth="1"/>
    <col min="7941" max="7941" width="17.7109375" style="819" customWidth="1"/>
    <col min="7942" max="7942" width="11.42578125" style="819" customWidth="1"/>
    <col min="7943" max="7943" width="11" style="819" customWidth="1"/>
    <col min="7944" max="7946" width="14.42578125" style="819" customWidth="1"/>
    <col min="7947" max="7947" width="19.85546875" style="819" customWidth="1"/>
    <col min="7948" max="7948" width="14.42578125" style="819" customWidth="1"/>
    <col min="7949" max="7949" width="19.140625" style="819" customWidth="1"/>
    <col min="7950" max="7950" width="20.42578125" style="819" customWidth="1"/>
    <col min="7951" max="7951" width="18.140625" style="819" customWidth="1"/>
    <col min="7952" max="7952" width="14.5703125" style="819" customWidth="1"/>
    <col min="7953" max="7953" width="20.5703125" style="819" customWidth="1"/>
    <col min="7954" max="7954" width="14" style="819" customWidth="1"/>
    <col min="7955" max="7955" width="18.85546875" style="819" customWidth="1"/>
    <col min="7956" max="7956" width="57.28515625" style="819" customWidth="1"/>
    <col min="7957" max="7957" width="21.85546875" style="819" customWidth="1"/>
    <col min="7958" max="7958" width="24" style="819" customWidth="1"/>
    <col min="7959" max="7959" width="31.85546875" style="819" customWidth="1"/>
    <col min="7960" max="7960" width="27.140625" style="819" customWidth="1"/>
    <col min="7961" max="7961" width="18.85546875" style="819" customWidth="1"/>
    <col min="7962" max="7962" width="21.140625" style="819" customWidth="1"/>
    <col min="7963" max="7963" width="18.7109375" style="819" customWidth="1"/>
    <col min="7964" max="7964" width="21.140625" style="819" customWidth="1"/>
    <col min="7965" max="7965" width="0" style="819" hidden="1" customWidth="1"/>
    <col min="7966" max="7966" width="6.140625" style="819" customWidth="1"/>
    <col min="7967" max="8188" width="9.140625" style="819" customWidth="1"/>
    <col min="8189" max="8189" width="25.85546875" style="819" customWidth="1"/>
    <col min="8190" max="8190" width="10" style="819" customWidth="1"/>
    <col min="8191" max="8191" width="6.7109375" style="819"/>
    <col min="8192" max="8192" width="32.140625" style="819" customWidth="1"/>
    <col min="8193" max="8193" width="20" style="819" customWidth="1"/>
    <col min="8194" max="8194" width="18.140625" style="819" customWidth="1"/>
    <col min="8195" max="8195" width="16.5703125" style="819" customWidth="1"/>
    <col min="8196" max="8196" width="18.140625" style="819" customWidth="1"/>
    <col min="8197" max="8197" width="17.7109375" style="819" customWidth="1"/>
    <col min="8198" max="8198" width="11.42578125" style="819" customWidth="1"/>
    <col min="8199" max="8199" width="11" style="819" customWidth="1"/>
    <col min="8200" max="8202" width="14.42578125" style="819" customWidth="1"/>
    <col min="8203" max="8203" width="19.85546875" style="819" customWidth="1"/>
    <col min="8204" max="8204" width="14.42578125" style="819" customWidth="1"/>
    <col min="8205" max="8205" width="19.140625" style="819" customWidth="1"/>
    <col min="8206" max="8206" width="20.42578125" style="819" customWidth="1"/>
    <col min="8207" max="8207" width="18.140625" style="819" customWidth="1"/>
    <col min="8208" max="8208" width="14.5703125" style="819" customWidth="1"/>
    <col min="8209" max="8209" width="20.5703125" style="819" customWidth="1"/>
    <col min="8210" max="8210" width="14" style="819" customWidth="1"/>
    <col min="8211" max="8211" width="18.85546875" style="819" customWidth="1"/>
    <col min="8212" max="8212" width="57.28515625" style="819" customWidth="1"/>
    <col min="8213" max="8213" width="21.85546875" style="819" customWidth="1"/>
    <col min="8214" max="8214" width="24" style="819" customWidth="1"/>
    <col min="8215" max="8215" width="31.85546875" style="819" customWidth="1"/>
    <col min="8216" max="8216" width="27.140625" style="819" customWidth="1"/>
    <col min="8217" max="8217" width="18.85546875" style="819" customWidth="1"/>
    <col min="8218" max="8218" width="21.140625" style="819" customWidth="1"/>
    <col min="8219" max="8219" width="18.7109375" style="819" customWidth="1"/>
    <col min="8220" max="8220" width="21.140625" style="819" customWidth="1"/>
    <col min="8221" max="8221" width="0" style="819" hidden="1" customWidth="1"/>
    <col min="8222" max="8222" width="6.140625" style="819" customWidth="1"/>
    <col min="8223" max="8444" width="9.140625" style="819" customWidth="1"/>
    <col min="8445" max="8445" width="25.85546875" style="819" customWidth="1"/>
    <col min="8446" max="8446" width="10" style="819" customWidth="1"/>
    <col min="8447" max="8447" width="6.7109375" style="819"/>
    <col min="8448" max="8448" width="32.140625" style="819" customWidth="1"/>
    <col min="8449" max="8449" width="20" style="819" customWidth="1"/>
    <col min="8450" max="8450" width="18.140625" style="819" customWidth="1"/>
    <col min="8451" max="8451" width="16.5703125" style="819" customWidth="1"/>
    <col min="8452" max="8452" width="18.140625" style="819" customWidth="1"/>
    <col min="8453" max="8453" width="17.7109375" style="819" customWidth="1"/>
    <col min="8454" max="8454" width="11.42578125" style="819" customWidth="1"/>
    <col min="8455" max="8455" width="11" style="819" customWidth="1"/>
    <col min="8456" max="8458" width="14.42578125" style="819" customWidth="1"/>
    <col min="8459" max="8459" width="19.85546875" style="819" customWidth="1"/>
    <col min="8460" max="8460" width="14.42578125" style="819" customWidth="1"/>
    <col min="8461" max="8461" width="19.140625" style="819" customWidth="1"/>
    <col min="8462" max="8462" width="20.42578125" style="819" customWidth="1"/>
    <col min="8463" max="8463" width="18.140625" style="819" customWidth="1"/>
    <col min="8464" max="8464" width="14.5703125" style="819" customWidth="1"/>
    <col min="8465" max="8465" width="20.5703125" style="819" customWidth="1"/>
    <col min="8466" max="8466" width="14" style="819" customWidth="1"/>
    <col min="8467" max="8467" width="18.85546875" style="819" customWidth="1"/>
    <col min="8468" max="8468" width="57.28515625" style="819" customWidth="1"/>
    <col min="8469" max="8469" width="21.85546875" style="819" customWidth="1"/>
    <col min="8470" max="8470" width="24" style="819" customWidth="1"/>
    <col min="8471" max="8471" width="31.85546875" style="819" customWidth="1"/>
    <col min="8472" max="8472" width="27.140625" style="819" customWidth="1"/>
    <col min="8473" max="8473" width="18.85546875" style="819" customWidth="1"/>
    <col min="8474" max="8474" width="21.140625" style="819" customWidth="1"/>
    <col min="8475" max="8475" width="18.7109375" style="819" customWidth="1"/>
    <col min="8476" max="8476" width="21.140625" style="819" customWidth="1"/>
    <col min="8477" max="8477" width="0" style="819" hidden="1" customWidth="1"/>
    <col min="8478" max="8478" width="6.140625" style="819" customWidth="1"/>
    <col min="8479" max="8700" width="9.140625" style="819" customWidth="1"/>
    <col min="8701" max="8701" width="25.85546875" style="819" customWidth="1"/>
    <col min="8702" max="8702" width="10" style="819" customWidth="1"/>
    <col min="8703" max="8703" width="6.7109375" style="819"/>
    <col min="8704" max="8704" width="32.140625" style="819" customWidth="1"/>
    <col min="8705" max="8705" width="20" style="819" customWidth="1"/>
    <col min="8706" max="8706" width="18.140625" style="819" customWidth="1"/>
    <col min="8707" max="8707" width="16.5703125" style="819" customWidth="1"/>
    <col min="8708" max="8708" width="18.140625" style="819" customWidth="1"/>
    <col min="8709" max="8709" width="17.7109375" style="819" customWidth="1"/>
    <col min="8710" max="8710" width="11.42578125" style="819" customWidth="1"/>
    <col min="8711" max="8711" width="11" style="819" customWidth="1"/>
    <col min="8712" max="8714" width="14.42578125" style="819" customWidth="1"/>
    <col min="8715" max="8715" width="19.85546875" style="819" customWidth="1"/>
    <col min="8716" max="8716" width="14.42578125" style="819" customWidth="1"/>
    <col min="8717" max="8717" width="19.140625" style="819" customWidth="1"/>
    <col min="8718" max="8718" width="20.42578125" style="819" customWidth="1"/>
    <col min="8719" max="8719" width="18.140625" style="819" customWidth="1"/>
    <col min="8720" max="8720" width="14.5703125" style="819" customWidth="1"/>
    <col min="8721" max="8721" width="20.5703125" style="819" customWidth="1"/>
    <col min="8722" max="8722" width="14" style="819" customWidth="1"/>
    <col min="8723" max="8723" width="18.85546875" style="819" customWidth="1"/>
    <col min="8724" max="8724" width="57.28515625" style="819" customWidth="1"/>
    <col min="8725" max="8725" width="21.85546875" style="819" customWidth="1"/>
    <col min="8726" max="8726" width="24" style="819" customWidth="1"/>
    <col min="8727" max="8727" width="31.85546875" style="819" customWidth="1"/>
    <col min="8728" max="8728" width="27.140625" style="819" customWidth="1"/>
    <col min="8729" max="8729" width="18.85546875" style="819" customWidth="1"/>
    <col min="8730" max="8730" width="21.140625" style="819" customWidth="1"/>
    <col min="8731" max="8731" width="18.7109375" style="819" customWidth="1"/>
    <col min="8732" max="8732" width="21.140625" style="819" customWidth="1"/>
    <col min="8733" max="8733" width="0" style="819" hidden="1" customWidth="1"/>
    <col min="8734" max="8734" width="6.140625" style="819" customWidth="1"/>
    <col min="8735" max="8956" width="9.140625" style="819" customWidth="1"/>
    <col min="8957" max="8957" width="25.85546875" style="819" customWidth="1"/>
    <col min="8958" max="8958" width="10" style="819" customWidth="1"/>
    <col min="8959" max="8959" width="6.7109375" style="819"/>
    <col min="8960" max="8960" width="32.140625" style="819" customWidth="1"/>
    <col min="8961" max="8961" width="20" style="819" customWidth="1"/>
    <col min="8962" max="8962" width="18.140625" style="819" customWidth="1"/>
    <col min="8963" max="8963" width="16.5703125" style="819" customWidth="1"/>
    <col min="8964" max="8964" width="18.140625" style="819" customWidth="1"/>
    <col min="8965" max="8965" width="17.7109375" style="819" customWidth="1"/>
    <col min="8966" max="8966" width="11.42578125" style="819" customWidth="1"/>
    <col min="8967" max="8967" width="11" style="819" customWidth="1"/>
    <col min="8968" max="8970" width="14.42578125" style="819" customWidth="1"/>
    <col min="8971" max="8971" width="19.85546875" style="819" customWidth="1"/>
    <col min="8972" max="8972" width="14.42578125" style="819" customWidth="1"/>
    <col min="8973" max="8973" width="19.140625" style="819" customWidth="1"/>
    <col min="8974" max="8974" width="20.42578125" style="819" customWidth="1"/>
    <col min="8975" max="8975" width="18.140625" style="819" customWidth="1"/>
    <col min="8976" max="8976" width="14.5703125" style="819" customWidth="1"/>
    <col min="8977" max="8977" width="20.5703125" style="819" customWidth="1"/>
    <col min="8978" max="8978" width="14" style="819" customWidth="1"/>
    <col min="8979" max="8979" width="18.85546875" style="819" customWidth="1"/>
    <col min="8980" max="8980" width="57.28515625" style="819" customWidth="1"/>
    <col min="8981" max="8981" width="21.85546875" style="819" customWidth="1"/>
    <col min="8982" max="8982" width="24" style="819" customWidth="1"/>
    <col min="8983" max="8983" width="31.85546875" style="819" customWidth="1"/>
    <col min="8984" max="8984" width="27.140625" style="819" customWidth="1"/>
    <col min="8985" max="8985" width="18.85546875" style="819" customWidth="1"/>
    <col min="8986" max="8986" width="21.140625" style="819" customWidth="1"/>
    <col min="8987" max="8987" width="18.7109375" style="819" customWidth="1"/>
    <col min="8988" max="8988" width="21.140625" style="819" customWidth="1"/>
    <col min="8989" max="8989" width="0" style="819" hidden="1" customWidth="1"/>
    <col min="8990" max="8990" width="6.140625" style="819" customWidth="1"/>
    <col min="8991" max="9212" width="9.140625" style="819" customWidth="1"/>
    <col min="9213" max="9213" width="25.85546875" style="819" customWidth="1"/>
    <col min="9214" max="9214" width="10" style="819" customWidth="1"/>
    <col min="9215" max="9215" width="6.7109375" style="819"/>
    <col min="9216" max="9216" width="32.140625" style="819" customWidth="1"/>
    <col min="9217" max="9217" width="20" style="819" customWidth="1"/>
    <col min="9218" max="9218" width="18.140625" style="819" customWidth="1"/>
    <col min="9219" max="9219" width="16.5703125" style="819" customWidth="1"/>
    <col min="9220" max="9220" width="18.140625" style="819" customWidth="1"/>
    <col min="9221" max="9221" width="17.7109375" style="819" customWidth="1"/>
    <col min="9222" max="9222" width="11.42578125" style="819" customWidth="1"/>
    <col min="9223" max="9223" width="11" style="819" customWidth="1"/>
    <col min="9224" max="9226" width="14.42578125" style="819" customWidth="1"/>
    <col min="9227" max="9227" width="19.85546875" style="819" customWidth="1"/>
    <col min="9228" max="9228" width="14.42578125" style="819" customWidth="1"/>
    <col min="9229" max="9229" width="19.140625" style="819" customWidth="1"/>
    <col min="9230" max="9230" width="20.42578125" style="819" customWidth="1"/>
    <col min="9231" max="9231" width="18.140625" style="819" customWidth="1"/>
    <col min="9232" max="9232" width="14.5703125" style="819" customWidth="1"/>
    <col min="9233" max="9233" width="20.5703125" style="819" customWidth="1"/>
    <col min="9234" max="9234" width="14" style="819" customWidth="1"/>
    <col min="9235" max="9235" width="18.85546875" style="819" customWidth="1"/>
    <col min="9236" max="9236" width="57.28515625" style="819" customWidth="1"/>
    <col min="9237" max="9237" width="21.85546875" style="819" customWidth="1"/>
    <col min="9238" max="9238" width="24" style="819" customWidth="1"/>
    <col min="9239" max="9239" width="31.85546875" style="819" customWidth="1"/>
    <col min="9240" max="9240" width="27.140625" style="819" customWidth="1"/>
    <col min="9241" max="9241" width="18.85546875" style="819" customWidth="1"/>
    <col min="9242" max="9242" width="21.140625" style="819" customWidth="1"/>
    <col min="9243" max="9243" width="18.7109375" style="819" customWidth="1"/>
    <col min="9244" max="9244" width="21.140625" style="819" customWidth="1"/>
    <col min="9245" max="9245" width="0" style="819" hidden="1" customWidth="1"/>
    <col min="9246" max="9246" width="6.140625" style="819" customWidth="1"/>
    <col min="9247" max="9468" width="9.140625" style="819" customWidth="1"/>
    <col min="9469" max="9469" width="25.85546875" style="819" customWidth="1"/>
    <col min="9470" max="9470" width="10" style="819" customWidth="1"/>
    <col min="9471" max="9471" width="6.7109375" style="819"/>
    <col min="9472" max="9472" width="32.140625" style="819" customWidth="1"/>
    <col min="9473" max="9473" width="20" style="819" customWidth="1"/>
    <col min="9474" max="9474" width="18.140625" style="819" customWidth="1"/>
    <col min="9475" max="9475" width="16.5703125" style="819" customWidth="1"/>
    <col min="9476" max="9476" width="18.140625" style="819" customWidth="1"/>
    <col min="9477" max="9477" width="17.7109375" style="819" customWidth="1"/>
    <col min="9478" max="9478" width="11.42578125" style="819" customWidth="1"/>
    <col min="9479" max="9479" width="11" style="819" customWidth="1"/>
    <col min="9480" max="9482" width="14.42578125" style="819" customWidth="1"/>
    <col min="9483" max="9483" width="19.85546875" style="819" customWidth="1"/>
    <col min="9484" max="9484" width="14.42578125" style="819" customWidth="1"/>
    <col min="9485" max="9485" width="19.140625" style="819" customWidth="1"/>
    <col min="9486" max="9486" width="20.42578125" style="819" customWidth="1"/>
    <col min="9487" max="9487" width="18.140625" style="819" customWidth="1"/>
    <col min="9488" max="9488" width="14.5703125" style="819" customWidth="1"/>
    <col min="9489" max="9489" width="20.5703125" style="819" customWidth="1"/>
    <col min="9490" max="9490" width="14" style="819" customWidth="1"/>
    <col min="9491" max="9491" width="18.85546875" style="819" customWidth="1"/>
    <col min="9492" max="9492" width="57.28515625" style="819" customWidth="1"/>
    <col min="9493" max="9493" width="21.85546875" style="819" customWidth="1"/>
    <col min="9494" max="9494" width="24" style="819" customWidth="1"/>
    <col min="9495" max="9495" width="31.85546875" style="819" customWidth="1"/>
    <col min="9496" max="9496" width="27.140625" style="819" customWidth="1"/>
    <col min="9497" max="9497" width="18.85546875" style="819" customWidth="1"/>
    <col min="9498" max="9498" width="21.140625" style="819" customWidth="1"/>
    <col min="9499" max="9499" width="18.7109375" style="819" customWidth="1"/>
    <col min="9500" max="9500" width="21.140625" style="819" customWidth="1"/>
    <col min="9501" max="9501" width="0" style="819" hidden="1" customWidth="1"/>
    <col min="9502" max="9502" width="6.140625" style="819" customWidth="1"/>
    <col min="9503" max="9724" width="9.140625" style="819" customWidth="1"/>
    <col min="9725" max="9725" width="25.85546875" style="819" customWidth="1"/>
    <col min="9726" max="9726" width="10" style="819" customWidth="1"/>
    <col min="9727" max="9727" width="6.7109375" style="819"/>
    <col min="9728" max="9728" width="32.140625" style="819" customWidth="1"/>
    <col min="9729" max="9729" width="20" style="819" customWidth="1"/>
    <col min="9730" max="9730" width="18.140625" style="819" customWidth="1"/>
    <col min="9731" max="9731" width="16.5703125" style="819" customWidth="1"/>
    <col min="9732" max="9732" width="18.140625" style="819" customWidth="1"/>
    <col min="9733" max="9733" width="17.7109375" style="819" customWidth="1"/>
    <col min="9734" max="9734" width="11.42578125" style="819" customWidth="1"/>
    <col min="9735" max="9735" width="11" style="819" customWidth="1"/>
    <col min="9736" max="9738" width="14.42578125" style="819" customWidth="1"/>
    <col min="9739" max="9739" width="19.85546875" style="819" customWidth="1"/>
    <col min="9740" max="9740" width="14.42578125" style="819" customWidth="1"/>
    <col min="9741" max="9741" width="19.140625" style="819" customWidth="1"/>
    <col min="9742" max="9742" width="20.42578125" style="819" customWidth="1"/>
    <col min="9743" max="9743" width="18.140625" style="819" customWidth="1"/>
    <col min="9744" max="9744" width="14.5703125" style="819" customWidth="1"/>
    <col min="9745" max="9745" width="20.5703125" style="819" customWidth="1"/>
    <col min="9746" max="9746" width="14" style="819" customWidth="1"/>
    <col min="9747" max="9747" width="18.85546875" style="819" customWidth="1"/>
    <col min="9748" max="9748" width="57.28515625" style="819" customWidth="1"/>
    <col min="9749" max="9749" width="21.85546875" style="819" customWidth="1"/>
    <col min="9750" max="9750" width="24" style="819" customWidth="1"/>
    <col min="9751" max="9751" width="31.85546875" style="819" customWidth="1"/>
    <col min="9752" max="9752" width="27.140625" style="819" customWidth="1"/>
    <col min="9753" max="9753" width="18.85546875" style="819" customWidth="1"/>
    <col min="9754" max="9754" width="21.140625" style="819" customWidth="1"/>
    <col min="9755" max="9755" width="18.7109375" style="819" customWidth="1"/>
    <col min="9756" max="9756" width="21.140625" style="819" customWidth="1"/>
    <col min="9757" max="9757" width="0" style="819" hidden="1" customWidth="1"/>
    <col min="9758" max="9758" width="6.140625" style="819" customWidth="1"/>
    <col min="9759" max="9980" width="9.140625" style="819" customWidth="1"/>
    <col min="9981" max="9981" width="25.85546875" style="819" customWidth="1"/>
    <col min="9982" max="9982" width="10" style="819" customWidth="1"/>
    <col min="9983" max="9983" width="6.7109375" style="819"/>
    <col min="9984" max="9984" width="32.140625" style="819" customWidth="1"/>
    <col min="9985" max="9985" width="20" style="819" customWidth="1"/>
    <col min="9986" max="9986" width="18.140625" style="819" customWidth="1"/>
    <col min="9987" max="9987" width="16.5703125" style="819" customWidth="1"/>
    <col min="9988" max="9988" width="18.140625" style="819" customWidth="1"/>
    <col min="9989" max="9989" width="17.7109375" style="819" customWidth="1"/>
    <col min="9990" max="9990" width="11.42578125" style="819" customWidth="1"/>
    <col min="9991" max="9991" width="11" style="819" customWidth="1"/>
    <col min="9992" max="9994" width="14.42578125" style="819" customWidth="1"/>
    <col min="9995" max="9995" width="19.85546875" style="819" customWidth="1"/>
    <col min="9996" max="9996" width="14.42578125" style="819" customWidth="1"/>
    <col min="9997" max="9997" width="19.140625" style="819" customWidth="1"/>
    <col min="9998" max="9998" width="20.42578125" style="819" customWidth="1"/>
    <col min="9999" max="9999" width="18.140625" style="819" customWidth="1"/>
    <col min="10000" max="10000" width="14.5703125" style="819" customWidth="1"/>
    <col min="10001" max="10001" width="20.5703125" style="819" customWidth="1"/>
    <col min="10002" max="10002" width="14" style="819" customWidth="1"/>
    <col min="10003" max="10003" width="18.85546875" style="819" customWidth="1"/>
    <col min="10004" max="10004" width="57.28515625" style="819" customWidth="1"/>
    <col min="10005" max="10005" width="21.85546875" style="819" customWidth="1"/>
    <col min="10006" max="10006" width="24" style="819" customWidth="1"/>
    <col min="10007" max="10007" width="31.85546875" style="819" customWidth="1"/>
    <col min="10008" max="10008" width="27.140625" style="819" customWidth="1"/>
    <col min="10009" max="10009" width="18.85546875" style="819" customWidth="1"/>
    <col min="10010" max="10010" width="21.140625" style="819" customWidth="1"/>
    <col min="10011" max="10011" width="18.7109375" style="819" customWidth="1"/>
    <col min="10012" max="10012" width="21.140625" style="819" customWidth="1"/>
    <col min="10013" max="10013" width="0" style="819" hidden="1" customWidth="1"/>
    <col min="10014" max="10014" width="6.140625" style="819" customWidth="1"/>
    <col min="10015" max="10236" width="9.140625" style="819" customWidth="1"/>
    <col min="10237" max="10237" width="25.85546875" style="819" customWidth="1"/>
    <col min="10238" max="10238" width="10" style="819" customWidth="1"/>
    <col min="10239" max="10239" width="6.7109375" style="819"/>
    <col min="10240" max="10240" width="32.140625" style="819" customWidth="1"/>
    <col min="10241" max="10241" width="20" style="819" customWidth="1"/>
    <col min="10242" max="10242" width="18.140625" style="819" customWidth="1"/>
    <col min="10243" max="10243" width="16.5703125" style="819" customWidth="1"/>
    <col min="10244" max="10244" width="18.140625" style="819" customWidth="1"/>
    <col min="10245" max="10245" width="17.7109375" style="819" customWidth="1"/>
    <col min="10246" max="10246" width="11.42578125" style="819" customWidth="1"/>
    <col min="10247" max="10247" width="11" style="819" customWidth="1"/>
    <col min="10248" max="10250" width="14.42578125" style="819" customWidth="1"/>
    <col min="10251" max="10251" width="19.85546875" style="819" customWidth="1"/>
    <col min="10252" max="10252" width="14.42578125" style="819" customWidth="1"/>
    <col min="10253" max="10253" width="19.140625" style="819" customWidth="1"/>
    <col min="10254" max="10254" width="20.42578125" style="819" customWidth="1"/>
    <col min="10255" max="10255" width="18.140625" style="819" customWidth="1"/>
    <col min="10256" max="10256" width="14.5703125" style="819" customWidth="1"/>
    <col min="10257" max="10257" width="20.5703125" style="819" customWidth="1"/>
    <col min="10258" max="10258" width="14" style="819" customWidth="1"/>
    <col min="10259" max="10259" width="18.85546875" style="819" customWidth="1"/>
    <col min="10260" max="10260" width="57.28515625" style="819" customWidth="1"/>
    <col min="10261" max="10261" width="21.85546875" style="819" customWidth="1"/>
    <col min="10262" max="10262" width="24" style="819" customWidth="1"/>
    <col min="10263" max="10263" width="31.85546875" style="819" customWidth="1"/>
    <col min="10264" max="10264" width="27.140625" style="819" customWidth="1"/>
    <col min="10265" max="10265" width="18.85546875" style="819" customWidth="1"/>
    <col min="10266" max="10266" width="21.140625" style="819" customWidth="1"/>
    <col min="10267" max="10267" width="18.7109375" style="819" customWidth="1"/>
    <col min="10268" max="10268" width="21.140625" style="819" customWidth="1"/>
    <col min="10269" max="10269" width="0" style="819" hidden="1" customWidth="1"/>
    <col min="10270" max="10270" width="6.140625" style="819" customWidth="1"/>
    <col min="10271" max="10492" width="9.140625" style="819" customWidth="1"/>
    <col min="10493" max="10493" width="25.85546875" style="819" customWidth="1"/>
    <col min="10494" max="10494" width="10" style="819" customWidth="1"/>
    <col min="10495" max="10495" width="6.7109375" style="819"/>
    <col min="10496" max="10496" width="32.140625" style="819" customWidth="1"/>
    <col min="10497" max="10497" width="20" style="819" customWidth="1"/>
    <col min="10498" max="10498" width="18.140625" style="819" customWidth="1"/>
    <col min="10499" max="10499" width="16.5703125" style="819" customWidth="1"/>
    <col min="10500" max="10500" width="18.140625" style="819" customWidth="1"/>
    <col min="10501" max="10501" width="17.7109375" style="819" customWidth="1"/>
    <col min="10502" max="10502" width="11.42578125" style="819" customWidth="1"/>
    <col min="10503" max="10503" width="11" style="819" customWidth="1"/>
    <col min="10504" max="10506" width="14.42578125" style="819" customWidth="1"/>
    <col min="10507" max="10507" width="19.85546875" style="819" customWidth="1"/>
    <col min="10508" max="10508" width="14.42578125" style="819" customWidth="1"/>
    <col min="10509" max="10509" width="19.140625" style="819" customWidth="1"/>
    <col min="10510" max="10510" width="20.42578125" style="819" customWidth="1"/>
    <col min="10511" max="10511" width="18.140625" style="819" customWidth="1"/>
    <col min="10512" max="10512" width="14.5703125" style="819" customWidth="1"/>
    <col min="10513" max="10513" width="20.5703125" style="819" customWidth="1"/>
    <col min="10514" max="10514" width="14" style="819" customWidth="1"/>
    <col min="10515" max="10515" width="18.85546875" style="819" customWidth="1"/>
    <col min="10516" max="10516" width="57.28515625" style="819" customWidth="1"/>
    <col min="10517" max="10517" width="21.85546875" style="819" customWidth="1"/>
    <col min="10518" max="10518" width="24" style="819" customWidth="1"/>
    <col min="10519" max="10519" width="31.85546875" style="819" customWidth="1"/>
    <col min="10520" max="10520" width="27.140625" style="819" customWidth="1"/>
    <col min="10521" max="10521" width="18.85546875" style="819" customWidth="1"/>
    <col min="10522" max="10522" width="21.140625" style="819" customWidth="1"/>
    <col min="10523" max="10523" width="18.7109375" style="819" customWidth="1"/>
    <col min="10524" max="10524" width="21.140625" style="819" customWidth="1"/>
    <col min="10525" max="10525" width="0" style="819" hidden="1" customWidth="1"/>
    <col min="10526" max="10526" width="6.140625" style="819" customWidth="1"/>
    <col min="10527" max="10748" width="9.140625" style="819" customWidth="1"/>
    <col min="10749" max="10749" width="25.85546875" style="819" customWidth="1"/>
    <col min="10750" max="10750" width="10" style="819" customWidth="1"/>
    <col min="10751" max="10751" width="6.7109375" style="819"/>
    <col min="10752" max="10752" width="32.140625" style="819" customWidth="1"/>
    <col min="10753" max="10753" width="20" style="819" customWidth="1"/>
    <col min="10754" max="10754" width="18.140625" style="819" customWidth="1"/>
    <col min="10755" max="10755" width="16.5703125" style="819" customWidth="1"/>
    <col min="10756" max="10756" width="18.140625" style="819" customWidth="1"/>
    <col min="10757" max="10757" width="17.7109375" style="819" customWidth="1"/>
    <col min="10758" max="10758" width="11.42578125" style="819" customWidth="1"/>
    <col min="10759" max="10759" width="11" style="819" customWidth="1"/>
    <col min="10760" max="10762" width="14.42578125" style="819" customWidth="1"/>
    <col min="10763" max="10763" width="19.85546875" style="819" customWidth="1"/>
    <col min="10764" max="10764" width="14.42578125" style="819" customWidth="1"/>
    <col min="10765" max="10765" width="19.140625" style="819" customWidth="1"/>
    <col min="10766" max="10766" width="20.42578125" style="819" customWidth="1"/>
    <col min="10767" max="10767" width="18.140625" style="819" customWidth="1"/>
    <col min="10768" max="10768" width="14.5703125" style="819" customWidth="1"/>
    <col min="10769" max="10769" width="20.5703125" style="819" customWidth="1"/>
    <col min="10770" max="10770" width="14" style="819" customWidth="1"/>
    <col min="10771" max="10771" width="18.85546875" style="819" customWidth="1"/>
    <col min="10772" max="10772" width="57.28515625" style="819" customWidth="1"/>
    <col min="10773" max="10773" width="21.85546875" style="819" customWidth="1"/>
    <col min="10774" max="10774" width="24" style="819" customWidth="1"/>
    <col min="10775" max="10775" width="31.85546875" style="819" customWidth="1"/>
    <col min="10776" max="10776" width="27.140625" style="819" customWidth="1"/>
    <col min="10777" max="10777" width="18.85546875" style="819" customWidth="1"/>
    <col min="10778" max="10778" width="21.140625" style="819" customWidth="1"/>
    <col min="10779" max="10779" width="18.7109375" style="819" customWidth="1"/>
    <col min="10780" max="10780" width="21.140625" style="819" customWidth="1"/>
    <col min="10781" max="10781" width="0" style="819" hidden="1" customWidth="1"/>
    <col min="10782" max="10782" width="6.140625" style="819" customWidth="1"/>
    <col min="10783" max="11004" width="9.140625" style="819" customWidth="1"/>
    <col min="11005" max="11005" width="25.85546875" style="819" customWidth="1"/>
    <col min="11006" max="11006" width="10" style="819" customWidth="1"/>
    <col min="11007" max="11007" width="6.7109375" style="819"/>
    <col min="11008" max="11008" width="32.140625" style="819" customWidth="1"/>
    <col min="11009" max="11009" width="20" style="819" customWidth="1"/>
    <col min="11010" max="11010" width="18.140625" style="819" customWidth="1"/>
    <col min="11011" max="11011" width="16.5703125" style="819" customWidth="1"/>
    <col min="11012" max="11012" width="18.140625" style="819" customWidth="1"/>
    <col min="11013" max="11013" width="17.7109375" style="819" customWidth="1"/>
    <col min="11014" max="11014" width="11.42578125" style="819" customWidth="1"/>
    <col min="11015" max="11015" width="11" style="819" customWidth="1"/>
    <col min="11016" max="11018" width="14.42578125" style="819" customWidth="1"/>
    <col min="11019" max="11019" width="19.85546875" style="819" customWidth="1"/>
    <col min="11020" max="11020" width="14.42578125" style="819" customWidth="1"/>
    <col min="11021" max="11021" width="19.140625" style="819" customWidth="1"/>
    <col min="11022" max="11022" width="20.42578125" style="819" customWidth="1"/>
    <col min="11023" max="11023" width="18.140625" style="819" customWidth="1"/>
    <col min="11024" max="11024" width="14.5703125" style="819" customWidth="1"/>
    <col min="11025" max="11025" width="20.5703125" style="819" customWidth="1"/>
    <col min="11026" max="11026" width="14" style="819" customWidth="1"/>
    <col min="11027" max="11027" width="18.85546875" style="819" customWidth="1"/>
    <col min="11028" max="11028" width="57.28515625" style="819" customWidth="1"/>
    <col min="11029" max="11029" width="21.85546875" style="819" customWidth="1"/>
    <col min="11030" max="11030" width="24" style="819" customWidth="1"/>
    <col min="11031" max="11031" width="31.85546875" style="819" customWidth="1"/>
    <col min="11032" max="11032" width="27.140625" style="819" customWidth="1"/>
    <col min="11033" max="11033" width="18.85546875" style="819" customWidth="1"/>
    <col min="11034" max="11034" width="21.140625" style="819" customWidth="1"/>
    <col min="11035" max="11035" width="18.7109375" style="819" customWidth="1"/>
    <col min="11036" max="11036" width="21.140625" style="819" customWidth="1"/>
    <col min="11037" max="11037" width="0" style="819" hidden="1" customWidth="1"/>
    <col min="11038" max="11038" width="6.140625" style="819" customWidth="1"/>
    <col min="11039" max="11260" width="9.140625" style="819" customWidth="1"/>
    <col min="11261" max="11261" width="25.85546875" style="819" customWidth="1"/>
    <col min="11262" max="11262" width="10" style="819" customWidth="1"/>
    <col min="11263" max="11263" width="6.7109375" style="819"/>
    <col min="11264" max="11264" width="32.140625" style="819" customWidth="1"/>
    <col min="11265" max="11265" width="20" style="819" customWidth="1"/>
    <col min="11266" max="11266" width="18.140625" style="819" customWidth="1"/>
    <col min="11267" max="11267" width="16.5703125" style="819" customWidth="1"/>
    <col min="11268" max="11268" width="18.140625" style="819" customWidth="1"/>
    <col min="11269" max="11269" width="17.7109375" style="819" customWidth="1"/>
    <col min="11270" max="11270" width="11.42578125" style="819" customWidth="1"/>
    <col min="11271" max="11271" width="11" style="819" customWidth="1"/>
    <col min="11272" max="11274" width="14.42578125" style="819" customWidth="1"/>
    <col min="11275" max="11275" width="19.85546875" style="819" customWidth="1"/>
    <col min="11276" max="11276" width="14.42578125" style="819" customWidth="1"/>
    <col min="11277" max="11277" width="19.140625" style="819" customWidth="1"/>
    <col min="11278" max="11278" width="20.42578125" style="819" customWidth="1"/>
    <col min="11279" max="11279" width="18.140625" style="819" customWidth="1"/>
    <col min="11280" max="11280" width="14.5703125" style="819" customWidth="1"/>
    <col min="11281" max="11281" width="20.5703125" style="819" customWidth="1"/>
    <col min="11282" max="11282" width="14" style="819" customWidth="1"/>
    <col min="11283" max="11283" width="18.85546875" style="819" customWidth="1"/>
    <col min="11284" max="11284" width="57.28515625" style="819" customWidth="1"/>
    <col min="11285" max="11285" width="21.85546875" style="819" customWidth="1"/>
    <col min="11286" max="11286" width="24" style="819" customWidth="1"/>
    <col min="11287" max="11287" width="31.85546875" style="819" customWidth="1"/>
    <col min="11288" max="11288" width="27.140625" style="819" customWidth="1"/>
    <col min="11289" max="11289" width="18.85546875" style="819" customWidth="1"/>
    <col min="11290" max="11290" width="21.140625" style="819" customWidth="1"/>
    <col min="11291" max="11291" width="18.7109375" style="819" customWidth="1"/>
    <col min="11292" max="11292" width="21.140625" style="819" customWidth="1"/>
    <col min="11293" max="11293" width="0" style="819" hidden="1" customWidth="1"/>
    <col min="11294" max="11294" width="6.140625" style="819" customWidth="1"/>
    <col min="11295" max="11516" width="9.140625" style="819" customWidth="1"/>
    <col min="11517" max="11517" width="25.85546875" style="819" customWidth="1"/>
    <col min="11518" max="11518" width="10" style="819" customWidth="1"/>
    <col min="11519" max="11519" width="6.7109375" style="819"/>
    <col min="11520" max="11520" width="32.140625" style="819" customWidth="1"/>
    <col min="11521" max="11521" width="20" style="819" customWidth="1"/>
    <col min="11522" max="11522" width="18.140625" style="819" customWidth="1"/>
    <col min="11523" max="11523" width="16.5703125" style="819" customWidth="1"/>
    <col min="11524" max="11524" width="18.140625" style="819" customWidth="1"/>
    <col min="11525" max="11525" width="17.7109375" style="819" customWidth="1"/>
    <col min="11526" max="11526" width="11.42578125" style="819" customWidth="1"/>
    <col min="11527" max="11527" width="11" style="819" customWidth="1"/>
    <col min="11528" max="11530" width="14.42578125" style="819" customWidth="1"/>
    <col min="11531" max="11531" width="19.85546875" style="819" customWidth="1"/>
    <col min="11532" max="11532" width="14.42578125" style="819" customWidth="1"/>
    <col min="11533" max="11533" width="19.140625" style="819" customWidth="1"/>
    <col min="11534" max="11534" width="20.42578125" style="819" customWidth="1"/>
    <col min="11535" max="11535" width="18.140625" style="819" customWidth="1"/>
    <col min="11536" max="11536" width="14.5703125" style="819" customWidth="1"/>
    <col min="11537" max="11537" width="20.5703125" style="819" customWidth="1"/>
    <col min="11538" max="11538" width="14" style="819" customWidth="1"/>
    <col min="11539" max="11539" width="18.85546875" style="819" customWidth="1"/>
    <col min="11540" max="11540" width="57.28515625" style="819" customWidth="1"/>
    <col min="11541" max="11541" width="21.85546875" style="819" customWidth="1"/>
    <col min="11542" max="11542" width="24" style="819" customWidth="1"/>
    <col min="11543" max="11543" width="31.85546875" style="819" customWidth="1"/>
    <col min="11544" max="11544" width="27.140625" style="819" customWidth="1"/>
    <col min="11545" max="11545" width="18.85546875" style="819" customWidth="1"/>
    <col min="11546" max="11546" width="21.140625" style="819" customWidth="1"/>
    <col min="11547" max="11547" width="18.7109375" style="819" customWidth="1"/>
    <col min="11548" max="11548" width="21.140625" style="819" customWidth="1"/>
    <col min="11549" max="11549" width="0" style="819" hidden="1" customWidth="1"/>
    <col min="11550" max="11550" width="6.140625" style="819" customWidth="1"/>
    <col min="11551" max="11772" width="9.140625" style="819" customWidth="1"/>
    <col min="11773" max="11773" width="25.85546875" style="819" customWidth="1"/>
    <col min="11774" max="11774" width="10" style="819" customWidth="1"/>
    <col min="11775" max="11775" width="6.7109375" style="819"/>
    <col min="11776" max="11776" width="32.140625" style="819" customWidth="1"/>
    <col min="11777" max="11777" width="20" style="819" customWidth="1"/>
    <col min="11778" max="11778" width="18.140625" style="819" customWidth="1"/>
    <col min="11779" max="11779" width="16.5703125" style="819" customWidth="1"/>
    <col min="11780" max="11780" width="18.140625" style="819" customWidth="1"/>
    <col min="11781" max="11781" width="17.7109375" style="819" customWidth="1"/>
    <col min="11782" max="11782" width="11.42578125" style="819" customWidth="1"/>
    <col min="11783" max="11783" width="11" style="819" customWidth="1"/>
    <col min="11784" max="11786" width="14.42578125" style="819" customWidth="1"/>
    <col min="11787" max="11787" width="19.85546875" style="819" customWidth="1"/>
    <col min="11788" max="11788" width="14.42578125" style="819" customWidth="1"/>
    <col min="11789" max="11789" width="19.140625" style="819" customWidth="1"/>
    <col min="11790" max="11790" width="20.42578125" style="819" customWidth="1"/>
    <col min="11791" max="11791" width="18.140625" style="819" customWidth="1"/>
    <col min="11792" max="11792" width="14.5703125" style="819" customWidth="1"/>
    <col min="11793" max="11793" width="20.5703125" style="819" customWidth="1"/>
    <col min="11794" max="11794" width="14" style="819" customWidth="1"/>
    <col min="11795" max="11795" width="18.85546875" style="819" customWidth="1"/>
    <col min="11796" max="11796" width="57.28515625" style="819" customWidth="1"/>
    <col min="11797" max="11797" width="21.85546875" style="819" customWidth="1"/>
    <col min="11798" max="11798" width="24" style="819" customWidth="1"/>
    <col min="11799" max="11799" width="31.85546875" style="819" customWidth="1"/>
    <col min="11800" max="11800" width="27.140625" style="819" customWidth="1"/>
    <col min="11801" max="11801" width="18.85546875" style="819" customWidth="1"/>
    <col min="11802" max="11802" width="21.140625" style="819" customWidth="1"/>
    <col min="11803" max="11803" width="18.7109375" style="819" customWidth="1"/>
    <col min="11804" max="11804" width="21.140625" style="819" customWidth="1"/>
    <col min="11805" max="11805" width="0" style="819" hidden="1" customWidth="1"/>
    <col min="11806" max="11806" width="6.140625" style="819" customWidth="1"/>
    <col min="11807" max="12028" width="9.140625" style="819" customWidth="1"/>
    <col min="12029" max="12029" width="25.85546875" style="819" customWidth="1"/>
    <col min="12030" max="12030" width="10" style="819" customWidth="1"/>
    <col min="12031" max="12031" width="6.7109375" style="819"/>
    <col min="12032" max="12032" width="32.140625" style="819" customWidth="1"/>
    <col min="12033" max="12033" width="20" style="819" customWidth="1"/>
    <col min="12034" max="12034" width="18.140625" style="819" customWidth="1"/>
    <col min="12035" max="12035" width="16.5703125" style="819" customWidth="1"/>
    <col min="12036" max="12036" width="18.140625" style="819" customWidth="1"/>
    <col min="12037" max="12037" width="17.7109375" style="819" customWidth="1"/>
    <col min="12038" max="12038" width="11.42578125" style="819" customWidth="1"/>
    <col min="12039" max="12039" width="11" style="819" customWidth="1"/>
    <col min="12040" max="12042" width="14.42578125" style="819" customWidth="1"/>
    <col min="12043" max="12043" width="19.85546875" style="819" customWidth="1"/>
    <col min="12044" max="12044" width="14.42578125" style="819" customWidth="1"/>
    <col min="12045" max="12045" width="19.140625" style="819" customWidth="1"/>
    <col min="12046" max="12046" width="20.42578125" style="819" customWidth="1"/>
    <col min="12047" max="12047" width="18.140625" style="819" customWidth="1"/>
    <col min="12048" max="12048" width="14.5703125" style="819" customWidth="1"/>
    <col min="12049" max="12049" width="20.5703125" style="819" customWidth="1"/>
    <col min="12050" max="12050" width="14" style="819" customWidth="1"/>
    <col min="12051" max="12051" width="18.85546875" style="819" customWidth="1"/>
    <col min="12052" max="12052" width="57.28515625" style="819" customWidth="1"/>
    <col min="12053" max="12053" width="21.85546875" style="819" customWidth="1"/>
    <col min="12054" max="12054" width="24" style="819" customWidth="1"/>
    <col min="12055" max="12055" width="31.85546875" style="819" customWidth="1"/>
    <col min="12056" max="12056" width="27.140625" style="819" customWidth="1"/>
    <col min="12057" max="12057" width="18.85546875" style="819" customWidth="1"/>
    <col min="12058" max="12058" width="21.140625" style="819" customWidth="1"/>
    <col min="12059" max="12059" width="18.7109375" style="819" customWidth="1"/>
    <col min="12060" max="12060" width="21.140625" style="819" customWidth="1"/>
    <col min="12061" max="12061" width="0" style="819" hidden="1" customWidth="1"/>
    <col min="12062" max="12062" width="6.140625" style="819" customWidth="1"/>
    <col min="12063" max="12284" width="9.140625" style="819" customWidth="1"/>
    <col min="12285" max="12285" width="25.85546875" style="819" customWidth="1"/>
    <col min="12286" max="12286" width="10" style="819" customWidth="1"/>
    <col min="12287" max="12287" width="6.7109375" style="819"/>
    <col min="12288" max="12288" width="32.140625" style="819" customWidth="1"/>
    <col min="12289" max="12289" width="20" style="819" customWidth="1"/>
    <col min="12290" max="12290" width="18.140625" style="819" customWidth="1"/>
    <col min="12291" max="12291" width="16.5703125" style="819" customWidth="1"/>
    <col min="12292" max="12292" width="18.140625" style="819" customWidth="1"/>
    <col min="12293" max="12293" width="17.7109375" style="819" customWidth="1"/>
    <col min="12294" max="12294" width="11.42578125" style="819" customWidth="1"/>
    <col min="12295" max="12295" width="11" style="819" customWidth="1"/>
    <col min="12296" max="12298" width="14.42578125" style="819" customWidth="1"/>
    <col min="12299" max="12299" width="19.85546875" style="819" customWidth="1"/>
    <col min="12300" max="12300" width="14.42578125" style="819" customWidth="1"/>
    <col min="12301" max="12301" width="19.140625" style="819" customWidth="1"/>
    <col min="12302" max="12302" width="20.42578125" style="819" customWidth="1"/>
    <col min="12303" max="12303" width="18.140625" style="819" customWidth="1"/>
    <col min="12304" max="12304" width="14.5703125" style="819" customWidth="1"/>
    <col min="12305" max="12305" width="20.5703125" style="819" customWidth="1"/>
    <col min="12306" max="12306" width="14" style="819" customWidth="1"/>
    <col min="12307" max="12307" width="18.85546875" style="819" customWidth="1"/>
    <col min="12308" max="12308" width="57.28515625" style="819" customWidth="1"/>
    <col min="12309" max="12309" width="21.85546875" style="819" customWidth="1"/>
    <col min="12310" max="12310" width="24" style="819" customWidth="1"/>
    <col min="12311" max="12311" width="31.85546875" style="819" customWidth="1"/>
    <col min="12312" max="12312" width="27.140625" style="819" customWidth="1"/>
    <col min="12313" max="12313" width="18.85546875" style="819" customWidth="1"/>
    <col min="12314" max="12314" width="21.140625" style="819" customWidth="1"/>
    <col min="12315" max="12315" width="18.7109375" style="819" customWidth="1"/>
    <col min="12316" max="12316" width="21.140625" style="819" customWidth="1"/>
    <col min="12317" max="12317" width="0" style="819" hidden="1" customWidth="1"/>
    <col min="12318" max="12318" width="6.140625" style="819" customWidth="1"/>
    <col min="12319" max="12540" width="9.140625" style="819" customWidth="1"/>
    <col min="12541" max="12541" width="25.85546875" style="819" customWidth="1"/>
    <col min="12542" max="12542" width="10" style="819" customWidth="1"/>
    <col min="12543" max="12543" width="6.7109375" style="819"/>
    <col min="12544" max="12544" width="32.140625" style="819" customWidth="1"/>
    <col min="12545" max="12545" width="20" style="819" customWidth="1"/>
    <col min="12546" max="12546" width="18.140625" style="819" customWidth="1"/>
    <col min="12547" max="12547" width="16.5703125" style="819" customWidth="1"/>
    <col min="12548" max="12548" width="18.140625" style="819" customWidth="1"/>
    <col min="12549" max="12549" width="17.7109375" style="819" customWidth="1"/>
    <col min="12550" max="12550" width="11.42578125" style="819" customWidth="1"/>
    <col min="12551" max="12551" width="11" style="819" customWidth="1"/>
    <col min="12552" max="12554" width="14.42578125" style="819" customWidth="1"/>
    <col min="12555" max="12555" width="19.85546875" style="819" customWidth="1"/>
    <col min="12556" max="12556" width="14.42578125" style="819" customWidth="1"/>
    <col min="12557" max="12557" width="19.140625" style="819" customWidth="1"/>
    <col min="12558" max="12558" width="20.42578125" style="819" customWidth="1"/>
    <col min="12559" max="12559" width="18.140625" style="819" customWidth="1"/>
    <col min="12560" max="12560" width="14.5703125" style="819" customWidth="1"/>
    <col min="12561" max="12561" width="20.5703125" style="819" customWidth="1"/>
    <col min="12562" max="12562" width="14" style="819" customWidth="1"/>
    <col min="12563" max="12563" width="18.85546875" style="819" customWidth="1"/>
    <col min="12564" max="12564" width="57.28515625" style="819" customWidth="1"/>
    <col min="12565" max="12565" width="21.85546875" style="819" customWidth="1"/>
    <col min="12566" max="12566" width="24" style="819" customWidth="1"/>
    <col min="12567" max="12567" width="31.85546875" style="819" customWidth="1"/>
    <col min="12568" max="12568" width="27.140625" style="819" customWidth="1"/>
    <col min="12569" max="12569" width="18.85546875" style="819" customWidth="1"/>
    <col min="12570" max="12570" width="21.140625" style="819" customWidth="1"/>
    <col min="12571" max="12571" width="18.7109375" style="819" customWidth="1"/>
    <col min="12572" max="12572" width="21.140625" style="819" customWidth="1"/>
    <col min="12573" max="12573" width="0" style="819" hidden="1" customWidth="1"/>
    <col min="12574" max="12574" width="6.140625" style="819" customWidth="1"/>
    <col min="12575" max="12796" width="9.140625" style="819" customWidth="1"/>
    <col min="12797" max="12797" width="25.85546875" style="819" customWidth="1"/>
    <col min="12798" max="12798" width="10" style="819" customWidth="1"/>
    <col min="12799" max="12799" width="6.7109375" style="819"/>
    <col min="12800" max="12800" width="32.140625" style="819" customWidth="1"/>
    <col min="12801" max="12801" width="20" style="819" customWidth="1"/>
    <col min="12802" max="12802" width="18.140625" style="819" customWidth="1"/>
    <col min="12803" max="12803" width="16.5703125" style="819" customWidth="1"/>
    <col min="12804" max="12804" width="18.140625" style="819" customWidth="1"/>
    <col min="12805" max="12805" width="17.7109375" style="819" customWidth="1"/>
    <col min="12806" max="12806" width="11.42578125" style="819" customWidth="1"/>
    <col min="12807" max="12807" width="11" style="819" customWidth="1"/>
    <col min="12808" max="12810" width="14.42578125" style="819" customWidth="1"/>
    <col min="12811" max="12811" width="19.85546875" style="819" customWidth="1"/>
    <col min="12812" max="12812" width="14.42578125" style="819" customWidth="1"/>
    <col min="12813" max="12813" width="19.140625" style="819" customWidth="1"/>
    <col min="12814" max="12814" width="20.42578125" style="819" customWidth="1"/>
    <col min="12815" max="12815" width="18.140625" style="819" customWidth="1"/>
    <col min="12816" max="12816" width="14.5703125" style="819" customWidth="1"/>
    <col min="12817" max="12817" width="20.5703125" style="819" customWidth="1"/>
    <col min="12818" max="12818" width="14" style="819" customWidth="1"/>
    <col min="12819" max="12819" width="18.85546875" style="819" customWidth="1"/>
    <col min="12820" max="12820" width="57.28515625" style="819" customWidth="1"/>
    <col min="12821" max="12821" width="21.85546875" style="819" customWidth="1"/>
    <col min="12822" max="12822" width="24" style="819" customWidth="1"/>
    <col min="12823" max="12823" width="31.85546875" style="819" customWidth="1"/>
    <col min="12824" max="12824" width="27.140625" style="819" customWidth="1"/>
    <col min="12825" max="12825" width="18.85546875" style="819" customWidth="1"/>
    <col min="12826" max="12826" width="21.140625" style="819" customWidth="1"/>
    <col min="12827" max="12827" width="18.7109375" style="819" customWidth="1"/>
    <col min="12828" max="12828" width="21.140625" style="819" customWidth="1"/>
    <col min="12829" max="12829" width="0" style="819" hidden="1" customWidth="1"/>
    <col min="12830" max="12830" width="6.140625" style="819" customWidth="1"/>
    <col min="12831" max="13052" width="9.140625" style="819" customWidth="1"/>
    <col min="13053" max="13053" width="25.85546875" style="819" customWidth="1"/>
    <col min="13054" max="13054" width="10" style="819" customWidth="1"/>
    <col min="13055" max="13055" width="6.7109375" style="819"/>
    <col min="13056" max="13056" width="32.140625" style="819" customWidth="1"/>
    <col min="13057" max="13057" width="20" style="819" customWidth="1"/>
    <col min="13058" max="13058" width="18.140625" style="819" customWidth="1"/>
    <col min="13059" max="13059" width="16.5703125" style="819" customWidth="1"/>
    <col min="13060" max="13060" width="18.140625" style="819" customWidth="1"/>
    <col min="13061" max="13061" width="17.7109375" style="819" customWidth="1"/>
    <col min="13062" max="13062" width="11.42578125" style="819" customWidth="1"/>
    <col min="13063" max="13063" width="11" style="819" customWidth="1"/>
    <col min="13064" max="13066" width="14.42578125" style="819" customWidth="1"/>
    <col min="13067" max="13067" width="19.85546875" style="819" customWidth="1"/>
    <col min="13068" max="13068" width="14.42578125" style="819" customWidth="1"/>
    <col min="13069" max="13069" width="19.140625" style="819" customWidth="1"/>
    <col min="13070" max="13070" width="20.42578125" style="819" customWidth="1"/>
    <col min="13071" max="13071" width="18.140625" style="819" customWidth="1"/>
    <col min="13072" max="13072" width="14.5703125" style="819" customWidth="1"/>
    <col min="13073" max="13073" width="20.5703125" style="819" customWidth="1"/>
    <col min="13074" max="13074" width="14" style="819" customWidth="1"/>
    <col min="13075" max="13075" width="18.85546875" style="819" customWidth="1"/>
    <col min="13076" max="13076" width="57.28515625" style="819" customWidth="1"/>
    <col min="13077" max="13077" width="21.85546875" style="819" customWidth="1"/>
    <col min="13078" max="13078" width="24" style="819" customWidth="1"/>
    <col min="13079" max="13079" width="31.85546875" style="819" customWidth="1"/>
    <col min="13080" max="13080" width="27.140625" style="819" customWidth="1"/>
    <col min="13081" max="13081" width="18.85546875" style="819" customWidth="1"/>
    <col min="13082" max="13082" width="21.140625" style="819" customWidth="1"/>
    <col min="13083" max="13083" width="18.7109375" style="819" customWidth="1"/>
    <col min="13084" max="13084" width="21.140625" style="819" customWidth="1"/>
    <col min="13085" max="13085" width="0" style="819" hidden="1" customWidth="1"/>
    <col min="13086" max="13086" width="6.140625" style="819" customWidth="1"/>
    <col min="13087" max="13308" width="9.140625" style="819" customWidth="1"/>
    <col min="13309" max="13309" width="25.85546875" style="819" customWidth="1"/>
    <col min="13310" max="13310" width="10" style="819" customWidth="1"/>
    <col min="13311" max="13311" width="6.7109375" style="819"/>
    <col min="13312" max="13312" width="32.140625" style="819" customWidth="1"/>
    <col min="13313" max="13313" width="20" style="819" customWidth="1"/>
    <col min="13314" max="13314" width="18.140625" style="819" customWidth="1"/>
    <col min="13315" max="13315" width="16.5703125" style="819" customWidth="1"/>
    <col min="13316" max="13316" width="18.140625" style="819" customWidth="1"/>
    <col min="13317" max="13317" width="17.7109375" style="819" customWidth="1"/>
    <col min="13318" max="13318" width="11.42578125" style="819" customWidth="1"/>
    <col min="13319" max="13319" width="11" style="819" customWidth="1"/>
    <col min="13320" max="13322" width="14.42578125" style="819" customWidth="1"/>
    <col min="13323" max="13323" width="19.85546875" style="819" customWidth="1"/>
    <col min="13324" max="13324" width="14.42578125" style="819" customWidth="1"/>
    <col min="13325" max="13325" width="19.140625" style="819" customWidth="1"/>
    <col min="13326" max="13326" width="20.42578125" style="819" customWidth="1"/>
    <col min="13327" max="13327" width="18.140625" style="819" customWidth="1"/>
    <col min="13328" max="13328" width="14.5703125" style="819" customWidth="1"/>
    <col min="13329" max="13329" width="20.5703125" style="819" customWidth="1"/>
    <col min="13330" max="13330" width="14" style="819" customWidth="1"/>
    <col min="13331" max="13331" width="18.85546875" style="819" customWidth="1"/>
    <col min="13332" max="13332" width="57.28515625" style="819" customWidth="1"/>
    <col min="13333" max="13333" width="21.85546875" style="819" customWidth="1"/>
    <col min="13334" max="13334" width="24" style="819" customWidth="1"/>
    <col min="13335" max="13335" width="31.85546875" style="819" customWidth="1"/>
    <col min="13336" max="13336" width="27.140625" style="819" customWidth="1"/>
    <col min="13337" max="13337" width="18.85546875" style="819" customWidth="1"/>
    <col min="13338" max="13338" width="21.140625" style="819" customWidth="1"/>
    <col min="13339" max="13339" width="18.7109375" style="819" customWidth="1"/>
    <col min="13340" max="13340" width="21.140625" style="819" customWidth="1"/>
    <col min="13341" max="13341" width="0" style="819" hidden="1" customWidth="1"/>
    <col min="13342" max="13342" width="6.140625" style="819" customWidth="1"/>
    <col min="13343" max="13564" width="9.140625" style="819" customWidth="1"/>
    <col min="13565" max="13565" width="25.85546875" style="819" customWidth="1"/>
    <col min="13566" max="13566" width="10" style="819" customWidth="1"/>
    <col min="13567" max="13567" width="6.7109375" style="819"/>
    <col min="13568" max="13568" width="32.140625" style="819" customWidth="1"/>
    <col min="13569" max="13569" width="20" style="819" customWidth="1"/>
    <col min="13570" max="13570" width="18.140625" style="819" customWidth="1"/>
    <col min="13571" max="13571" width="16.5703125" style="819" customWidth="1"/>
    <col min="13572" max="13572" width="18.140625" style="819" customWidth="1"/>
    <col min="13573" max="13573" width="17.7109375" style="819" customWidth="1"/>
    <col min="13574" max="13574" width="11.42578125" style="819" customWidth="1"/>
    <col min="13575" max="13575" width="11" style="819" customWidth="1"/>
    <col min="13576" max="13578" width="14.42578125" style="819" customWidth="1"/>
    <col min="13579" max="13579" width="19.85546875" style="819" customWidth="1"/>
    <col min="13580" max="13580" width="14.42578125" style="819" customWidth="1"/>
    <col min="13581" max="13581" width="19.140625" style="819" customWidth="1"/>
    <col min="13582" max="13582" width="20.42578125" style="819" customWidth="1"/>
    <col min="13583" max="13583" width="18.140625" style="819" customWidth="1"/>
    <col min="13584" max="13584" width="14.5703125" style="819" customWidth="1"/>
    <col min="13585" max="13585" width="20.5703125" style="819" customWidth="1"/>
    <col min="13586" max="13586" width="14" style="819" customWidth="1"/>
    <col min="13587" max="13587" width="18.85546875" style="819" customWidth="1"/>
    <col min="13588" max="13588" width="57.28515625" style="819" customWidth="1"/>
    <col min="13589" max="13589" width="21.85546875" style="819" customWidth="1"/>
    <col min="13590" max="13590" width="24" style="819" customWidth="1"/>
    <col min="13591" max="13591" width="31.85546875" style="819" customWidth="1"/>
    <col min="13592" max="13592" width="27.140625" style="819" customWidth="1"/>
    <col min="13593" max="13593" width="18.85546875" style="819" customWidth="1"/>
    <col min="13594" max="13594" width="21.140625" style="819" customWidth="1"/>
    <col min="13595" max="13595" width="18.7109375" style="819" customWidth="1"/>
    <col min="13596" max="13596" width="21.140625" style="819" customWidth="1"/>
    <col min="13597" max="13597" width="0" style="819" hidden="1" customWidth="1"/>
    <col min="13598" max="13598" width="6.140625" style="819" customWidth="1"/>
    <col min="13599" max="13820" width="9.140625" style="819" customWidth="1"/>
    <col min="13821" max="13821" width="25.85546875" style="819" customWidth="1"/>
    <col min="13822" max="13822" width="10" style="819" customWidth="1"/>
    <col min="13823" max="13823" width="6.7109375" style="819"/>
    <col min="13824" max="13824" width="32.140625" style="819" customWidth="1"/>
    <col min="13825" max="13825" width="20" style="819" customWidth="1"/>
    <col min="13826" max="13826" width="18.140625" style="819" customWidth="1"/>
    <col min="13827" max="13827" width="16.5703125" style="819" customWidth="1"/>
    <col min="13828" max="13828" width="18.140625" style="819" customWidth="1"/>
    <col min="13829" max="13829" width="17.7109375" style="819" customWidth="1"/>
    <col min="13830" max="13830" width="11.42578125" style="819" customWidth="1"/>
    <col min="13831" max="13831" width="11" style="819" customWidth="1"/>
    <col min="13832" max="13834" width="14.42578125" style="819" customWidth="1"/>
    <col min="13835" max="13835" width="19.85546875" style="819" customWidth="1"/>
    <col min="13836" max="13836" width="14.42578125" style="819" customWidth="1"/>
    <col min="13837" max="13837" width="19.140625" style="819" customWidth="1"/>
    <col min="13838" max="13838" width="20.42578125" style="819" customWidth="1"/>
    <col min="13839" max="13839" width="18.140625" style="819" customWidth="1"/>
    <col min="13840" max="13840" width="14.5703125" style="819" customWidth="1"/>
    <col min="13841" max="13841" width="20.5703125" style="819" customWidth="1"/>
    <col min="13842" max="13842" width="14" style="819" customWidth="1"/>
    <col min="13843" max="13843" width="18.85546875" style="819" customWidth="1"/>
    <col min="13844" max="13844" width="57.28515625" style="819" customWidth="1"/>
    <col min="13845" max="13845" width="21.85546875" style="819" customWidth="1"/>
    <col min="13846" max="13846" width="24" style="819" customWidth="1"/>
    <col min="13847" max="13847" width="31.85546875" style="819" customWidth="1"/>
    <col min="13848" max="13848" width="27.140625" style="819" customWidth="1"/>
    <col min="13849" max="13849" width="18.85546875" style="819" customWidth="1"/>
    <col min="13850" max="13850" width="21.140625" style="819" customWidth="1"/>
    <col min="13851" max="13851" width="18.7109375" style="819" customWidth="1"/>
    <col min="13852" max="13852" width="21.140625" style="819" customWidth="1"/>
    <col min="13853" max="13853" width="0" style="819" hidden="1" customWidth="1"/>
    <col min="13854" max="13854" width="6.140625" style="819" customWidth="1"/>
    <col min="13855" max="14076" width="9.140625" style="819" customWidth="1"/>
    <col min="14077" max="14077" width="25.85546875" style="819" customWidth="1"/>
    <col min="14078" max="14078" width="10" style="819" customWidth="1"/>
    <col min="14079" max="14079" width="6.7109375" style="819"/>
    <col min="14080" max="14080" width="32.140625" style="819" customWidth="1"/>
    <col min="14081" max="14081" width="20" style="819" customWidth="1"/>
    <col min="14082" max="14082" width="18.140625" style="819" customWidth="1"/>
    <col min="14083" max="14083" width="16.5703125" style="819" customWidth="1"/>
    <col min="14084" max="14084" width="18.140625" style="819" customWidth="1"/>
    <col min="14085" max="14085" width="17.7109375" style="819" customWidth="1"/>
    <col min="14086" max="14086" width="11.42578125" style="819" customWidth="1"/>
    <col min="14087" max="14087" width="11" style="819" customWidth="1"/>
    <col min="14088" max="14090" width="14.42578125" style="819" customWidth="1"/>
    <col min="14091" max="14091" width="19.85546875" style="819" customWidth="1"/>
    <col min="14092" max="14092" width="14.42578125" style="819" customWidth="1"/>
    <col min="14093" max="14093" width="19.140625" style="819" customWidth="1"/>
    <col min="14094" max="14094" width="20.42578125" style="819" customWidth="1"/>
    <col min="14095" max="14095" width="18.140625" style="819" customWidth="1"/>
    <col min="14096" max="14096" width="14.5703125" style="819" customWidth="1"/>
    <col min="14097" max="14097" width="20.5703125" style="819" customWidth="1"/>
    <col min="14098" max="14098" width="14" style="819" customWidth="1"/>
    <col min="14099" max="14099" width="18.85546875" style="819" customWidth="1"/>
    <col min="14100" max="14100" width="57.28515625" style="819" customWidth="1"/>
    <col min="14101" max="14101" width="21.85546875" style="819" customWidth="1"/>
    <col min="14102" max="14102" width="24" style="819" customWidth="1"/>
    <col min="14103" max="14103" width="31.85546875" style="819" customWidth="1"/>
    <col min="14104" max="14104" width="27.140625" style="819" customWidth="1"/>
    <col min="14105" max="14105" width="18.85546875" style="819" customWidth="1"/>
    <col min="14106" max="14106" width="21.140625" style="819" customWidth="1"/>
    <col min="14107" max="14107" width="18.7109375" style="819" customWidth="1"/>
    <col min="14108" max="14108" width="21.140625" style="819" customWidth="1"/>
    <col min="14109" max="14109" width="0" style="819" hidden="1" customWidth="1"/>
    <col min="14110" max="14110" width="6.140625" style="819" customWidth="1"/>
    <col min="14111" max="14332" width="9.140625" style="819" customWidth="1"/>
    <col min="14333" max="14333" width="25.85546875" style="819" customWidth="1"/>
    <col min="14334" max="14334" width="10" style="819" customWidth="1"/>
    <col min="14335" max="14335" width="6.7109375" style="819"/>
    <col min="14336" max="14336" width="32.140625" style="819" customWidth="1"/>
    <col min="14337" max="14337" width="20" style="819" customWidth="1"/>
    <col min="14338" max="14338" width="18.140625" style="819" customWidth="1"/>
    <col min="14339" max="14339" width="16.5703125" style="819" customWidth="1"/>
    <col min="14340" max="14340" width="18.140625" style="819" customWidth="1"/>
    <col min="14341" max="14341" width="17.7109375" style="819" customWidth="1"/>
    <col min="14342" max="14342" width="11.42578125" style="819" customWidth="1"/>
    <col min="14343" max="14343" width="11" style="819" customWidth="1"/>
    <col min="14344" max="14346" width="14.42578125" style="819" customWidth="1"/>
    <col min="14347" max="14347" width="19.85546875" style="819" customWidth="1"/>
    <col min="14348" max="14348" width="14.42578125" style="819" customWidth="1"/>
    <col min="14349" max="14349" width="19.140625" style="819" customWidth="1"/>
    <col min="14350" max="14350" width="20.42578125" style="819" customWidth="1"/>
    <col min="14351" max="14351" width="18.140625" style="819" customWidth="1"/>
    <col min="14352" max="14352" width="14.5703125" style="819" customWidth="1"/>
    <col min="14353" max="14353" width="20.5703125" style="819" customWidth="1"/>
    <col min="14354" max="14354" width="14" style="819" customWidth="1"/>
    <col min="14355" max="14355" width="18.85546875" style="819" customWidth="1"/>
    <col min="14356" max="14356" width="57.28515625" style="819" customWidth="1"/>
    <col min="14357" max="14357" width="21.85546875" style="819" customWidth="1"/>
    <col min="14358" max="14358" width="24" style="819" customWidth="1"/>
    <col min="14359" max="14359" width="31.85546875" style="819" customWidth="1"/>
    <col min="14360" max="14360" width="27.140625" style="819" customWidth="1"/>
    <col min="14361" max="14361" width="18.85546875" style="819" customWidth="1"/>
    <col min="14362" max="14362" width="21.140625" style="819" customWidth="1"/>
    <col min="14363" max="14363" width="18.7109375" style="819" customWidth="1"/>
    <col min="14364" max="14364" width="21.140625" style="819" customWidth="1"/>
    <col min="14365" max="14365" width="0" style="819" hidden="1" customWidth="1"/>
    <col min="14366" max="14366" width="6.140625" style="819" customWidth="1"/>
    <col min="14367" max="14588" width="9.140625" style="819" customWidth="1"/>
    <col min="14589" max="14589" width="25.85546875" style="819" customWidth="1"/>
    <col min="14590" max="14590" width="10" style="819" customWidth="1"/>
    <col min="14591" max="14591" width="6.7109375" style="819"/>
    <col min="14592" max="14592" width="32.140625" style="819" customWidth="1"/>
    <col min="14593" max="14593" width="20" style="819" customWidth="1"/>
    <col min="14594" max="14594" width="18.140625" style="819" customWidth="1"/>
    <col min="14595" max="14595" width="16.5703125" style="819" customWidth="1"/>
    <col min="14596" max="14596" width="18.140625" style="819" customWidth="1"/>
    <col min="14597" max="14597" width="17.7109375" style="819" customWidth="1"/>
    <col min="14598" max="14598" width="11.42578125" style="819" customWidth="1"/>
    <col min="14599" max="14599" width="11" style="819" customWidth="1"/>
    <col min="14600" max="14602" width="14.42578125" style="819" customWidth="1"/>
    <col min="14603" max="14603" width="19.85546875" style="819" customWidth="1"/>
    <col min="14604" max="14604" width="14.42578125" style="819" customWidth="1"/>
    <col min="14605" max="14605" width="19.140625" style="819" customWidth="1"/>
    <col min="14606" max="14606" width="20.42578125" style="819" customWidth="1"/>
    <col min="14607" max="14607" width="18.140625" style="819" customWidth="1"/>
    <col min="14608" max="14608" width="14.5703125" style="819" customWidth="1"/>
    <col min="14609" max="14609" width="20.5703125" style="819" customWidth="1"/>
    <col min="14610" max="14610" width="14" style="819" customWidth="1"/>
    <col min="14611" max="14611" width="18.85546875" style="819" customWidth="1"/>
    <col min="14612" max="14612" width="57.28515625" style="819" customWidth="1"/>
    <col min="14613" max="14613" width="21.85546875" style="819" customWidth="1"/>
    <col min="14614" max="14614" width="24" style="819" customWidth="1"/>
    <col min="14615" max="14615" width="31.85546875" style="819" customWidth="1"/>
    <col min="14616" max="14616" width="27.140625" style="819" customWidth="1"/>
    <col min="14617" max="14617" width="18.85546875" style="819" customWidth="1"/>
    <col min="14618" max="14618" width="21.140625" style="819" customWidth="1"/>
    <col min="14619" max="14619" width="18.7109375" style="819" customWidth="1"/>
    <col min="14620" max="14620" width="21.140625" style="819" customWidth="1"/>
    <col min="14621" max="14621" width="0" style="819" hidden="1" customWidth="1"/>
    <col min="14622" max="14622" width="6.140625" style="819" customWidth="1"/>
    <col min="14623" max="14844" width="9.140625" style="819" customWidth="1"/>
    <col min="14845" max="14845" width="25.85546875" style="819" customWidth="1"/>
    <col min="14846" max="14846" width="10" style="819" customWidth="1"/>
    <col min="14847" max="14847" width="6.7109375" style="819"/>
    <col min="14848" max="14848" width="32.140625" style="819" customWidth="1"/>
    <col min="14849" max="14849" width="20" style="819" customWidth="1"/>
    <col min="14850" max="14850" width="18.140625" style="819" customWidth="1"/>
    <col min="14851" max="14851" width="16.5703125" style="819" customWidth="1"/>
    <col min="14852" max="14852" width="18.140625" style="819" customWidth="1"/>
    <col min="14853" max="14853" width="17.7109375" style="819" customWidth="1"/>
    <col min="14854" max="14854" width="11.42578125" style="819" customWidth="1"/>
    <col min="14855" max="14855" width="11" style="819" customWidth="1"/>
    <col min="14856" max="14858" width="14.42578125" style="819" customWidth="1"/>
    <col min="14859" max="14859" width="19.85546875" style="819" customWidth="1"/>
    <col min="14860" max="14860" width="14.42578125" style="819" customWidth="1"/>
    <col min="14861" max="14861" width="19.140625" style="819" customWidth="1"/>
    <col min="14862" max="14862" width="20.42578125" style="819" customWidth="1"/>
    <col min="14863" max="14863" width="18.140625" style="819" customWidth="1"/>
    <col min="14864" max="14864" width="14.5703125" style="819" customWidth="1"/>
    <col min="14865" max="14865" width="20.5703125" style="819" customWidth="1"/>
    <col min="14866" max="14866" width="14" style="819" customWidth="1"/>
    <col min="14867" max="14867" width="18.85546875" style="819" customWidth="1"/>
    <col min="14868" max="14868" width="57.28515625" style="819" customWidth="1"/>
    <col min="14869" max="14869" width="21.85546875" style="819" customWidth="1"/>
    <col min="14870" max="14870" width="24" style="819" customWidth="1"/>
    <col min="14871" max="14871" width="31.85546875" style="819" customWidth="1"/>
    <col min="14872" max="14872" width="27.140625" style="819" customWidth="1"/>
    <col min="14873" max="14873" width="18.85546875" style="819" customWidth="1"/>
    <col min="14874" max="14874" width="21.140625" style="819" customWidth="1"/>
    <col min="14875" max="14875" width="18.7109375" style="819" customWidth="1"/>
    <col min="14876" max="14876" width="21.140625" style="819" customWidth="1"/>
    <col min="14877" max="14877" width="0" style="819" hidden="1" customWidth="1"/>
    <col min="14878" max="14878" width="6.140625" style="819" customWidth="1"/>
    <col min="14879" max="15100" width="9.140625" style="819" customWidth="1"/>
    <col min="15101" max="15101" width="25.85546875" style="819" customWidth="1"/>
    <col min="15102" max="15102" width="10" style="819" customWidth="1"/>
    <col min="15103" max="15103" width="6.7109375" style="819"/>
    <col min="15104" max="15104" width="32.140625" style="819" customWidth="1"/>
    <col min="15105" max="15105" width="20" style="819" customWidth="1"/>
    <col min="15106" max="15106" width="18.140625" style="819" customWidth="1"/>
    <col min="15107" max="15107" width="16.5703125" style="819" customWidth="1"/>
    <col min="15108" max="15108" width="18.140625" style="819" customWidth="1"/>
    <col min="15109" max="15109" width="17.7109375" style="819" customWidth="1"/>
    <col min="15110" max="15110" width="11.42578125" style="819" customWidth="1"/>
    <col min="15111" max="15111" width="11" style="819" customWidth="1"/>
    <col min="15112" max="15114" width="14.42578125" style="819" customWidth="1"/>
    <col min="15115" max="15115" width="19.85546875" style="819" customWidth="1"/>
    <col min="15116" max="15116" width="14.42578125" style="819" customWidth="1"/>
    <col min="15117" max="15117" width="19.140625" style="819" customWidth="1"/>
    <col min="15118" max="15118" width="20.42578125" style="819" customWidth="1"/>
    <col min="15119" max="15119" width="18.140625" style="819" customWidth="1"/>
    <col min="15120" max="15120" width="14.5703125" style="819" customWidth="1"/>
    <col min="15121" max="15121" width="20.5703125" style="819" customWidth="1"/>
    <col min="15122" max="15122" width="14" style="819" customWidth="1"/>
    <col min="15123" max="15123" width="18.85546875" style="819" customWidth="1"/>
    <col min="15124" max="15124" width="57.28515625" style="819" customWidth="1"/>
    <col min="15125" max="15125" width="21.85546875" style="819" customWidth="1"/>
    <col min="15126" max="15126" width="24" style="819" customWidth="1"/>
    <col min="15127" max="15127" width="31.85546875" style="819" customWidth="1"/>
    <col min="15128" max="15128" width="27.140625" style="819" customWidth="1"/>
    <col min="15129" max="15129" width="18.85546875" style="819" customWidth="1"/>
    <col min="15130" max="15130" width="21.140625" style="819" customWidth="1"/>
    <col min="15131" max="15131" width="18.7109375" style="819" customWidth="1"/>
    <col min="15132" max="15132" width="21.140625" style="819" customWidth="1"/>
    <col min="15133" max="15133" width="0" style="819" hidden="1" customWidth="1"/>
    <col min="15134" max="15134" width="6.140625" style="819" customWidth="1"/>
    <col min="15135" max="15356" width="9.140625" style="819" customWidth="1"/>
    <col min="15357" max="15357" width="25.85546875" style="819" customWidth="1"/>
    <col min="15358" max="15358" width="10" style="819" customWidth="1"/>
    <col min="15359" max="15359" width="6.7109375" style="819"/>
    <col min="15360" max="15360" width="32.140625" style="819" customWidth="1"/>
    <col min="15361" max="15361" width="20" style="819" customWidth="1"/>
    <col min="15362" max="15362" width="18.140625" style="819" customWidth="1"/>
    <col min="15363" max="15363" width="16.5703125" style="819" customWidth="1"/>
    <col min="15364" max="15364" width="18.140625" style="819" customWidth="1"/>
    <col min="15365" max="15365" width="17.7109375" style="819" customWidth="1"/>
    <col min="15366" max="15366" width="11.42578125" style="819" customWidth="1"/>
    <col min="15367" max="15367" width="11" style="819" customWidth="1"/>
    <col min="15368" max="15370" width="14.42578125" style="819" customWidth="1"/>
    <col min="15371" max="15371" width="19.85546875" style="819" customWidth="1"/>
    <col min="15372" max="15372" width="14.42578125" style="819" customWidth="1"/>
    <col min="15373" max="15373" width="19.140625" style="819" customWidth="1"/>
    <col min="15374" max="15374" width="20.42578125" style="819" customWidth="1"/>
    <col min="15375" max="15375" width="18.140625" style="819" customWidth="1"/>
    <col min="15376" max="15376" width="14.5703125" style="819" customWidth="1"/>
    <col min="15377" max="15377" width="20.5703125" style="819" customWidth="1"/>
    <col min="15378" max="15378" width="14" style="819" customWidth="1"/>
    <col min="15379" max="15379" width="18.85546875" style="819" customWidth="1"/>
    <col min="15380" max="15380" width="57.28515625" style="819" customWidth="1"/>
    <col min="15381" max="15381" width="21.85546875" style="819" customWidth="1"/>
    <col min="15382" max="15382" width="24" style="819" customWidth="1"/>
    <col min="15383" max="15383" width="31.85546875" style="819" customWidth="1"/>
    <col min="15384" max="15384" width="27.140625" style="819" customWidth="1"/>
    <col min="15385" max="15385" width="18.85546875" style="819" customWidth="1"/>
    <col min="15386" max="15386" width="21.140625" style="819" customWidth="1"/>
    <col min="15387" max="15387" width="18.7109375" style="819" customWidth="1"/>
    <col min="15388" max="15388" width="21.140625" style="819" customWidth="1"/>
    <col min="15389" max="15389" width="0" style="819" hidden="1" customWidth="1"/>
    <col min="15390" max="15390" width="6.140625" style="819" customWidth="1"/>
    <col min="15391" max="15612" width="9.140625" style="819" customWidth="1"/>
    <col min="15613" max="15613" width="25.85546875" style="819" customWidth="1"/>
    <col min="15614" max="15614" width="10" style="819" customWidth="1"/>
    <col min="15615" max="15615" width="6.7109375" style="819"/>
    <col min="15616" max="15616" width="32.140625" style="819" customWidth="1"/>
    <col min="15617" max="15617" width="20" style="819" customWidth="1"/>
    <col min="15618" max="15618" width="18.140625" style="819" customWidth="1"/>
    <col min="15619" max="15619" width="16.5703125" style="819" customWidth="1"/>
    <col min="15620" max="15620" width="18.140625" style="819" customWidth="1"/>
    <col min="15621" max="15621" width="17.7109375" style="819" customWidth="1"/>
    <col min="15622" max="15622" width="11.42578125" style="819" customWidth="1"/>
    <col min="15623" max="15623" width="11" style="819" customWidth="1"/>
    <col min="15624" max="15626" width="14.42578125" style="819" customWidth="1"/>
    <col min="15627" max="15627" width="19.85546875" style="819" customWidth="1"/>
    <col min="15628" max="15628" width="14.42578125" style="819" customWidth="1"/>
    <col min="15629" max="15629" width="19.140625" style="819" customWidth="1"/>
    <col min="15630" max="15630" width="20.42578125" style="819" customWidth="1"/>
    <col min="15631" max="15631" width="18.140625" style="819" customWidth="1"/>
    <col min="15632" max="15632" width="14.5703125" style="819" customWidth="1"/>
    <col min="15633" max="15633" width="20.5703125" style="819" customWidth="1"/>
    <col min="15634" max="15634" width="14" style="819" customWidth="1"/>
    <col min="15635" max="15635" width="18.85546875" style="819" customWidth="1"/>
    <col min="15636" max="15636" width="57.28515625" style="819" customWidth="1"/>
    <col min="15637" max="15637" width="21.85546875" style="819" customWidth="1"/>
    <col min="15638" max="15638" width="24" style="819" customWidth="1"/>
    <col min="15639" max="15639" width="31.85546875" style="819" customWidth="1"/>
    <col min="15640" max="15640" width="27.140625" style="819" customWidth="1"/>
    <col min="15641" max="15641" width="18.85546875" style="819" customWidth="1"/>
    <col min="15642" max="15642" width="21.140625" style="819" customWidth="1"/>
    <col min="15643" max="15643" width="18.7109375" style="819" customWidth="1"/>
    <col min="15644" max="15644" width="21.140625" style="819" customWidth="1"/>
    <col min="15645" max="15645" width="0" style="819" hidden="1" customWidth="1"/>
    <col min="15646" max="15646" width="6.140625" style="819" customWidth="1"/>
    <col min="15647" max="15868" width="9.140625" style="819" customWidth="1"/>
    <col min="15869" max="15869" width="25.85546875" style="819" customWidth="1"/>
    <col min="15870" max="15870" width="10" style="819" customWidth="1"/>
    <col min="15871" max="15871" width="6.7109375" style="819"/>
    <col min="15872" max="15872" width="32.140625" style="819" customWidth="1"/>
    <col min="15873" max="15873" width="20" style="819" customWidth="1"/>
    <col min="15874" max="15874" width="18.140625" style="819" customWidth="1"/>
    <col min="15875" max="15875" width="16.5703125" style="819" customWidth="1"/>
    <col min="15876" max="15876" width="18.140625" style="819" customWidth="1"/>
    <col min="15877" max="15877" width="17.7109375" style="819" customWidth="1"/>
    <col min="15878" max="15878" width="11.42578125" style="819" customWidth="1"/>
    <col min="15879" max="15879" width="11" style="819" customWidth="1"/>
    <col min="15880" max="15882" width="14.42578125" style="819" customWidth="1"/>
    <col min="15883" max="15883" width="19.85546875" style="819" customWidth="1"/>
    <col min="15884" max="15884" width="14.42578125" style="819" customWidth="1"/>
    <col min="15885" max="15885" width="19.140625" style="819" customWidth="1"/>
    <col min="15886" max="15886" width="20.42578125" style="819" customWidth="1"/>
    <col min="15887" max="15887" width="18.140625" style="819" customWidth="1"/>
    <col min="15888" max="15888" width="14.5703125" style="819" customWidth="1"/>
    <col min="15889" max="15889" width="20.5703125" style="819" customWidth="1"/>
    <col min="15890" max="15890" width="14" style="819" customWidth="1"/>
    <col min="15891" max="15891" width="18.85546875" style="819" customWidth="1"/>
    <col min="15892" max="15892" width="57.28515625" style="819" customWidth="1"/>
    <col min="15893" max="15893" width="21.85546875" style="819" customWidth="1"/>
    <col min="15894" max="15894" width="24" style="819" customWidth="1"/>
    <col min="15895" max="15895" width="31.85546875" style="819" customWidth="1"/>
    <col min="15896" max="15896" width="27.140625" style="819" customWidth="1"/>
    <col min="15897" max="15897" width="18.85546875" style="819" customWidth="1"/>
    <col min="15898" max="15898" width="21.140625" style="819" customWidth="1"/>
    <col min="15899" max="15899" width="18.7109375" style="819" customWidth="1"/>
    <col min="15900" max="15900" width="21.140625" style="819" customWidth="1"/>
    <col min="15901" max="15901" width="0" style="819" hidden="1" customWidth="1"/>
    <col min="15902" max="15902" width="6.140625" style="819" customWidth="1"/>
    <col min="15903" max="16124" width="9.140625" style="819" customWidth="1"/>
    <col min="16125" max="16125" width="25.85546875" style="819" customWidth="1"/>
    <col min="16126" max="16126" width="10" style="819" customWidth="1"/>
    <col min="16127" max="16127" width="6.7109375" style="819"/>
    <col min="16128" max="16128" width="32.140625" style="819" customWidth="1"/>
    <col min="16129" max="16129" width="20" style="819" customWidth="1"/>
    <col min="16130" max="16130" width="18.140625" style="819" customWidth="1"/>
    <col min="16131" max="16131" width="16.5703125" style="819" customWidth="1"/>
    <col min="16132" max="16132" width="18.140625" style="819" customWidth="1"/>
    <col min="16133" max="16133" width="17.7109375" style="819" customWidth="1"/>
    <col min="16134" max="16134" width="11.42578125" style="819" customWidth="1"/>
    <col min="16135" max="16135" width="11" style="819" customWidth="1"/>
    <col min="16136" max="16138" width="14.42578125" style="819" customWidth="1"/>
    <col min="16139" max="16139" width="19.85546875" style="819" customWidth="1"/>
    <col min="16140" max="16140" width="14.42578125" style="819" customWidth="1"/>
    <col min="16141" max="16141" width="19.140625" style="819" customWidth="1"/>
    <col min="16142" max="16142" width="20.42578125" style="819" customWidth="1"/>
    <col min="16143" max="16143" width="18.140625" style="819" customWidth="1"/>
    <col min="16144" max="16144" width="14.5703125" style="819" customWidth="1"/>
    <col min="16145" max="16145" width="20.5703125" style="819" customWidth="1"/>
    <col min="16146" max="16146" width="14" style="819" customWidth="1"/>
    <col min="16147" max="16147" width="18.85546875" style="819" customWidth="1"/>
    <col min="16148" max="16148" width="57.28515625" style="819" customWidth="1"/>
    <col min="16149" max="16149" width="21.85546875" style="819" customWidth="1"/>
    <col min="16150" max="16150" width="24" style="819" customWidth="1"/>
    <col min="16151" max="16151" width="31.85546875" style="819" customWidth="1"/>
    <col min="16152" max="16152" width="27.140625" style="819" customWidth="1"/>
    <col min="16153" max="16153" width="18.85546875" style="819" customWidth="1"/>
    <col min="16154" max="16154" width="21.140625" style="819" customWidth="1"/>
    <col min="16155" max="16155" width="18.7109375" style="819" customWidth="1"/>
    <col min="16156" max="16156" width="21.140625" style="819" customWidth="1"/>
    <col min="16157" max="16157" width="0" style="819" hidden="1" customWidth="1"/>
    <col min="16158" max="16158" width="6.140625" style="819" customWidth="1"/>
    <col min="16159" max="16380" width="9.140625" style="819" customWidth="1"/>
    <col min="16381" max="16381" width="25.85546875" style="819" customWidth="1"/>
    <col min="16382" max="16382" width="10" style="819" customWidth="1"/>
    <col min="16383" max="16384" width="6.7109375" style="819"/>
  </cols>
  <sheetData>
    <row r="1" spans="1:29" ht="21.75" customHeight="1" thickBot="1" x14ac:dyDescent="0.25">
      <c r="A1" s="1422" t="s">
        <v>682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  <c r="S1" s="1422"/>
      <c r="T1" s="827" t="s">
        <v>626</v>
      </c>
      <c r="U1" s="1422" t="s">
        <v>674</v>
      </c>
      <c r="V1" s="1434"/>
      <c r="W1" s="1434"/>
      <c r="X1" s="1434"/>
      <c r="Y1" s="1434"/>
      <c r="Z1" s="1434"/>
      <c r="AA1" s="1434"/>
      <c r="AB1" s="1434"/>
      <c r="AC1" s="827" t="s">
        <v>626</v>
      </c>
    </row>
    <row r="2" spans="1:29" ht="15.75" x14ac:dyDescent="0.2">
      <c r="A2" s="1423" t="s">
        <v>627</v>
      </c>
      <c r="B2" s="1425" t="s">
        <v>628</v>
      </c>
      <c r="C2" s="828"/>
      <c r="D2" s="1425" t="s">
        <v>629</v>
      </c>
      <c r="E2" s="1425" t="s">
        <v>630</v>
      </c>
      <c r="F2" s="1425" t="s">
        <v>631</v>
      </c>
      <c r="G2" s="1425" t="s">
        <v>27</v>
      </c>
      <c r="H2" s="1425" t="s">
        <v>632</v>
      </c>
      <c r="I2" s="1425" t="s">
        <v>633</v>
      </c>
      <c r="J2" s="1425" t="s">
        <v>634</v>
      </c>
      <c r="K2" s="1425" t="s">
        <v>635</v>
      </c>
      <c r="L2" s="1425"/>
      <c r="M2" s="1425" t="s">
        <v>636</v>
      </c>
      <c r="N2" s="1425"/>
      <c r="O2" s="1425" t="s">
        <v>32</v>
      </c>
      <c r="P2" s="1425" t="s">
        <v>637</v>
      </c>
      <c r="Q2" s="1425"/>
      <c r="R2" s="828"/>
      <c r="S2" s="828"/>
      <c r="T2" s="1427" t="s">
        <v>638</v>
      </c>
      <c r="U2" s="1423" t="s">
        <v>627</v>
      </c>
      <c r="V2" s="1425" t="s">
        <v>628</v>
      </c>
      <c r="W2" s="828"/>
      <c r="X2" s="1435" t="s">
        <v>675</v>
      </c>
      <c r="Y2" s="1435"/>
      <c r="Z2" s="1435"/>
      <c r="AA2" s="1435" t="s">
        <v>676</v>
      </c>
      <c r="AB2" s="1435"/>
      <c r="AC2" s="1427" t="s">
        <v>677</v>
      </c>
    </row>
    <row r="3" spans="1:29" ht="33.75" customHeight="1" x14ac:dyDescent="0.2">
      <c r="A3" s="1424"/>
      <c r="B3" s="1426"/>
      <c r="C3" s="829"/>
      <c r="D3" s="1426"/>
      <c r="E3" s="1426"/>
      <c r="F3" s="1426"/>
      <c r="G3" s="1426"/>
      <c r="H3" s="1426"/>
      <c r="I3" s="1426"/>
      <c r="J3" s="1426"/>
      <c r="K3" s="829" t="s">
        <v>639</v>
      </c>
      <c r="L3" s="829" t="s">
        <v>640</v>
      </c>
      <c r="M3" s="829" t="s">
        <v>639</v>
      </c>
      <c r="N3" s="829" t="s">
        <v>640</v>
      </c>
      <c r="O3" s="1426"/>
      <c r="P3" s="829" t="s">
        <v>641</v>
      </c>
      <c r="Q3" s="829" t="s">
        <v>642</v>
      </c>
      <c r="R3" s="829" t="s">
        <v>643</v>
      </c>
      <c r="S3" s="829" t="s">
        <v>644</v>
      </c>
      <c r="T3" s="1428"/>
      <c r="U3" s="1424"/>
      <c r="V3" s="1426"/>
      <c r="W3" s="829"/>
      <c r="X3" s="829" t="s">
        <v>678</v>
      </c>
      <c r="Y3" s="829" t="s">
        <v>679</v>
      </c>
      <c r="Z3" s="829" t="s">
        <v>680</v>
      </c>
      <c r="AA3" s="829" t="s">
        <v>62</v>
      </c>
      <c r="AB3" s="829" t="s">
        <v>63</v>
      </c>
      <c r="AC3" s="1428"/>
    </row>
    <row r="4" spans="1:29" s="825" customFormat="1" ht="21.75" customHeight="1" x14ac:dyDescent="0.2">
      <c r="A4" s="1429" t="s">
        <v>645</v>
      </c>
      <c r="B4" s="1430" t="s">
        <v>646</v>
      </c>
      <c r="C4" s="830" t="s">
        <v>3</v>
      </c>
      <c r="D4" s="830"/>
      <c r="E4" s="831">
        <v>585</v>
      </c>
      <c r="F4" s="831"/>
      <c r="G4" s="831">
        <v>1500</v>
      </c>
      <c r="H4" s="831">
        <v>563</v>
      </c>
      <c r="I4" s="831"/>
      <c r="J4" s="831"/>
      <c r="K4" s="831">
        <v>0</v>
      </c>
      <c r="L4" s="831">
        <v>0</v>
      </c>
      <c r="M4" s="831">
        <v>0</v>
      </c>
      <c r="N4" s="831">
        <v>0</v>
      </c>
      <c r="O4" s="831">
        <v>0</v>
      </c>
      <c r="P4" s="831">
        <v>0</v>
      </c>
      <c r="Q4" s="831">
        <v>0</v>
      </c>
      <c r="R4" s="831">
        <v>91700</v>
      </c>
      <c r="S4" s="831">
        <v>2648</v>
      </c>
      <c r="T4" s="832">
        <v>94348</v>
      </c>
      <c r="U4" s="1429" t="s">
        <v>645</v>
      </c>
      <c r="V4" s="1430" t="s">
        <v>646</v>
      </c>
      <c r="W4" s="830" t="s">
        <v>3</v>
      </c>
      <c r="X4" s="831">
        <v>66512</v>
      </c>
      <c r="Y4" s="831">
        <v>14546</v>
      </c>
      <c r="Z4" s="831">
        <v>12407</v>
      </c>
      <c r="AA4" s="831">
        <v>883</v>
      </c>
      <c r="AB4" s="831">
        <v>0</v>
      </c>
      <c r="AC4" s="832">
        <v>94348</v>
      </c>
    </row>
    <row r="5" spans="1:29" s="825" customFormat="1" ht="21.75" customHeight="1" x14ac:dyDescent="0.2">
      <c r="A5" s="1429"/>
      <c r="B5" s="1430"/>
      <c r="C5" s="830" t="s">
        <v>567</v>
      </c>
      <c r="D5" s="830"/>
      <c r="E5" s="831">
        <v>585</v>
      </c>
      <c r="F5" s="831"/>
      <c r="G5" s="831">
        <v>1500</v>
      </c>
      <c r="H5" s="831">
        <v>563</v>
      </c>
      <c r="I5" s="831"/>
      <c r="J5" s="831"/>
      <c r="K5" s="831"/>
      <c r="L5" s="831"/>
      <c r="M5" s="831"/>
      <c r="N5" s="831"/>
      <c r="O5" s="831"/>
      <c r="P5" s="831"/>
      <c r="Q5" s="831"/>
      <c r="R5" s="831">
        <f>AC5-S5</f>
        <v>94795</v>
      </c>
      <c r="S5" s="831">
        <f>E5+G5+H5</f>
        <v>2648</v>
      </c>
      <c r="T5" s="832">
        <f>SUM(R5:S5)</f>
        <v>97443</v>
      </c>
      <c r="U5" s="1429"/>
      <c r="V5" s="1430"/>
      <c r="W5" s="830" t="s">
        <v>567</v>
      </c>
      <c r="X5" s="831">
        <f>66512+47+708+50+1241</f>
        <v>68558</v>
      </c>
      <c r="Y5" s="831">
        <f>14546+9+156+11+273</f>
        <v>14995</v>
      </c>
      <c r="Z5" s="831">
        <f>12407+600</f>
        <v>13007</v>
      </c>
      <c r="AA5" s="831">
        <v>883</v>
      </c>
      <c r="AB5" s="831"/>
      <c r="AC5" s="832">
        <f>SUM(X5:AB5)</f>
        <v>97443</v>
      </c>
    </row>
    <row r="6" spans="1:29" s="825" customFormat="1" ht="21.75" customHeight="1" x14ac:dyDescent="0.2">
      <c r="A6" s="1429"/>
      <c r="B6" s="1430"/>
      <c r="C6" s="830" t="s">
        <v>619</v>
      </c>
      <c r="D6" s="830"/>
      <c r="E6" s="831">
        <v>585</v>
      </c>
      <c r="F6" s="831"/>
      <c r="G6" s="831">
        <v>1500</v>
      </c>
      <c r="H6" s="831">
        <v>563</v>
      </c>
      <c r="I6" s="831"/>
      <c r="J6" s="831"/>
      <c r="K6" s="831"/>
      <c r="L6" s="831"/>
      <c r="M6" s="831"/>
      <c r="N6" s="831"/>
      <c r="O6" s="831">
        <v>11</v>
      </c>
      <c r="P6" s="831"/>
      <c r="Q6" s="831">
        <v>28</v>
      </c>
      <c r="R6" s="831">
        <f>AC6-S6</f>
        <v>96399</v>
      </c>
      <c r="S6" s="831">
        <f>E6+G6+H6+O6+D6+F6+I6+J6+K6+L6+M6+N6+Q6</f>
        <v>2687</v>
      </c>
      <c r="T6" s="832">
        <f>SUM(R6:S6)</f>
        <v>99086</v>
      </c>
      <c r="U6" s="1429"/>
      <c r="V6" s="1430"/>
      <c r="W6" s="830" t="s">
        <v>619</v>
      </c>
      <c r="X6" s="831">
        <f>66512+47+708+50+1241+80</f>
        <v>68638</v>
      </c>
      <c r="Y6" s="831">
        <f>14546+9+156+11+273+17</f>
        <v>15012</v>
      </c>
      <c r="Z6" s="831">
        <f>12407+600+190+28+800+293</f>
        <v>14318</v>
      </c>
      <c r="AA6" s="831">
        <f>883+11+224</f>
        <v>1118</v>
      </c>
      <c r="AB6" s="831"/>
      <c r="AC6" s="832">
        <f>SUM(X6:AB6)</f>
        <v>99086</v>
      </c>
    </row>
    <row r="7" spans="1:29" s="825" customFormat="1" ht="21.75" customHeight="1" x14ac:dyDescent="0.2">
      <c r="A7" s="1429" t="s">
        <v>647</v>
      </c>
      <c r="B7" s="1430" t="s">
        <v>646</v>
      </c>
      <c r="C7" s="830" t="s">
        <v>3</v>
      </c>
      <c r="D7" s="830"/>
      <c r="E7" s="831">
        <v>48</v>
      </c>
      <c r="F7" s="831"/>
      <c r="G7" s="831">
        <v>302</v>
      </c>
      <c r="H7" s="831">
        <v>95</v>
      </c>
      <c r="I7" s="831"/>
      <c r="J7" s="831"/>
      <c r="K7" s="831">
        <v>0</v>
      </c>
      <c r="L7" s="831">
        <v>0</v>
      </c>
      <c r="M7" s="831">
        <v>0</v>
      </c>
      <c r="N7" s="831">
        <v>0</v>
      </c>
      <c r="O7" s="831">
        <v>0</v>
      </c>
      <c r="P7" s="831">
        <v>0</v>
      </c>
      <c r="Q7" s="831">
        <v>0</v>
      </c>
      <c r="R7" s="831">
        <v>32521</v>
      </c>
      <c r="S7" s="831">
        <v>445</v>
      </c>
      <c r="T7" s="832">
        <v>32966</v>
      </c>
      <c r="U7" s="1429" t="s">
        <v>647</v>
      </c>
      <c r="V7" s="1430" t="s">
        <v>646</v>
      </c>
      <c r="W7" s="830" t="s">
        <v>3</v>
      </c>
      <c r="X7" s="831">
        <v>22022</v>
      </c>
      <c r="Y7" s="831">
        <v>4795</v>
      </c>
      <c r="Z7" s="831">
        <v>5649</v>
      </c>
      <c r="AA7" s="831">
        <v>0</v>
      </c>
      <c r="AB7" s="831">
        <v>500</v>
      </c>
      <c r="AC7" s="832">
        <v>32966</v>
      </c>
    </row>
    <row r="8" spans="1:29" s="825" customFormat="1" ht="21.75" customHeight="1" x14ac:dyDescent="0.2">
      <c r="A8" s="1429"/>
      <c r="B8" s="1430"/>
      <c r="C8" s="830" t="s">
        <v>567</v>
      </c>
      <c r="D8" s="830"/>
      <c r="E8" s="831">
        <v>48</v>
      </c>
      <c r="F8" s="831"/>
      <c r="G8" s="831">
        <v>302</v>
      </c>
      <c r="H8" s="831">
        <v>95</v>
      </c>
      <c r="I8" s="831"/>
      <c r="J8" s="831"/>
      <c r="K8" s="831"/>
      <c r="L8" s="831"/>
      <c r="M8" s="831"/>
      <c r="N8" s="831"/>
      <c r="O8" s="831"/>
      <c r="P8" s="831"/>
      <c r="Q8" s="831"/>
      <c r="R8" s="831">
        <f>AC8-S8</f>
        <v>33760</v>
      </c>
      <c r="S8" s="831">
        <f>E8+G8+H8</f>
        <v>445</v>
      </c>
      <c r="T8" s="832">
        <f>SUM(R8:S8)</f>
        <v>34205</v>
      </c>
      <c r="U8" s="1429"/>
      <c r="V8" s="1430"/>
      <c r="W8" s="830" t="s">
        <v>567</v>
      </c>
      <c r="X8" s="831">
        <f>22022+581</f>
        <v>22603</v>
      </c>
      <c r="Y8" s="831">
        <f>4795+128</f>
        <v>4923</v>
      </c>
      <c r="Z8" s="831">
        <f>5649+530</f>
        <v>6179</v>
      </c>
      <c r="AA8" s="831">
        <v>0</v>
      </c>
      <c r="AB8" s="831">
        <v>500</v>
      </c>
      <c r="AC8" s="832">
        <f>SUM(X8:AB8)</f>
        <v>34205</v>
      </c>
    </row>
    <row r="9" spans="1:29" s="825" customFormat="1" ht="21.75" customHeight="1" x14ac:dyDescent="0.2">
      <c r="A9" s="1429"/>
      <c r="B9" s="1430"/>
      <c r="C9" s="830" t="s">
        <v>619</v>
      </c>
      <c r="D9" s="830"/>
      <c r="E9" s="831">
        <v>48</v>
      </c>
      <c r="F9" s="831"/>
      <c r="G9" s="831">
        <v>302</v>
      </c>
      <c r="H9" s="831">
        <v>95</v>
      </c>
      <c r="I9" s="831"/>
      <c r="J9" s="831"/>
      <c r="K9" s="831"/>
      <c r="L9" s="831"/>
      <c r="M9" s="831"/>
      <c r="N9" s="831"/>
      <c r="O9" s="831"/>
      <c r="P9" s="831"/>
      <c r="Q9" s="831"/>
      <c r="R9" s="831">
        <f>AC9-S9</f>
        <v>34884</v>
      </c>
      <c r="S9" s="831">
        <f>E9+G9+H9+O9+D9+F9+I9+J9+K9+L9+M9+N9+Q9</f>
        <v>445</v>
      </c>
      <c r="T9" s="832">
        <f>SUM(R9:S9)</f>
        <v>35329</v>
      </c>
      <c r="U9" s="1429"/>
      <c r="V9" s="1430"/>
      <c r="W9" s="830" t="s">
        <v>619</v>
      </c>
      <c r="X9" s="831">
        <f>22022+581</f>
        <v>22603</v>
      </c>
      <c r="Y9" s="831">
        <f>4795+128</f>
        <v>4923</v>
      </c>
      <c r="Z9" s="831">
        <f>5649+530+100+807+117</f>
        <v>7203</v>
      </c>
      <c r="AA9" s="831">
        <v>100</v>
      </c>
      <c r="AB9" s="831">
        <v>500</v>
      </c>
      <c r="AC9" s="832">
        <f>SUM(X9:AB9)</f>
        <v>35329</v>
      </c>
    </row>
    <row r="10" spans="1:29" s="825" customFormat="1" ht="21.75" customHeight="1" x14ac:dyDescent="0.2">
      <c r="A10" s="1429" t="s">
        <v>648</v>
      </c>
      <c r="B10" s="1430" t="s">
        <v>646</v>
      </c>
      <c r="C10" s="830" t="s">
        <v>3</v>
      </c>
      <c r="D10" s="830"/>
      <c r="E10" s="831">
        <v>324</v>
      </c>
      <c r="F10" s="831"/>
      <c r="G10" s="831">
        <v>1774</v>
      </c>
      <c r="H10" s="831">
        <v>566</v>
      </c>
      <c r="I10" s="831"/>
      <c r="J10" s="831"/>
      <c r="K10" s="831">
        <v>0</v>
      </c>
      <c r="L10" s="831">
        <v>0</v>
      </c>
      <c r="M10" s="831">
        <v>0</v>
      </c>
      <c r="N10" s="831">
        <v>0</v>
      </c>
      <c r="O10" s="831">
        <v>0</v>
      </c>
      <c r="P10" s="831">
        <v>0</v>
      </c>
      <c r="Q10" s="831">
        <v>0</v>
      </c>
      <c r="R10" s="831">
        <v>75364</v>
      </c>
      <c r="S10" s="831">
        <v>2664</v>
      </c>
      <c r="T10" s="832">
        <v>78028</v>
      </c>
      <c r="U10" s="1429" t="s">
        <v>648</v>
      </c>
      <c r="V10" s="1430" t="s">
        <v>646</v>
      </c>
      <c r="W10" s="830" t="s">
        <v>3</v>
      </c>
      <c r="X10" s="831">
        <v>55004</v>
      </c>
      <c r="Y10" s="831">
        <v>12019</v>
      </c>
      <c r="Z10" s="831">
        <v>10405</v>
      </c>
      <c r="AA10" s="831">
        <v>0</v>
      </c>
      <c r="AB10" s="831">
        <v>600</v>
      </c>
      <c r="AC10" s="832">
        <v>78028</v>
      </c>
    </row>
    <row r="11" spans="1:29" s="825" customFormat="1" ht="21.75" customHeight="1" x14ac:dyDescent="0.2">
      <c r="A11" s="1429"/>
      <c r="B11" s="1430"/>
      <c r="C11" s="830" t="s">
        <v>567</v>
      </c>
      <c r="D11" s="830"/>
      <c r="E11" s="831">
        <v>324</v>
      </c>
      <c r="F11" s="831"/>
      <c r="G11" s="831">
        <v>1774</v>
      </c>
      <c r="H11" s="831">
        <v>566</v>
      </c>
      <c r="I11" s="831"/>
      <c r="J11" s="831"/>
      <c r="K11" s="831"/>
      <c r="L11" s="831"/>
      <c r="M11" s="831"/>
      <c r="N11" s="831"/>
      <c r="O11" s="831"/>
      <c r="P11" s="831"/>
      <c r="Q11" s="831"/>
      <c r="R11" s="831">
        <f>AC11-S11</f>
        <v>77759</v>
      </c>
      <c r="S11" s="831">
        <f>E11+G11+H11</f>
        <v>2664</v>
      </c>
      <c r="T11" s="832">
        <f>SUM(R11:S11)</f>
        <v>80423</v>
      </c>
      <c r="U11" s="1429"/>
      <c r="V11" s="1430"/>
      <c r="W11" s="830" t="s">
        <v>567</v>
      </c>
      <c r="X11" s="831">
        <f>55004+158+1162</f>
        <v>56324</v>
      </c>
      <c r="Y11" s="831">
        <f>12019+19+256</f>
        <v>12294</v>
      </c>
      <c r="Z11" s="831">
        <f>10405+800-200</f>
        <v>11005</v>
      </c>
      <c r="AA11" s="831">
        <v>200</v>
      </c>
      <c r="AB11" s="831">
        <v>600</v>
      </c>
      <c r="AC11" s="832">
        <f>SUM(X11:AB11)</f>
        <v>80423</v>
      </c>
    </row>
    <row r="12" spans="1:29" s="825" customFormat="1" ht="21.75" customHeight="1" x14ac:dyDescent="0.2">
      <c r="A12" s="1429"/>
      <c r="B12" s="1430"/>
      <c r="C12" s="830" t="s">
        <v>619</v>
      </c>
      <c r="D12" s="830"/>
      <c r="E12" s="831">
        <v>324</v>
      </c>
      <c r="F12" s="831"/>
      <c r="G12" s="831">
        <v>1774</v>
      </c>
      <c r="H12" s="831">
        <v>566</v>
      </c>
      <c r="I12" s="831"/>
      <c r="J12" s="831"/>
      <c r="K12" s="831"/>
      <c r="L12" s="831"/>
      <c r="M12" s="831"/>
      <c r="N12" s="831"/>
      <c r="O12" s="831"/>
      <c r="P12" s="831"/>
      <c r="Q12" s="831"/>
      <c r="R12" s="831">
        <f>AC12-S12</f>
        <v>79609</v>
      </c>
      <c r="S12" s="831">
        <f>E12+G12+H12+O12+D12+F12+I12+J12+K12+L12+M12+N12+Q12</f>
        <v>2664</v>
      </c>
      <c r="T12" s="832">
        <f>SUM(R12:S12)</f>
        <v>82273</v>
      </c>
      <c r="U12" s="1429"/>
      <c r="V12" s="1430"/>
      <c r="W12" s="830" t="s">
        <v>619</v>
      </c>
      <c r="X12" s="831">
        <f>55004+158+1162+249</f>
        <v>56573</v>
      </c>
      <c r="Y12" s="831">
        <f>12019+19+256+55</f>
        <v>12349</v>
      </c>
      <c r="Z12" s="831">
        <f>10405+800-200+1296+249+1</f>
        <v>12551</v>
      </c>
      <c r="AA12" s="831">
        <v>200</v>
      </c>
      <c r="AB12" s="831">
        <v>600</v>
      </c>
      <c r="AC12" s="832">
        <f>SUM(X12:AB12)</f>
        <v>82273</v>
      </c>
    </row>
    <row r="13" spans="1:29" s="825" customFormat="1" ht="21.75" customHeight="1" x14ac:dyDescent="0.2">
      <c r="A13" s="1429" t="s">
        <v>649</v>
      </c>
      <c r="B13" s="1430" t="s">
        <v>646</v>
      </c>
      <c r="C13" s="830" t="s">
        <v>3</v>
      </c>
      <c r="D13" s="830"/>
      <c r="E13" s="831">
        <v>1602</v>
      </c>
      <c r="F13" s="831"/>
      <c r="G13" s="831">
        <v>2466</v>
      </c>
      <c r="H13" s="831">
        <v>1098</v>
      </c>
      <c r="I13" s="831"/>
      <c r="J13" s="831"/>
      <c r="K13" s="831">
        <v>0</v>
      </c>
      <c r="L13" s="831">
        <v>0</v>
      </c>
      <c r="M13" s="831">
        <v>0</v>
      </c>
      <c r="N13" s="831">
        <v>0</v>
      </c>
      <c r="O13" s="831">
        <v>0</v>
      </c>
      <c r="P13" s="831">
        <v>0</v>
      </c>
      <c r="Q13" s="831">
        <v>0</v>
      </c>
      <c r="R13" s="831">
        <v>100991</v>
      </c>
      <c r="S13" s="831">
        <v>5166</v>
      </c>
      <c r="T13" s="832">
        <v>106157</v>
      </c>
      <c r="U13" s="1429" t="s">
        <v>649</v>
      </c>
      <c r="V13" s="1430" t="s">
        <v>646</v>
      </c>
      <c r="W13" s="830" t="s">
        <v>3</v>
      </c>
      <c r="X13" s="831">
        <v>71459</v>
      </c>
      <c r="Y13" s="831">
        <v>15372</v>
      </c>
      <c r="Z13" s="831">
        <v>17849</v>
      </c>
      <c r="AA13" s="831">
        <v>800</v>
      </c>
      <c r="AB13" s="831">
        <v>677</v>
      </c>
      <c r="AC13" s="832">
        <v>106157</v>
      </c>
    </row>
    <row r="14" spans="1:29" s="825" customFormat="1" ht="21.75" customHeight="1" x14ac:dyDescent="0.2">
      <c r="A14" s="1429"/>
      <c r="B14" s="1430"/>
      <c r="C14" s="830" t="s">
        <v>567</v>
      </c>
      <c r="D14" s="830"/>
      <c r="E14" s="831">
        <v>1602</v>
      </c>
      <c r="F14" s="831">
        <v>1298</v>
      </c>
      <c r="G14" s="831">
        <v>2466</v>
      </c>
      <c r="H14" s="831">
        <v>1098</v>
      </c>
      <c r="I14" s="831"/>
      <c r="J14" s="831"/>
      <c r="K14" s="831"/>
      <c r="L14" s="831"/>
      <c r="M14" s="831"/>
      <c r="N14" s="831"/>
      <c r="O14" s="831"/>
      <c r="P14" s="831"/>
      <c r="Q14" s="831"/>
      <c r="R14" s="831">
        <f>AC14-S14</f>
        <v>104049</v>
      </c>
      <c r="S14" s="831">
        <f>E14+F14+G14+H14</f>
        <v>6464</v>
      </c>
      <c r="T14" s="832">
        <f>SUM(R14:S14)</f>
        <v>110513</v>
      </c>
      <c r="U14" s="1429"/>
      <c r="V14" s="1430"/>
      <c r="W14" s="830" t="s">
        <v>567</v>
      </c>
      <c r="X14" s="831">
        <f>71459+13+1354</f>
        <v>72826</v>
      </c>
      <c r="Y14" s="831">
        <f>15372+3+298</f>
        <v>15673</v>
      </c>
      <c r="Z14" s="831">
        <f>17849+1298+1390</f>
        <v>20537</v>
      </c>
      <c r="AA14" s="831">
        <v>800</v>
      </c>
      <c r="AB14" s="831">
        <v>677</v>
      </c>
      <c r="AC14" s="832">
        <f>SUM(X14:AB14)</f>
        <v>110513</v>
      </c>
    </row>
    <row r="15" spans="1:29" s="825" customFormat="1" ht="21.75" customHeight="1" x14ac:dyDescent="0.2">
      <c r="A15" s="1429"/>
      <c r="B15" s="1430"/>
      <c r="C15" s="830" t="s">
        <v>619</v>
      </c>
      <c r="D15" s="830"/>
      <c r="E15" s="831">
        <v>1602</v>
      </c>
      <c r="F15" s="831">
        <v>1298</v>
      </c>
      <c r="G15" s="831">
        <v>2466</v>
      </c>
      <c r="H15" s="831">
        <v>1098</v>
      </c>
      <c r="I15" s="831"/>
      <c r="J15" s="831"/>
      <c r="K15" s="831"/>
      <c r="L15" s="831"/>
      <c r="M15" s="831"/>
      <c r="N15" s="831"/>
      <c r="O15" s="831"/>
      <c r="P15" s="831"/>
      <c r="Q15" s="831">
        <v>296</v>
      </c>
      <c r="R15" s="831">
        <f>AC15-S15</f>
        <v>106499</v>
      </c>
      <c r="S15" s="831">
        <f>E15+G15+H15+O15+D15+F15+I15+J15+K15+L15+M15+N15+Q15</f>
        <v>6760</v>
      </c>
      <c r="T15" s="832">
        <f>SUM(R15:S15)</f>
        <v>113259</v>
      </c>
      <c r="U15" s="1429"/>
      <c r="V15" s="1430"/>
      <c r="W15" s="830" t="s">
        <v>619</v>
      </c>
      <c r="X15" s="831">
        <f>71459+13+1354+13</f>
        <v>72839</v>
      </c>
      <c r="Y15" s="831">
        <f>15372+3+298+3</f>
        <v>15676</v>
      </c>
      <c r="Z15" s="831">
        <f>17849+1298+1390+110+296+2002+322</f>
        <v>23267</v>
      </c>
      <c r="AA15" s="831">
        <v>800</v>
      </c>
      <c r="AB15" s="831">
        <v>677</v>
      </c>
      <c r="AC15" s="832">
        <f>SUM(X15:AB15)</f>
        <v>113259</v>
      </c>
    </row>
    <row r="16" spans="1:29" s="825" customFormat="1" ht="21.75" customHeight="1" x14ac:dyDescent="0.2">
      <c r="A16" s="1429" t="s">
        <v>650</v>
      </c>
      <c r="B16" s="1430" t="s">
        <v>646</v>
      </c>
      <c r="C16" s="830" t="s">
        <v>3</v>
      </c>
      <c r="D16" s="831">
        <v>0</v>
      </c>
      <c r="E16" s="831">
        <v>293</v>
      </c>
      <c r="F16" s="831"/>
      <c r="G16" s="831">
        <v>1433</v>
      </c>
      <c r="H16" s="831">
        <v>466</v>
      </c>
      <c r="I16" s="831"/>
      <c r="J16" s="831"/>
      <c r="K16" s="831">
        <v>0</v>
      </c>
      <c r="L16" s="831">
        <v>0</v>
      </c>
      <c r="M16" s="831">
        <v>0</v>
      </c>
      <c r="N16" s="831">
        <v>0</v>
      </c>
      <c r="O16" s="831">
        <v>0</v>
      </c>
      <c r="P16" s="831">
        <v>0</v>
      </c>
      <c r="Q16" s="831">
        <v>0</v>
      </c>
      <c r="R16" s="831">
        <v>58566</v>
      </c>
      <c r="S16" s="831">
        <v>2192</v>
      </c>
      <c r="T16" s="832">
        <v>60758</v>
      </c>
      <c r="U16" s="1429" t="s">
        <v>650</v>
      </c>
      <c r="V16" s="1430" t="s">
        <v>646</v>
      </c>
      <c r="W16" s="830" t="s">
        <v>3</v>
      </c>
      <c r="X16" s="831">
        <v>39074</v>
      </c>
      <c r="Y16" s="831">
        <v>8461</v>
      </c>
      <c r="Z16" s="831">
        <v>8828</v>
      </c>
      <c r="AA16" s="831">
        <v>2595</v>
      </c>
      <c r="AB16" s="831">
        <v>1800</v>
      </c>
      <c r="AC16" s="832">
        <v>60758</v>
      </c>
    </row>
    <row r="17" spans="1:29" s="825" customFormat="1" ht="21.75" customHeight="1" x14ac:dyDescent="0.2">
      <c r="A17" s="1429"/>
      <c r="B17" s="1430"/>
      <c r="C17" s="830" t="s">
        <v>567</v>
      </c>
      <c r="D17" s="831"/>
      <c r="E17" s="831">
        <v>293</v>
      </c>
      <c r="F17" s="831"/>
      <c r="G17" s="831">
        <v>1433</v>
      </c>
      <c r="H17" s="831">
        <v>466</v>
      </c>
      <c r="I17" s="831"/>
      <c r="J17" s="831"/>
      <c r="K17" s="831"/>
      <c r="L17" s="831"/>
      <c r="M17" s="831"/>
      <c r="N17" s="831"/>
      <c r="O17" s="831"/>
      <c r="P17" s="831"/>
      <c r="Q17" s="831"/>
      <c r="R17" s="831">
        <f>AC17-S17</f>
        <v>60860</v>
      </c>
      <c r="S17" s="831">
        <f>E17+G17+H17</f>
        <v>2192</v>
      </c>
      <c r="T17" s="832">
        <f>SUM(R17:S17)</f>
        <v>63052</v>
      </c>
      <c r="U17" s="1429"/>
      <c r="V17" s="1430"/>
      <c r="W17" s="830" t="s">
        <v>567</v>
      </c>
      <c r="X17" s="831">
        <f>39074+51+774</f>
        <v>39899</v>
      </c>
      <c r="Y17" s="831">
        <f>8461+9+170</f>
        <v>8640</v>
      </c>
      <c r="Z17" s="831">
        <f>8828+1290</f>
        <v>10118</v>
      </c>
      <c r="AA17" s="831">
        <v>2595</v>
      </c>
      <c r="AB17" s="831">
        <v>1800</v>
      </c>
      <c r="AC17" s="832">
        <f>SUM(X17:AB17)</f>
        <v>63052</v>
      </c>
    </row>
    <row r="18" spans="1:29" s="825" customFormat="1" ht="21.75" customHeight="1" x14ac:dyDescent="0.2">
      <c r="A18" s="1429"/>
      <c r="B18" s="1430"/>
      <c r="C18" s="830" t="s">
        <v>619</v>
      </c>
      <c r="D18" s="831"/>
      <c r="E18" s="831">
        <f>293+315</f>
        <v>608</v>
      </c>
      <c r="F18" s="831"/>
      <c r="G18" s="831">
        <v>1433</v>
      </c>
      <c r="H18" s="831">
        <v>466</v>
      </c>
      <c r="I18" s="831"/>
      <c r="J18" s="831">
        <v>120</v>
      </c>
      <c r="K18" s="831"/>
      <c r="L18" s="831"/>
      <c r="M18" s="831"/>
      <c r="N18" s="831"/>
      <c r="O18" s="831"/>
      <c r="P18" s="831"/>
      <c r="Q18" s="831">
        <v>33</v>
      </c>
      <c r="R18" s="831">
        <f>AC18-S18</f>
        <v>62861</v>
      </c>
      <c r="S18" s="831">
        <f>E18+G18+H18+O18+D18+F18+I18+J18+K18+L18+M18+N18+Q18</f>
        <v>2660</v>
      </c>
      <c r="T18" s="832">
        <f>SUM(R18:S18)</f>
        <v>65521</v>
      </c>
      <c r="U18" s="1429"/>
      <c r="V18" s="1430"/>
      <c r="W18" s="830" t="s">
        <v>619</v>
      </c>
      <c r="X18" s="831">
        <f>39074+51+774+79</f>
        <v>39978</v>
      </c>
      <c r="Y18" s="831">
        <f>8461+9+170+18</f>
        <v>8658</v>
      </c>
      <c r="Z18" s="831">
        <f>8828+1290+435+33+78+1650+176</f>
        <v>12490</v>
      </c>
      <c r="AA18" s="831">
        <v>2595</v>
      </c>
      <c r="AB18" s="831">
        <v>1800</v>
      </c>
      <c r="AC18" s="832">
        <f>SUM(X18:AB18)</f>
        <v>65521</v>
      </c>
    </row>
    <row r="19" spans="1:29" s="825" customFormat="1" ht="21.75" customHeight="1" x14ac:dyDescent="0.2">
      <c r="A19" s="1429" t="s">
        <v>651</v>
      </c>
      <c r="B19" s="1430" t="s">
        <v>646</v>
      </c>
      <c r="C19" s="830" t="s">
        <v>3</v>
      </c>
      <c r="D19" s="830"/>
      <c r="E19" s="831">
        <v>110</v>
      </c>
      <c r="F19" s="831"/>
      <c r="G19" s="831">
        <v>1933</v>
      </c>
      <c r="H19" s="831">
        <v>852</v>
      </c>
      <c r="I19" s="831"/>
      <c r="J19" s="831"/>
      <c r="K19" s="831">
        <v>0</v>
      </c>
      <c r="L19" s="831">
        <v>0</v>
      </c>
      <c r="M19" s="831">
        <v>0</v>
      </c>
      <c r="N19" s="831">
        <v>0</v>
      </c>
      <c r="O19" s="831">
        <v>0</v>
      </c>
      <c r="P19" s="831">
        <v>0</v>
      </c>
      <c r="Q19" s="831">
        <v>0</v>
      </c>
      <c r="R19" s="831">
        <v>82626</v>
      </c>
      <c r="S19" s="831">
        <v>2895</v>
      </c>
      <c r="T19" s="832">
        <v>85521</v>
      </c>
      <c r="U19" s="1429" t="s">
        <v>651</v>
      </c>
      <c r="V19" s="1430" t="s">
        <v>646</v>
      </c>
      <c r="W19" s="830" t="s">
        <v>3</v>
      </c>
      <c r="X19" s="831">
        <v>58885</v>
      </c>
      <c r="Y19" s="831">
        <v>12868</v>
      </c>
      <c r="Z19" s="831">
        <v>10528</v>
      </c>
      <c r="AA19" s="831">
        <v>2140</v>
      </c>
      <c r="AB19" s="831">
        <v>1100</v>
      </c>
      <c r="AC19" s="832">
        <v>85521</v>
      </c>
    </row>
    <row r="20" spans="1:29" s="825" customFormat="1" ht="21.75" customHeight="1" x14ac:dyDescent="0.2">
      <c r="A20" s="1429"/>
      <c r="B20" s="1430"/>
      <c r="C20" s="830" t="s">
        <v>567</v>
      </c>
      <c r="D20" s="830"/>
      <c r="E20" s="831">
        <v>110</v>
      </c>
      <c r="F20" s="831"/>
      <c r="G20" s="831">
        <v>1933</v>
      </c>
      <c r="H20" s="831">
        <v>852</v>
      </c>
      <c r="I20" s="831"/>
      <c r="J20" s="831"/>
      <c r="K20" s="831"/>
      <c r="L20" s="831"/>
      <c r="M20" s="831"/>
      <c r="N20" s="831"/>
      <c r="O20" s="831"/>
      <c r="P20" s="831"/>
      <c r="Q20" s="831"/>
      <c r="R20" s="831">
        <f>AC20-S20</f>
        <v>85130</v>
      </c>
      <c r="S20" s="831">
        <f>E20+G20+H20</f>
        <v>2895</v>
      </c>
      <c r="T20" s="832">
        <f>SUM(R20:S20)</f>
        <v>88025</v>
      </c>
      <c r="U20" s="1429"/>
      <c r="V20" s="1430"/>
      <c r="W20" s="830" t="s">
        <v>567</v>
      </c>
      <c r="X20" s="831">
        <f>58885+110+1161-275</f>
        <v>59881</v>
      </c>
      <c r="Y20" s="831">
        <f>12868+18+255-61</f>
        <v>13080</v>
      </c>
      <c r="Z20" s="831">
        <f>10528+960+336</f>
        <v>11824</v>
      </c>
      <c r="AA20" s="831">
        <v>2140</v>
      </c>
      <c r="AB20" s="831">
        <v>1100</v>
      </c>
      <c r="AC20" s="832">
        <f>SUM(X20:AB20)</f>
        <v>88025</v>
      </c>
    </row>
    <row r="21" spans="1:29" s="825" customFormat="1" ht="21.75" customHeight="1" x14ac:dyDescent="0.2">
      <c r="A21" s="1429"/>
      <c r="B21" s="1430"/>
      <c r="C21" s="830" t="s">
        <v>619</v>
      </c>
      <c r="D21" s="830"/>
      <c r="E21" s="831">
        <v>110</v>
      </c>
      <c r="F21" s="831"/>
      <c r="G21" s="831">
        <v>1933</v>
      </c>
      <c r="H21" s="831">
        <v>852</v>
      </c>
      <c r="I21" s="831"/>
      <c r="J21" s="831"/>
      <c r="K21" s="831"/>
      <c r="L21" s="831"/>
      <c r="M21" s="831">
        <v>350</v>
      </c>
      <c r="N21" s="831"/>
      <c r="O21" s="831"/>
      <c r="P21" s="831"/>
      <c r="Q21" s="831"/>
      <c r="R21" s="831">
        <f>AC21-S21</f>
        <v>84988</v>
      </c>
      <c r="S21" s="831">
        <f>E21+G21+H21+O21+D21+F21+I21+J21+K21+L21+M21+N21+Q21</f>
        <v>3245</v>
      </c>
      <c r="T21" s="832">
        <f>SUM(R21:S21)</f>
        <v>88233</v>
      </c>
      <c r="U21" s="1429"/>
      <c r="V21" s="1430"/>
      <c r="W21" s="830" t="s">
        <v>619</v>
      </c>
      <c r="X21" s="831">
        <f>58885+110+1161-275-2324+287+114</f>
        <v>57958</v>
      </c>
      <c r="Y21" s="831">
        <f>12868+18+255-61-511+63+25</f>
        <v>12657</v>
      </c>
      <c r="Z21" s="831">
        <f>10528+960+336+1992+100-807+263+263</f>
        <v>13635</v>
      </c>
      <c r="AA21" s="831">
        <f>2140+473-100</f>
        <v>2513</v>
      </c>
      <c r="AB21" s="831">
        <f>1100+370</f>
        <v>1470</v>
      </c>
      <c r="AC21" s="832">
        <f>SUM(X21:AB21)</f>
        <v>88233</v>
      </c>
    </row>
    <row r="22" spans="1:29" s="825" customFormat="1" ht="21.75" customHeight="1" x14ac:dyDescent="0.2">
      <c r="A22" s="1429" t="s">
        <v>652</v>
      </c>
      <c r="B22" s="1430" t="s">
        <v>646</v>
      </c>
      <c r="C22" s="830" t="s">
        <v>3</v>
      </c>
      <c r="D22" s="830"/>
      <c r="E22" s="831">
        <v>0</v>
      </c>
      <c r="F22" s="831"/>
      <c r="G22" s="831">
        <v>529</v>
      </c>
      <c r="H22" s="831">
        <v>143</v>
      </c>
      <c r="I22" s="831"/>
      <c r="J22" s="831"/>
      <c r="K22" s="831">
        <v>0</v>
      </c>
      <c r="L22" s="831">
        <v>0</v>
      </c>
      <c r="M22" s="831">
        <v>0</v>
      </c>
      <c r="N22" s="831">
        <v>0</v>
      </c>
      <c r="O22" s="831">
        <v>0</v>
      </c>
      <c r="P22" s="831">
        <v>0</v>
      </c>
      <c r="Q22" s="831">
        <v>0</v>
      </c>
      <c r="R22" s="831">
        <v>15892</v>
      </c>
      <c r="S22" s="831">
        <v>672</v>
      </c>
      <c r="T22" s="832">
        <v>16564</v>
      </c>
      <c r="U22" s="1429" t="s">
        <v>652</v>
      </c>
      <c r="V22" s="1430" t="s">
        <v>646</v>
      </c>
      <c r="W22" s="830" t="s">
        <v>3</v>
      </c>
      <c r="X22" s="831">
        <v>11082</v>
      </c>
      <c r="Y22" s="831">
        <v>2438</v>
      </c>
      <c r="Z22" s="831">
        <v>3044</v>
      </c>
      <c r="AA22" s="831">
        <v>0</v>
      </c>
      <c r="AB22" s="831">
        <v>0</v>
      </c>
      <c r="AC22" s="832">
        <v>16564</v>
      </c>
    </row>
    <row r="23" spans="1:29" s="825" customFormat="1" ht="21.75" customHeight="1" x14ac:dyDescent="0.2">
      <c r="A23" s="1429"/>
      <c r="B23" s="1430"/>
      <c r="C23" s="830" t="s">
        <v>567</v>
      </c>
      <c r="D23" s="830"/>
      <c r="E23" s="831"/>
      <c r="F23" s="831"/>
      <c r="G23" s="831">
        <v>529</v>
      </c>
      <c r="H23" s="831">
        <v>143</v>
      </c>
      <c r="I23" s="831"/>
      <c r="J23" s="831"/>
      <c r="K23" s="831"/>
      <c r="L23" s="831"/>
      <c r="M23" s="831"/>
      <c r="N23" s="831"/>
      <c r="O23" s="831"/>
      <c r="P23" s="831"/>
      <c r="Q23" s="831"/>
      <c r="R23" s="831">
        <f>AC23-S23</f>
        <v>16707</v>
      </c>
      <c r="S23" s="831">
        <f>G23+H23</f>
        <v>672</v>
      </c>
      <c r="T23" s="832">
        <f>SUM(R23:S23)</f>
        <v>17379</v>
      </c>
      <c r="U23" s="1429"/>
      <c r="V23" s="1430"/>
      <c r="W23" s="830" t="s">
        <v>567</v>
      </c>
      <c r="X23" s="831">
        <f>11082+291</f>
        <v>11373</v>
      </c>
      <c r="Y23" s="831">
        <f>2438+64</f>
        <v>2502</v>
      </c>
      <c r="Z23" s="831">
        <f>3044+460-100</f>
        <v>3404</v>
      </c>
      <c r="AA23" s="831">
        <v>100</v>
      </c>
      <c r="AB23" s="831">
        <v>0</v>
      </c>
      <c r="AC23" s="832">
        <f>SUM(X23:AB23)</f>
        <v>17379</v>
      </c>
    </row>
    <row r="24" spans="1:29" s="825" customFormat="1" ht="21.75" customHeight="1" x14ac:dyDescent="0.2">
      <c r="A24" s="1429"/>
      <c r="B24" s="1430"/>
      <c r="C24" s="830" t="s">
        <v>619</v>
      </c>
      <c r="D24" s="830"/>
      <c r="E24" s="831"/>
      <c r="F24" s="831"/>
      <c r="G24" s="831">
        <v>529</v>
      </c>
      <c r="H24" s="831">
        <v>143</v>
      </c>
      <c r="I24" s="831"/>
      <c r="J24" s="831"/>
      <c r="K24" s="831"/>
      <c r="L24" s="831"/>
      <c r="M24" s="831"/>
      <c r="N24" s="831"/>
      <c r="O24" s="831"/>
      <c r="P24" s="831"/>
      <c r="Q24" s="831"/>
      <c r="R24" s="831">
        <f>AC24-S24</f>
        <v>17399</v>
      </c>
      <c r="S24" s="831">
        <f>E24+G24+H24+O24+D24+F24+I24+J24+K24+L24+M24+N24+Q24</f>
        <v>672</v>
      </c>
      <c r="T24" s="832">
        <f>SUM(R24:S24)</f>
        <v>18071</v>
      </c>
      <c r="U24" s="1429"/>
      <c r="V24" s="1430"/>
      <c r="W24" s="830" t="s">
        <v>619</v>
      </c>
      <c r="X24" s="831">
        <f>11082+291</f>
        <v>11373</v>
      </c>
      <c r="Y24" s="831">
        <f>2438+64</f>
        <v>2502</v>
      </c>
      <c r="Z24" s="831">
        <f>3044+460-100+518+130+44</f>
        <v>4096</v>
      </c>
      <c r="AA24" s="831">
        <v>100</v>
      </c>
      <c r="AB24" s="831">
        <v>0</v>
      </c>
      <c r="AC24" s="832">
        <f>SUM(X24:AB24)</f>
        <v>18071</v>
      </c>
    </row>
    <row r="25" spans="1:29" s="825" customFormat="1" ht="21.75" customHeight="1" x14ac:dyDescent="0.2">
      <c r="A25" s="1429" t="s">
        <v>653</v>
      </c>
      <c r="B25" s="1430" t="s">
        <v>646</v>
      </c>
      <c r="C25" s="830" t="s">
        <v>3</v>
      </c>
      <c r="D25" s="830"/>
      <c r="E25" s="831">
        <v>15624</v>
      </c>
      <c r="F25" s="831"/>
      <c r="G25" s="831">
        <v>8585</v>
      </c>
      <c r="H25" s="831">
        <v>4846</v>
      </c>
      <c r="I25" s="831"/>
      <c r="J25" s="831"/>
      <c r="K25" s="831">
        <v>0</v>
      </c>
      <c r="L25" s="831">
        <v>0</v>
      </c>
      <c r="M25" s="831">
        <v>0</v>
      </c>
      <c r="N25" s="831">
        <v>0</v>
      </c>
      <c r="O25" s="831">
        <v>0</v>
      </c>
      <c r="P25" s="831">
        <v>0</v>
      </c>
      <c r="Q25" s="831">
        <v>0</v>
      </c>
      <c r="R25" s="831">
        <v>127376</v>
      </c>
      <c r="S25" s="831">
        <v>29055</v>
      </c>
      <c r="T25" s="832">
        <v>156431</v>
      </c>
      <c r="U25" s="1429" t="s">
        <v>681</v>
      </c>
      <c r="V25" s="1430" t="s">
        <v>646</v>
      </c>
      <c r="W25" s="830" t="s">
        <v>3</v>
      </c>
      <c r="X25" s="831">
        <v>97409</v>
      </c>
      <c r="Y25" s="831">
        <v>22173</v>
      </c>
      <c r="Z25" s="831">
        <v>34676</v>
      </c>
      <c r="AA25" s="831">
        <v>2173</v>
      </c>
      <c r="AB25" s="831">
        <v>0</v>
      </c>
      <c r="AC25" s="832">
        <v>156431</v>
      </c>
    </row>
    <row r="26" spans="1:29" s="825" customFormat="1" ht="21.75" customHeight="1" x14ac:dyDescent="0.2">
      <c r="A26" s="1429"/>
      <c r="B26" s="1430"/>
      <c r="C26" s="830" t="s">
        <v>567</v>
      </c>
      <c r="D26" s="830"/>
      <c r="E26" s="831">
        <v>15624</v>
      </c>
      <c r="F26" s="831"/>
      <c r="G26" s="831">
        <v>8585</v>
      </c>
      <c r="H26" s="831">
        <v>4846</v>
      </c>
      <c r="I26" s="831"/>
      <c r="J26" s="831"/>
      <c r="K26" s="831"/>
      <c r="L26" s="831"/>
      <c r="M26" s="831"/>
      <c r="N26" s="831"/>
      <c r="O26" s="831"/>
      <c r="P26" s="831"/>
      <c r="Q26" s="831"/>
      <c r="R26" s="831">
        <f>AC26-S26</f>
        <v>133538</v>
      </c>
      <c r="S26" s="831">
        <f>E26+G26+H26</f>
        <v>29055</v>
      </c>
      <c r="T26" s="832">
        <f>SUM(R26:S26)</f>
        <v>162593</v>
      </c>
      <c r="U26" s="1429"/>
      <c r="V26" s="1430"/>
      <c r="W26" s="830" t="s">
        <v>567</v>
      </c>
      <c r="X26" s="831">
        <f>97409+329+1208+1596-410</f>
        <v>100132</v>
      </c>
      <c r="Y26" s="831">
        <f>22173+42+296+351-90</f>
        <v>22772</v>
      </c>
      <c r="Z26" s="831">
        <f>34676+2340</f>
        <v>37016</v>
      </c>
      <c r="AA26" s="831">
        <f>2173+500</f>
        <v>2673</v>
      </c>
      <c r="AB26" s="831">
        <v>0</v>
      </c>
      <c r="AC26" s="832">
        <f>SUM(X26:AB26)</f>
        <v>162593</v>
      </c>
    </row>
    <row r="27" spans="1:29" s="825" customFormat="1" ht="21.75" customHeight="1" x14ac:dyDescent="0.2">
      <c r="A27" s="1429"/>
      <c r="B27" s="1430"/>
      <c r="C27" s="830" t="s">
        <v>619</v>
      </c>
      <c r="D27" s="830"/>
      <c r="E27" s="831">
        <v>15624</v>
      </c>
      <c r="F27" s="831"/>
      <c r="G27" s="831">
        <v>8585</v>
      </c>
      <c r="H27" s="831">
        <v>4846</v>
      </c>
      <c r="I27" s="831"/>
      <c r="J27" s="831"/>
      <c r="K27" s="831"/>
      <c r="L27" s="831"/>
      <c r="M27" s="831">
        <v>467</v>
      </c>
      <c r="N27" s="831"/>
      <c r="O27" s="831"/>
      <c r="P27" s="831"/>
      <c r="Q27" s="831">
        <v>210</v>
      </c>
      <c r="R27" s="831">
        <f>AC27-S27</f>
        <v>132400</v>
      </c>
      <c r="S27" s="831">
        <f>E27+G27+H27+O27+D27+F27+I27+J27+K27+L27+M27+N27+Q27</f>
        <v>29732</v>
      </c>
      <c r="T27" s="832">
        <f>SUM(R27:S27)</f>
        <v>162132</v>
      </c>
      <c r="U27" s="1429"/>
      <c r="V27" s="1430"/>
      <c r="W27" s="830" t="s">
        <v>619</v>
      </c>
      <c r="X27" s="831">
        <f>97409+329+1208+1596-410-1475-164+383+1222+3221+501-6725</f>
        <v>97095</v>
      </c>
      <c r="Y27" s="831">
        <f>22173+42+296+351-90-325-36+84+269+708+110-1479</f>
        <v>22103</v>
      </c>
      <c r="Z27" s="831">
        <f>34676+2340+2100+200+100+210+296+970-970+420+219</f>
        <v>40561</v>
      </c>
      <c r="AA27" s="831">
        <f>2173+500-300</f>
        <v>2373</v>
      </c>
      <c r="AB27" s="831">
        <v>0</v>
      </c>
      <c r="AC27" s="832">
        <f>SUM(X27:AB27)</f>
        <v>162132</v>
      </c>
    </row>
    <row r="28" spans="1:29" s="825" customFormat="1" ht="21.75" customHeight="1" x14ac:dyDescent="0.2">
      <c r="A28" s="1429" t="s">
        <v>654</v>
      </c>
      <c r="B28" s="1430" t="s">
        <v>646</v>
      </c>
      <c r="C28" s="830" t="s">
        <v>3</v>
      </c>
      <c r="D28" s="830"/>
      <c r="E28" s="831">
        <v>0</v>
      </c>
      <c r="F28" s="831"/>
      <c r="G28" s="831">
        <v>18060</v>
      </c>
      <c r="H28" s="831">
        <v>4876</v>
      </c>
      <c r="I28" s="831"/>
      <c r="J28" s="831"/>
      <c r="K28" s="831">
        <v>0</v>
      </c>
      <c r="L28" s="831">
        <v>0</v>
      </c>
      <c r="M28" s="831">
        <v>0</v>
      </c>
      <c r="N28" s="831">
        <v>0</v>
      </c>
      <c r="O28" s="831">
        <v>0</v>
      </c>
      <c r="P28" s="831">
        <v>0</v>
      </c>
      <c r="Q28" s="831">
        <v>0</v>
      </c>
      <c r="R28" s="831">
        <v>45215</v>
      </c>
      <c r="S28" s="831">
        <v>22936</v>
      </c>
      <c r="T28" s="832">
        <v>68151</v>
      </c>
      <c r="U28" s="1429" t="s">
        <v>654</v>
      </c>
      <c r="V28" s="1430" t="s">
        <v>646</v>
      </c>
      <c r="W28" s="830" t="s">
        <v>3</v>
      </c>
      <c r="X28" s="831">
        <v>0</v>
      </c>
      <c r="Y28" s="831">
        <v>0</v>
      </c>
      <c r="Z28" s="831">
        <v>68151</v>
      </c>
      <c r="AA28" s="831">
        <v>0</v>
      </c>
      <c r="AB28" s="831">
        <v>0</v>
      </c>
      <c r="AC28" s="832">
        <v>68151</v>
      </c>
    </row>
    <row r="29" spans="1:29" s="825" customFormat="1" ht="21.75" customHeight="1" x14ac:dyDescent="0.2">
      <c r="A29" s="1429"/>
      <c r="B29" s="1430"/>
      <c r="C29" s="830" t="s">
        <v>567</v>
      </c>
      <c r="D29" s="830"/>
      <c r="E29" s="831"/>
      <c r="F29" s="831"/>
      <c r="G29" s="831">
        <f>18060+332</f>
        <v>18392</v>
      </c>
      <c r="H29" s="831">
        <v>4876</v>
      </c>
      <c r="I29" s="831"/>
      <c r="J29" s="831"/>
      <c r="K29" s="831"/>
      <c r="L29" s="831"/>
      <c r="M29" s="831"/>
      <c r="N29" s="831"/>
      <c r="O29" s="831"/>
      <c r="P29" s="831"/>
      <c r="Q29" s="831"/>
      <c r="R29" s="831">
        <f>AC29-S29</f>
        <v>46855</v>
      </c>
      <c r="S29" s="831">
        <f>G29+H29</f>
        <v>23268</v>
      </c>
      <c r="T29" s="832">
        <f>SUM(R29:S29)</f>
        <v>70123</v>
      </c>
      <c r="U29" s="1429"/>
      <c r="V29" s="1430"/>
      <c r="W29" s="830" t="s">
        <v>567</v>
      </c>
      <c r="X29" s="831"/>
      <c r="Y29" s="831"/>
      <c r="Z29" s="831">
        <f>68151+332+1370+270</f>
        <v>70123</v>
      </c>
      <c r="AA29" s="831"/>
      <c r="AB29" s="831"/>
      <c r="AC29" s="832">
        <f>SUM(X29:AB29)</f>
        <v>70123</v>
      </c>
    </row>
    <row r="30" spans="1:29" s="825" customFormat="1" ht="21.75" customHeight="1" x14ac:dyDescent="0.2">
      <c r="A30" s="1429"/>
      <c r="B30" s="1430"/>
      <c r="C30" s="830" t="s">
        <v>619</v>
      </c>
      <c r="D30" s="830"/>
      <c r="E30" s="831"/>
      <c r="F30" s="831"/>
      <c r="G30" s="831">
        <f>18060+332</f>
        <v>18392</v>
      </c>
      <c r="H30" s="831">
        <v>4876</v>
      </c>
      <c r="I30" s="831"/>
      <c r="J30" s="831"/>
      <c r="K30" s="831"/>
      <c r="L30" s="831"/>
      <c r="M30" s="831"/>
      <c r="N30" s="831"/>
      <c r="O30" s="831"/>
      <c r="P30" s="831"/>
      <c r="Q30" s="831"/>
      <c r="R30" s="831">
        <f>AC30-S30</f>
        <v>43655</v>
      </c>
      <c r="S30" s="831">
        <f>E30+G30+H30+O30+D30+F30+I30+J30+K30+L30+M30+N30+Q30</f>
        <v>23268</v>
      </c>
      <c r="T30" s="832">
        <f>SUM(R30:S30)</f>
        <v>66923</v>
      </c>
      <c r="U30" s="1429"/>
      <c r="V30" s="1430"/>
      <c r="W30" s="830" t="s">
        <v>619</v>
      </c>
      <c r="X30" s="831"/>
      <c r="Y30" s="831"/>
      <c r="Z30" s="831">
        <f>68151+332+1370+270-3200</f>
        <v>66923</v>
      </c>
      <c r="AA30" s="831"/>
      <c r="AB30" s="831"/>
      <c r="AC30" s="832">
        <f>SUM(X30:AB30)</f>
        <v>66923</v>
      </c>
    </row>
    <row r="31" spans="1:29" s="825" customFormat="1" ht="21.75" customHeight="1" x14ac:dyDescent="0.2">
      <c r="A31" s="1429" t="s">
        <v>655</v>
      </c>
      <c r="B31" s="1430" t="s">
        <v>646</v>
      </c>
      <c r="C31" s="830" t="s">
        <v>3</v>
      </c>
      <c r="D31" s="830"/>
      <c r="E31" s="831">
        <v>0</v>
      </c>
      <c r="F31" s="831"/>
      <c r="G31" s="831">
        <v>0</v>
      </c>
      <c r="H31" s="831">
        <v>0</v>
      </c>
      <c r="I31" s="831"/>
      <c r="J31" s="831"/>
      <c r="K31" s="831">
        <v>0</v>
      </c>
      <c r="L31" s="831">
        <v>0</v>
      </c>
      <c r="M31" s="831">
        <v>0</v>
      </c>
      <c r="N31" s="831">
        <v>0</v>
      </c>
      <c r="O31" s="831">
        <v>0</v>
      </c>
      <c r="P31" s="831">
        <v>0</v>
      </c>
      <c r="Q31" s="831">
        <v>0</v>
      </c>
      <c r="R31" s="831">
        <v>0</v>
      </c>
      <c r="S31" s="831">
        <v>0</v>
      </c>
      <c r="T31" s="832">
        <v>0</v>
      </c>
      <c r="U31" s="1429" t="s">
        <v>655</v>
      </c>
      <c r="V31" s="1430" t="s">
        <v>646</v>
      </c>
      <c r="W31" s="830" t="s">
        <v>3</v>
      </c>
      <c r="X31" s="831">
        <v>0</v>
      </c>
      <c r="Y31" s="831">
        <v>0</v>
      </c>
      <c r="Z31" s="831">
        <v>0</v>
      </c>
      <c r="AA31" s="831">
        <v>0</v>
      </c>
      <c r="AB31" s="831">
        <v>0</v>
      </c>
      <c r="AC31" s="832">
        <v>0</v>
      </c>
    </row>
    <row r="32" spans="1:29" s="825" customFormat="1" ht="21.75" customHeight="1" x14ac:dyDescent="0.2">
      <c r="A32" s="1429"/>
      <c r="B32" s="1430"/>
      <c r="C32" s="830" t="s">
        <v>567</v>
      </c>
      <c r="D32" s="830"/>
      <c r="E32" s="831"/>
      <c r="F32" s="831"/>
      <c r="G32" s="831"/>
      <c r="H32" s="831"/>
      <c r="I32" s="831"/>
      <c r="J32" s="831"/>
      <c r="K32" s="831"/>
      <c r="L32" s="831"/>
      <c r="M32" s="831"/>
      <c r="N32" s="831"/>
      <c r="O32" s="831"/>
      <c r="P32" s="831"/>
      <c r="Q32" s="831"/>
      <c r="R32" s="831"/>
      <c r="S32" s="831"/>
      <c r="T32" s="832"/>
      <c r="U32" s="1429"/>
      <c r="V32" s="1430"/>
      <c r="W32" s="830" t="s">
        <v>567</v>
      </c>
      <c r="X32" s="831"/>
      <c r="Y32" s="831"/>
      <c r="Z32" s="831"/>
      <c r="AA32" s="831"/>
      <c r="AB32" s="831"/>
      <c r="AC32" s="832"/>
    </row>
    <row r="33" spans="1:29" s="825" customFormat="1" ht="21.75" customHeight="1" x14ac:dyDescent="0.2">
      <c r="A33" s="1429"/>
      <c r="B33" s="1430"/>
      <c r="C33" s="830" t="s">
        <v>619</v>
      </c>
      <c r="D33" s="830"/>
      <c r="E33" s="831"/>
      <c r="F33" s="831"/>
      <c r="G33" s="831"/>
      <c r="H33" s="831"/>
      <c r="I33" s="831"/>
      <c r="J33" s="831"/>
      <c r="K33" s="831"/>
      <c r="L33" s="831"/>
      <c r="M33" s="831"/>
      <c r="N33" s="831"/>
      <c r="O33" s="831"/>
      <c r="P33" s="831"/>
      <c r="Q33" s="831"/>
      <c r="R33" s="831"/>
      <c r="S33" s="831">
        <f>E33+G33+H33+O33+D33+F33+I33+J33+K33+L33+M33+N33+Q33</f>
        <v>0</v>
      </c>
      <c r="T33" s="832"/>
      <c r="U33" s="1429"/>
      <c r="V33" s="1430"/>
      <c r="W33" s="830" t="s">
        <v>619</v>
      </c>
      <c r="X33" s="831"/>
      <c r="Y33" s="831"/>
      <c r="Z33" s="831"/>
      <c r="AA33" s="831"/>
      <c r="AB33" s="831"/>
      <c r="AC33" s="832"/>
    </row>
    <row r="34" spans="1:29" s="825" customFormat="1" ht="21.75" customHeight="1" x14ac:dyDescent="0.2">
      <c r="A34" s="1429" t="s">
        <v>656</v>
      </c>
      <c r="B34" s="1430" t="s">
        <v>646</v>
      </c>
      <c r="C34" s="830" t="s">
        <v>3</v>
      </c>
      <c r="D34" s="830"/>
      <c r="E34" s="831">
        <v>0</v>
      </c>
      <c r="F34" s="831"/>
      <c r="G34" s="831">
        <v>12792</v>
      </c>
      <c r="H34" s="831">
        <v>3454</v>
      </c>
      <c r="I34" s="831"/>
      <c r="J34" s="831"/>
      <c r="K34" s="831">
        <v>0</v>
      </c>
      <c r="L34" s="831">
        <v>0</v>
      </c>
      <c r="M34" s="831">
        <v>0</v>
      </c>
      <c r="N34" s="831">
        <v>0</v>
      </c>
      <c r="O34" s="831">
        <v>0</v>
      </c>
      <c r="P34" s="831">
        <v>0</v>
      </c>
      <c r="Q34" s="831">
        <v>0</v>
      </c>
      <c r="R34" s="831">
        <v>19529</v>
      </c>
      <c r="S34" s="831">
        <v>16246</v>
      </c>
      <c r="T34" s="832">
        <v>35775</v>
      </c>
      <c r="U34" s="1429" t="s">
        <v>656</v>
      </c>
      <c r="V34" s="1430" t="s">
        <v>646</v>
      </c>
      <c r="W34" s="830" t="s">
        <v>3</v>
      </c>
      <c r="X34" s="831">
        <v>0</v>
      </c>
      <c r="Y34" s="831">
        <v>0</v>
      </c>
      <c r="Z34" s="831">
        <v>35775</v>
      </c>
      <c r="AA34" s="831">
        <v>0</v>
      </c>
      <c r="AB34" s="831">
        <v>0</v>
      </c>
      <c r="AC34" s="832">
        <v>35775</v>
      </c>
    </row>
    <row r="35" spans="1:29" s="825" customFormat="1" ht="21.75" customHeight="1" x14ac:dyDescent="0.2">
      <c r="A35" s="1429"/>
      <c r="B35" s="1430"/>
      <c r="C35" s="830" t="s">
        <v>567</v>
      </c>
      <c r="D35" s="830"/>
      <c r="E35" s="831"/>
      <c r="F35" s="831"/>
      <c r="G35" s="831">
        <f>12792+260</f>
        <v>13052</v>
      </c>
      <c r="H35" s="831">
        <v>3454</v>
      </c>
      <c r="I35" s="831"/>
      <c r="J35" s="831"/>
      <c r="K35" s="831"/>
      <c r="L35" s="831"/>
      <c r="M35" s="831"/>
      <c r="N35" s="831"/>
      <c r="O35" s="831"/>
      <c r="P35" s="831"/>
      <c r="Q35" s="831"/>
      <c r="R35" s="831">
        <f>AC35-S35</f>
        <v>20343</v>
      </c>
      <c r="S35" s="831">
        <f>G35+H35</f>
        <v>16506</v>
      </c>
      <c r="T35" s="832">
        <f>SUM(R35:S35)</f>
        <v>36849</v>
      </c>
      <c r="U35" s="1429"/>
      <c r="V35" s="1430"/>
      <c r="W35" s="830" t="s">
        <v>567</v>
      </c>
      <c r="X35" s="831"/>
      <c r="Y35" s="831"/>
      <c r="Z35" s="831">
        <f>35775+260+814</f>
        <v>36849</v>
      </c>
      <c r="AA35" s="831"/>
      <c r="AB35" s="831"/>
      <c r="AC35" s="832">
        <f>SUM(X35:AB35)</f>
        <v>36849</v>
      </c>
    </row>
    <row r="36" spans="1:29" s="825" customFormat="1" ht="21.75" customHeight="1" x14ac:dyDescent="0.2">
      <c r="A36" s="1429"/>
      <c r="B36" s="1430"/>
      <c r="C36" s="830" t="s">
        <v>619</v>
      </c>
      <c r="D36" s="830"/>
      <c r="E36" s="831"/>
      <c r="F36" s="831"/>
      <c r="G36" s="831">
        <f>12792+260</f>
        <v>13052</v>
      </c>
      <c r="H36" s="831">
        <v>3454</v>
      </c>
      <c r="I36" s="831"/>
      <c r="J36" s="831"/>
      <c r="K36" s="831"/>
      <c r="L36" s="831"/>
      <c r="M36" s="831"/>
      <c r="N36" s="831"/>
      <c r="O36" s="831"/>
      <c r="P36" s="831"/>
      <c r="Q36" s="831"/>
      <c r="R36" s="831">
        <f>AC36-S36</f>
        <v>20343</v>
      </c>
      <c r="S36" s="831">
        <f>E36+G36+H36+O36+D36+F36+I36+J36+K36+L36+M36+N36+Q36</f>
        <v>16506</v>
      </c>
      <c r="T36" s="832">
        <f>SUM(R36:S36)</f>
        <v>36849</v>
      </c>
      <c r="U36" s="1429"/>
      <c r="V36" s="1430"/>
      <c r="W36" s="830" t="s">
        <v>619</v>
      </c>
      <c r="X36" s="831"/>
      <c r="Y36" s="831"/>
      <c r="Z36" s="831">
        <f>35775+260+814</f>
        <v>36849</v>
      </c>
      <c r="AA36" s="831"/>
      <c r="AB36" s="831"/>
      <c r="AC36" s="832">
        <f>SUM(X36:AB36)</f>
        <v>36849</v>
      </c>
    </row>
    <row r="37" spans="1:29" s="825" customFormat="1" ht="21.75" customHeight="1" x14ac:dyDescent="0.2">
      <c r="A37" s="1424" t="s">
        <v>657</v>
      </c>
      <c r="B37" s="1430" t="s">
        <v>646</v>
      </c>
      <c r="C37" s="830" t="s">
        <v>3</v>
      </c>
      <c r="D37" s="830"/>
      <c r="E37" s="831">
        <v>0</v>
      </c>
      <c r="F37" s="831"/>
      <c r="G37" s="831">
        <f>30852+260</f>
        <v>31112</v>
      </c>
      <c r="H37" s="831">
        <v>8330</v>
      </c>
      <c r="I37" s="831"/>
      <c r="J37" s="831"/>
      <c r="K37" s="831">
        <v>0</v>
      </c>
      <c r="L37" s="831">
        <v>0</v>
      </c>
      <c r="M37" s="831">
        <v>0</v>
      </c>
      <c r="N37" s="831">
        <v>0</v>
      </c>
      <c r="O37" s="831">
        <v>0</v>
      </c>
      <c r="P37" s="831">
        <v>0</v>
      </c>
      <c r="Q37" s="831">
        <v>0</v>
      </c>
      <c r="R37" s="831">
        <v>64744</v>
      </c>
      <c r="S37" s="831">
        <v>39182</v>
      </c>
      <c r="T37" s="832">
        <v>103926</v>
      </c>
      <c r="U37" s="1424" t="s">
        <v>657</v>
      </c>
      <c r="V37" s="1430" t="s">
        <v>646</v>
      </c>
      <c r="W37" s="830" t="s">
        <v>3</v>
      </c>
      <c r="X37" s="831">
        <v>0</v>
      </c>
      <c r="Y37" s="831">
        <v>0</v>
      </c>
      <c r="Z37" s="831">
        <v>103926</v>
      </c>
      <c r="AA37" s="831">
        <v>0</v>
      </c>
      <c r="AB37" s="831">
        <v>0</v>
      </c>
      <c r="AC37" s="832">
        <v>103926</v>
      </c>
    </row>
    <row r="38" spans="1:29" s="825" customFormat="1" ht="21.75" customHeight="1" x14ac:dyDescent="0.2">
      <c r="A38" s="1424"/>
      <c r="B38" s="1426"/>
      <c r="C38" s="830" t="s">
        <v>567</v>
      </c>
      <c r="D38" s="830"/>
      <c r="E38" s="831"/>
      <c r="F38" s="831"/>
      <c r="G38" s="831">
        <f>G29+G35</f>
        <v>31444</v>
      </c>
      <c r="H38" s="831">
        <f>H29+H35</f>
        <v>8330</v>
      </c>
      <c r="I38" s="831"/>
      <c r="J38" s="831"/>
      <c r="K38" s="831">
        <f t="shared" ref="K38:T39" si="0">K29+K35</f>
        <v>0</v>
      </c>
      <c r="L38" s="831">
        <f t="shared" si="0"/>
        <v>0</v>
      </c>
      <c r="M38" s="831">
        <f t="shared" si="0"/>
        <v>0</v>
      </c>
      <c r="N38" s="831">
        <f t="shared" si="0"/>
        <v>0</v>
      </c>
      <c r="O38" s="831">
        <f t="shared" si="0"/>
        <v>0</v>
      </c>
      <c r="P38" s="831">
        <f t="shared" si="0"/>
        <v>0</v>
      </c>
      <c r="Q38" s="831">
        <f t="shared" si="0"/>
        <v>0</v>
      </c>
      <c r="R38" s="831">
        <f t="shared" si="0"/>
        <v>67198</v>
      </c>
      <c r="S38" s="831">
        <f t="shared" si="0"/>
        <v>39774</v>
      </c>
      <c r="T38" s="832">
        <f t="shared" si="0"/>
        <v>106972</v>
      </c>
      <c r="U38" s="1424"/>
      <c r="V38" s="1430"/>
      <c r="W38" s="830" t="s">
        <v>567</v>
      </c>
      <c r="X38" s="831"/>
      <c r="Y38" s="831"/>
      <c r="Z38" s="831">
        <f>Z29+Z35</f>
        <v>106972</v>
      </c>
      <c r="AA38" s="831"/>
      <c r="AB38" s="831"/>
      <c r="AC38" s="832">
        <f>SUM(X38:AB38)</f>
        <v>106972</v>
      </c>
    </row>
    <row r="39" spans="1:29" s="825" customFormat="1" ht="21.75" customHeight="1" x14ac:dyDescent="0.2">
      <c r="A39" s="1424"/>
      <c r="B39" s="1426"/>
      <c r="C39" s="830" t="s">
        <v>619</v>
      </c>
      <c r="D39" s="830"/>
      <c r="E39" s="831"/>
      <c r="F39" s="831"/>
      <c r="G39" s="831">
        <f>G30+G36</f>
        <v>31444</v>
      </c>
      <c r="H39" s="831">
        <f>H30+H36</f>
        <v>8330</v>
      </c>
      <c r="I39" s="831">
        <f>I30+I36</f>
        <v>0</v>
      </c>
      <c r="J39" s="831">
        <f>J30+J36</f>
        <v>0</v>
      </c>
      <c r="K39" s="831">
        <f t="shared" si="0"/>
        <v>0</v>
      </c>
      <c r="L39" s="831">
        <f t="shared" si="0"/>
        <v>0</v>
      </c>
      <c r="M39" s="831">
        <f t="shared" si="0"/>
        <v>0</v>
      </c>
      <c r="N39" s="831">
        <f t="shared" si="0"/>
        <v>0</v>
      </c>
      <c r="O39" s="831">
        <f t="shared" si="0"/>
        <v>0</v>
      </c>
      <c r="P39" s="831">
        <f t="shared" si="0"/>
        <v>0</v>
      </c>
      <c r="Q39" s="831">
        <f t="shared" si="0"/>
        <v>0</v>
      </c>
      <c r="R39" s="831">
        <f t="shared" si="0"/>
        <v>63998</v>
      </c>
      <c r="S39" s="831">
        <f>E39+G39+H39+O39+D39+F39+I39+J39+K39+L39+M39+N39+Q39</f>
        <v>39774</v>
      </c>
      <c r="T39" s="832">
        <f t="shared" si="0"/>
        <v>103772</v>
      </c>
      <c r="U39" s="1424"/>
      <c r="V39" s="1430"/>
      <c r="W39" s="830" t="s">
        <v>619</v>
      </c>
      <c r="X39" s="831"/>
      <c r="Y39" s="831"/>
      <c r="Z39" s="831">
        <f>Z30+Z36</f>
        <v>103772</v>
      </c>
      <c r="AA39" s="831">
        <f>AA30+AA36</f>
        <v>0</v>
      </c>
      <c r="AB39" s="831">
        <f>AB30+AB36</f>
        <v>0</v>
      </c>
      <c r="AC39" s="832">
        <f>AC30+AC36</f>
        <v>103772</v>
      </c>
    </row>
    <row r="40" spans="1:29" s="825" customFormat="1" ht="21.75" customHeight="1" x14ac:dyDescent="0.2">
      <c r="A40" s="1429" t="s">
        <v>658</v>
      </c>
      <c r="B40" s="1430" t="s">
        <v>646</v>
      </c>
      <c r="C40" s="830" t="s">
        <v>3</v>
      </c>
      <c r="D40" s="830"/>
      <c r="E40" s="831">
        <v>3000</v>
      </c>
      <c r="F40" s="831"/>
      <c r="G40" s="831">
        <v>19371</v>
      </c>
      <c r="H40" s="831">
        <v>5230</v>
      </c>
      <c r="I40" s="831"/>
      <c r="J40" s="831"/>
      <c r="K40" s="831">
        <v>0</v>
      </c>
      <c r="L40" s="831">
        <v>0</v>
      </c>
      <c r="M40" s="831">
        <v>0</v>
      </c>
      <c r="N40" s="831">
        <v>0</v>
      </c>
      <c r="O40" s="831">
        <v>0</v>
      </c>
      <c r="P40" s="831">
        <v>0</v>
      </c>
      <c r="Q40" s="831">
        <v>0</v>
      </c>
      <c r="R40" s="831">
        <v>75336</v>
      </c>
      <c r="S40" s="831">
        <v>27601</v>
      </c>
      <c r="T40" s="832">
        <v>102937</v>
      </c>
      <c r="U40" s="1429" t="s">
        <v>658</v>
      </c>
      <c r="V40" s="1430" t="s">
        <v>646</v>
      </c>
      <c r="W40" s="830" t="s">
        <v>3</v>
      </c>
      <c r="X40" s="831">
        <v>0</v>
      </c>
      <c r="Y40" s="831">
        <v>0</v>
      </c>
      <c r="Z40" s="831">
        <v>102937</v>
      </c>
      <c r="AA40" s="831">
        <v>0</v>
      </c>
      <c r="AB40" s="831">
        <v>0</v>
      </c>
      <c r="AC40" s="832">
        <v>102937</v>
      </c>
    </row>
    <row r="41" spans="1:29" s="825" customFormat="1" ht="21.75" customHeight="1" x14ac:dyDescent="0.2">
      <c r="A41" s="1429"/>
      <c r="B41" s="1430"/>
      <c r="C41" s="830" t="s">
        <v>567</v>
      </c>
      <c r="D41" s="830"/>
      <c r="E41" s="831">
        <f>3000+19500</f>
        <v>22500</v>
      </c>
      <c r="F41" s="831"/>
      <c r="G41" s="831">
        <f>19371+373</f>
        <v>19744</v>
      </c>
      <c r="H41" s="831">
        <v>5230</v>
      </c>
      <c r="I41" s="831"/>
      <c r="J41" s="831"/>
      <c r="K41" s="831"/>
      <c r="L41" s="831"/>
      <c r="M41" s="831"/>
      <c r="N41" s="831"/>
      <c r="O41" s="831"/>
      <c r="P41" s="831"/>
      <c r="Q41" s="831"/>
      <c r="R41" s="831">
        <f>AC41-S41</f>
        <v>53343</v>
      </c>
      <c r="S41" s="831">
        <f>E41+G41+H41</f>
        <v>47474</v>
      </c>
      <c r="T41" s="832">
        <f>SUM(R41:S41)</f>
        <v>100817</v>
      </c>
      <c r="U41" s="1429"/>
      <c r="V41" s="1430"/>
      <c r="W41" s="830" t="s">
        <v>567</v>
      </c>
      <c r="X41" s="831"/>
      <c r="Y41" s="831"/>
      <c r="Z41" s="831">
        <f>102937+373+1376+56+7459+2219-13603</f>
        <v>100817</v>
      </c>
      <c r="AA41" s="831"/>
      <c r="AB41" s="831"/>
      <c r="AC41" s="832">
        <f>SUM(X41:AB41)</f>
        <v>100817</v>
      </c>
    </row>
    <row r="42" spans="1:29" s="825" customFormat="1" ht="21.75" customHeight="1" x14ac:dyDescent="0.2">
      <c r="A42" s="1429"/>
      <c r="B42" s="1430"/>
      <c r="C42" s="830" t="s">
        <v>619</v>
      </c>
      <c r="D42" s="830"/>
      <c r="E42" s="831">
        <f>3000+19500</f>
        <v>22500</v>
      </c>
      <c r="F42" s="831"/>
      <c r="G42" s="831">
        <f>19371+373</f>
        <v>19744</v>
      </c>
      <c r="H42" s="831">
        <v>5230</v>
      </c>
      <c r="I42" s="831"/>
      <c r="J42" s="831"/>
      <c r="K42" s="831"/>
      <c r="L42" s="831"/>
      <c r="M42" s="831"/>
      <c r="N42" s="831"/>
      <c r="O42" s="831"/>
      <c r="P42" s="831"/>
      <c r="Q42" s="831"/>
      <c r="R42" s="831">
        <f>AC42-S42</f>
        <v>53343</v>
      </c>
      <c r="S42" s="831">
        <f>E42+G42+H42+O42+D42+F42+I42+J42+K42+L42+M42+N42+Q42</f>
        <v>47474</v>
      </c>
      <c r="T42" s="832">
        <f>SUM(R42:S42)</f>
        <v>100817</v>
      </c>
      <c r="U42" s="1429"/>
      <c r="V42" s="1430"/>
      <c r="W42" s="830" t="s">
        <v>619</v>
      </c>
      <c r="X42" s="831"/>
      <c r="Y42" s="831"/>
      <c r="Z42" s="831">
        <f>102937+373+1376+56+7459+2219-13603</f>
        <v>100817</v>
      </c>
      <c r="AA42" s="831"/>
      <c r="AB42" s="831"/>
      <c r="AC42" s="832">
        <f>SUM(X42:AB42)</f>
        <v>100817</v>
      </c>
    </row>
    <row r="43" spans="1:29" s="825" customFormat="1" ht="21.75" customHeight="1" x14ac:dyDescent="0.2">
      <c r="A43" s="1429" t="s">
        <v>659</v>
      </c>
      <c r="B43" s="1430" t="s">
        <v>646</v>
      </c>
      <c r="C43" s="830" t="s">
        <v>3</v>
      </c>
      <c r="D43" s="830"/>
      <c r="E43" s="831">
        <v>0</v>
      </c>
      <c r="F43" s="831"/>
      <c r="G43" s="831">
        <v>7943</v>
      </c>
      <c r="H43" s="831">
        <v>1716</v>
      </c>
      <c r="I43" s="831"/>
      <c r="J43" s="831"/>
      <c r="K43" s="831">
        <v>0</v>
      </c>
      <c r="L43" s="831">
        <v>0</v>
      </c>
      <c r="M43" s="831">
        <v>0</v>
      </c>
      <c r="N43" s="831">
        <v>0</v>
      </c>
      <c r="O43" s="831">
        <v>0</v>
      </c>
      <c r="P43" s="831">
        <v>0</v>
      </c>
      <c r="Q43" s="831">
        <v>0</v>
      </c>
      <c r="R43" s="831">
        <v>17763</v>
      </c>
      <c r="S43" s="831">
        <v>9659</v>
      </c>
      <c r="T43" s="832">
        <v>27422</v>
      </c>
      <c r="U43" s="1429" t="s">
        <v>659</v>
      </c>
      <c r="V43" s="1430" t="s">
        <v>646</v>
      </c>
      <c r="W43" s="830" t="s">
        <v>3</v>
      </c>
      <c r="X43" s="831">
        <v>0</v>
      </c>
      <c r="Y43" s="831">
        <v>0</v>
      </c>
      <c r="Z43" s="831">
        <v>27422</v>
      </c>
      <c r="AA43" s="831">
        <v>0</v>
      </c>
      <c r="AB43" s="831">
        <v>0</v>
      </c>
      <c r="AC43" s="832">
        <v>27422</v>
      </c>
    </row>
    <row r="44" spans="1:29" s="825" customFormat="1" ht="21.75" customHeight="1" x14ac:dyDescent="0.2">
      <c r="A44" s="1429"/>
      <c r="B44" s="1430"/>
      <c r="C44" s="830" t="s">
        <v>567</v>
      </c>
      <c r="D44" s="830"/>
      <c r="E44" s="831"/>
      <c r="F44" s="831"/>
      <c r="G44" s="831">
        <f>7943+156</f>
        <v>8099</v>
      </c>
      <c r="H44" s="831">
        <v>1716</v>
      </c>
      <c r="I44" s="831"/>
      <c r="J44" s="831"/>
      <c r="K44" s="831"/>
      <c r="L44" s="831"/>
      <c r="M44" s="831"/>
      <c r="N44" s="831"/>
      <c r="O44" s="831"/>
      <c r="P44" s="831"/>
      <c r="Q44" s="831"/>
      <c r="R44" s="831">
        <f>AC44-S44</f>
        <v>18268</v>
      </c>
      <c r="S44" s="831">
        <f>G44+H44</f>
        <v>9815</v>
      </c>
      <c r="T44" s="832">
        <f>SUM(R44:S44)</f>
        <v>28083</v>
      </c>
      <c r="U44" s="1429"/>
      <c r="V44" s="1430"/>
      <c r="W44" s="830" t="s">
        <v>567</v>
      </c>
      <c r="X44" s="831"/>
      <c r="Y44" s="831"/>
      <c r="Z44" s="831">
        <f>27422+156+505</f>
        <v>28083</v>
      </c>
      <c r="AA44" s="831"/>
      <c r="AB44" s="831"/>
      <c r="AC44" s="832">
        <f>SUM(X44:AB44)</f>
        <v>28083</v>
      </c>
    </row>
    <row r="45" spans="1:29" s="825" customFormat="1" ht="21.75" customHeight="1" x14ac:dyDescent="0.2">
      <c r="A45" s="1429"/>
      <c r="B45" s="1430"/>
      <c r="C45" s="830" t="s">
        <v>619</v>
      </c>
      <c r="D45" s="830"/>
      <c r="E45" s="831"/>
      <c r="F45" s="831"/>
      <c r="G45" s="831">
        <f>7943+156</f>
        <v>8099</v>
      </c>
      <c r="H45" s="831">
        <v>1716</v>
      </c>
      <c r="I45" s="831"/>
      <c r="J45" s="831"/>
      <c r="K45" s="831"/>
      <c r="L45" s="831"/>
      <c r="M45" s="831"/>
      <c r="N45" s="831"/>
      <c r="O45" s="831"/>
      <c r="P45" s="831"/>
      <c r="Q45" s="831"/>
      <c r="R45" s="831">
        <f>AC45-S45</f>
        <v>18268</v>
      </c>
      <c r="S45" s="831">
        <f>E45+G45+H45+O45+D45+F45+I45+J45+K45+L45+M45+N45+Q45</f>
        <v>9815</v>
      </c>
      <c r="T45" s="832">
        <f>SUM(R45:S45)</f>
        <v>28083</v>
      </c>
      <c r="U45" s="1429"/>
      <c r="V45" s="1430"/>
      <c r="W45" s="830" t="s">
        <v>619</v>
      </c>
      <c r="X45" s="831"/>
      <c r="Y45" s="831"/>
      <c r="Z45" s="831">
        <f>27422+156+505</f>
        <v>28083</v>
      </c>
      <c r="AA45" s="831"/>
      <c r="AB45" s="831"/>
      <c r="AC45" s="832">
        <f>SUM(X45:AB45)</f>
        <v>28083</v>
      </c>
    </row>
    <row r="46" spans="1:29" s="826" customFormat="1" ht="21.75" customHeight="1" x14ac:dyDescent="0.2">
      <c r="A46" s="1424" t="s">
        <v>660</v>
      </c>
      <c r="B46" s="1430" t="s">
        <v>646</v>
      </c>
      <c r="C46" s="830" t="s">
        <v>3</v>
      </c>
      <c r="D46" s="830"/>
      <c r="E46" s="831">
        <v>3000</v>
      </c>
      <c r="F46" s="831"/>
      <c r="G46" s="831">
        <v>27314</v>
      </c>
      <c r="H46" s="831">
        <v>6946</v>
      </c>
      <c r="I46" s="831"/>
      <c r="J46" s="831"/>
      <c r="K46" s="831">
        <v>0</v>
      </c>
      <c r="L46" s="831">
        <v>0</v>
      </c>
      <c r="M46" s="831">
        <v>0</v>
      </c>
      <c r="N46" s="831">
        <v>0</v>
      </c>
      <c r="O46" s="831">
        <v>0</v>
      </c>
      <c r="P46" s="831">
        <v>0</v>
      </c>
      <c r="Q46" s="831">
        <v>0</v>
      </c>
      <c r="R46" s="831">
        <v>93099</v>
      </c>
      <c r="S46" s="831">
        <v>37260</v>
      </c>
      <c r="T46" s="832">
        <v>130359</v>
      </c>
      <c r="U46" s="1424" t="s">
        <v>660</v>
      </c>
      <c r="V46" s="1430" t="s">
        <v>646</v>
      </c>
      <c r="W46" s="830" t="s">
        <v>3</v>
      </c>
      <c r="X46" s="831">
        <v>0</v>
      </c>
      <c r="Y46" s="831">
        <v>0</v>
      </c>
      <c r="Z46" s="831">
        <v>130359</v>
      </c>
      <c r="AA46" s="831">
        <v>0</v>
      </c>
      <c r="AB46" s="831">
        <v>0</v>
      </c>
      <c r="AC46" s="832">
        <v>130359</v>
      </c>
    </row>
    <row r="47" spans="1:29" s="826" customFormat="1" ht="21.75" customHeight="1" x14ac:dyDescent="0.2">
      <c r="A47" s="1424"/>
      <c r="B47" s="1426"/>
      <c r="C47" s="830" t="s">
        <v>567</v>
      </c>
      <c r="D47" s="830"/>
      <c r="E47" s="831">
        <f t="shared" ref="E47:H48" si="1">E41+E44</f>
        <v>22500</v>
      </c>
      <c r="F47" s="831">
        <f t="shared" si="1"/>
        <v>0</v>
      </c>
      <c r="G47" s="831">
        <f t="shared" si="1"/>
        <v>27843</v>
      </c>
      <c r="H47" s="831">
        <f t="shared" si="1"/>
        <v>6946</v>
      </c>
      <c r="I47" s="831"/>
      <c r="J47" s="831"/>
      <c r="K47" s="831">
        <f t="shared" ref="K47:T48" si="2">K41+K44</f>
        <v>0</v>
      </c>
      <c r="L47" s="831">
        <f t="shared" si="2"/>
        <v>0</v>
      </c>
      <c r="M47" s="831">
        <f t="shared" si="2"/>
        <v>0</v>
      </c>
      <c r="N47" s="831">
        <f t="shared" si="2"/>
        <v>0</v>
      </c>
      <c r="O47" s="831">
        <f t="shared" si="2"/>
        <v>0</v>
      </c>
      <c r="P47" s="831">
        <f t="shared" si="2"/>
        <v>0</v>
      </c>
      <c r="Q47" s="831">
        <f t="shared" si="2"/>
        <v>0</v>
      </c>
      <c r="R47" s="831">
        <f t="shared" si="2"/>
        <v>71611</v>
      </c>
      <c r="S47" s="831">
        <f t="shared" si="2"/>
        <v>57289</v>
      </c>
      <c r="T47" s="832">
        <f t="shared" si="2"/>
        <v>128900</v>
      </c>
      <c r="U47" s="1424"/>
      <c r="V47" s="1430"/>
      <c r="W47" s="830" t="s">
        <v>567</v>
      </c>
      <c r="X47" s="831"/>
      <c r="Y47" s="831"/>
      <c r="Z47" s="831">
        <f>Z41+Z44</f>
        <v>128900</v>
      </c>
      <c r="AA47" s="831"/>
      <c r="AB47" s="831"/>
      <c r="AC47" s="832">
        <f>SUM(X47:AB47)</f>
        <v>128900</v>
      </c>
    </row>
    <row r="48" spans="1:29" s="826" customFormat="1" ht="21.75" customHeight="1" x14ac:dyDescent="0.2">
      <c r="A48" s="1424"/>
      <c r="B48" s="1426"/>
      <c r="C48" s="830" t="s">
        <v>619</v>
      </c>
      <c r="D48" s="830"/>
      <c r="E48" s="831">
        <f t="shared" si="1"/>
        <v>22500</v>
      </c>
      <c r="F48" s="831">
        <f t="shared" si="1"/>
        <v>0</v>
      </c>
      <c r="G48" s="831">
        <f t="shared" si="1"/>
        <v>27843</v>
      </c>
      <c r="H48" s="831">
        <f t="shared" si="1"/>
        <v>6946</v>
      </c>
      <c r="I48" s="831">
        <f>I42+I45</f>
        <v>0</v>
      </c>
      <c r="J48" s="831">
        <f>J42+J45</f>
        <v>0</v>
      </c>
      <c r="K48" s="831">
        <f t="shared" si="2"/>
        <v>0</v>
      </c>
      <c r="L48" s="831">
        <f t="shared" si="2"/>
        <v>0</v>
      </c>
      <c r="M48" s="831">
        <f t="shared" si="2"/>
        <v>0</v>
      </c>
      <c r="N48" s="831">
        <f t="shared" si="2"/>
        <v>0</v>
      </c>
      <c r="O48" s="831">
        <f t="shared" si="2"/>
        <v>0</v>
      </c>
      <c r="P48" s="831">
        <f t="shared" si="2"/>
        <v>0</v>
      </c>
      <c r="Q48" s="831">
        <f t="shared" si="2"/>
        <v>0</v>
      </c>
      <c r="R48" s="831">
        <f t="shared" si="2"/>
        <v>71611</v>
      </c>
      <c r="S48" s="831">
        <f>E48+G48+H48+O48+D48+F48+I48+J48+K48+L48+M48+N48+Q48</f>
        <v>57289</v>
      </c>
      <c r="T48" s="832">
        <f t="shared" si="2"/>
        <v>128900</v>
      </c>
      <c r="U48" s="1424"/>
      <c r="V48" s="1430"/>
      <c r="W48" s="830" t="s">
        <v>619</v>
      </c>
      <c r="X48" s="831"/>
      <c r="Y48" s="831"/>
      <c r="Z48" s="831">
        <f>Z42+Z45</f>
        <v>128900</v>
      </c>
      <c r="AA48" s="831"/>
      <c r="AB48" s="831"/>
      <c r="AC48" s="832">
        <f>SUM(X48:AB48)</f>
        <v>128900</v>
      </c>
    </row>
    <row r="49" spans="1:29" s="825" customFormat="1" ht="21.75" customHeight="1" x14ac:dyDescent="0.2">
      <c r="A49" s="1429" t="s">
        <v>661</v>
      </c>
      <c r="B49" s="1430" t="s">
        <v>646</v>
      </c>
      <c r="C49" s="830" t="s">
        <v>3</v>
      </c>
      <c r="D49" s="830"/>
      <c r="E49" s="831">
        <v>0</v>
      </c>
      <c r="F49" s="831"/>
      <c r="G49" s="831">
        <v>0</v>
      </c>
      <c r="H49" s="831">
        <v>0</v>
      </c>
      <c r="I49" s="831"/>
      <c r="J49" s="831"/>
      <c r="K49" s="831">
        <v>0</v>
      </c>
      <c r="L49" s="831">
        <v>0</v>
      </c>
      <c r="M49" s="831">
        <v>0</v>
      </c>
      <c r="N49" s="831">
        <v>0</v>
      </c>
      <c r="O49" s="831">
        <v>0</v>
      </c>
      <c r="P49" s="831">
        <v>0</v>
      </c>
      <c r="Q49" s="831">
        <v>0</v>
      </c>
      <c r="R49" s="831">
        <v>308</v>
      </c>
      <c r="S49" s="831">
        <v>0</v>
      </c>
      <c r="T49" s="832">
        <v>308</v>
      </c>
      <c r="U49" s="1429" t="s">
        <v>661</v>
      </c>
      <c r="V49" s="1430" t="s">
        <v>646</v>
      </c>
      <c r="W49" s="830" t="s">
        <v>3</v>
      </c>
      <c r="X49" s="831">
        <v>0</v>
      </c>
      <c r="Y49" s="831">
        <v>0</v>
      </c>
      <c r="Z49" s="831">
        <v>308</v>
      </c>
      <c r="AA49" s="831">
        <v>0</v>
      </c>
      <c r="AB49" s="831">
        <v>0</v>
      </c>
      <c r="AC49" s="832">
        <v>308</v>
      </c>
    </row>
    <row r="50" spans="1:29" s="825" customFormat="1" ht="21.75" customHeight="1" x14ac:dyDescent="0.2">
      <c r="A50" s="1429"/>
      <c r="B50" s="1430"/>
      <c r="C50" s="830" t="s">
        <v>567</v>
      </c>
      <c r="D50" s="830"/>
      <c r="E50" s="831"/>
      <c r="F50" s="831"/>
      <c r="G50" s="831"/>
      <c r="H50" s="831"/>
      <c r="I50" s="831"/>
      <c r="J50" s="831"/>
      <c r="K50" s="831"/>
      <c r="L50" s="831"/>
      <c r="M50" s="831"/>
      <c r="N50" s="831"/>
      <c r="O50" s="831"/>
      <c r="P50" s="831"/>
      <c r="Q50" s="831"/>
      <c r="R50" s="831">
        <f>AC50-S50</f>
        <v>308</v>
      </c>
      <c r="S50" s="831"/>
      <c r="T50" s="832">
        <f>SUM(R50:S50)</f>
        <v>308</v>
      </c>
      <c r="U50" s="1429"/>
      <c r="V50" s="1430"/>
      <c r="W50" s="830" t="s">
        <v>567</v>
      </c>
      <c r="X50" s="831"/>
      <c r="Y50" s="831"/>
      <c r="Z50" s="831">
        <v>308</v>
      </c>
      <c r="AA50" s="831"/>
      <c r="AB50" s="831"/>
      <c r="AC50" s="832">
        <f>SUM(Z50:AB50)</f>
        <v>308</v>
      </c>
    </row>
    <row r="51" spans="1:29" s="825" customFormat="1" ht="21.75" customHeight="1" x14ac:dyDescent="0.2">
      <c r="A51" s="1429"/>
      <c r="B51" s="1430"/>
      <c r="C51" s="830" t="s">
        <v>619</v>
      </c>
      <c r="D51" s="830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P51" s="831"/>
      <c r="Q51" s="831"/>
      <c r="R51" s="831">
        <f>AC51-S51</f>
        <v>12</v>
      </c>
      <c r="S51" s="831">
        <f>E51+G51+H51+O51+D51+F51+I51+J51+K51+L51+M51+N51+Q51</f>
        <v>0</v>
      </c>
      <c r="T51" s="832">
        <f>SUM(R51:S51)</f>
        <v>12</v>
      </c>
      <c r="U51" s="1429"/>
      <c r="V51" s="1430"/>
      <c r="W51" s="830" t="s">
        <v>619</v>
      </c>
      <c r="X51" s="831"/>
      <c r="Y51" s="831"/>
      <c r="Z51" s="831">
        <f>308-296</f>
        <v>12</v>
      </c>
      <c r="AA51" s="831"/>
      <c r="AB51" s="831"/>
      <c r="AC51" s="832">
        <f>SUM(Z51:AB51)</f>
        <v>12</v>
      </c>
    </row>
    <row r="52" spans="1:29" s="825" customFormat="1" ht="21.75" customHeight="1" x14ac:dyDescent="0.2">
      <c r="A52" s="1429" t="s">
        <v>662</v>
      </c>
      <c r="B52" s="1430" t="s">
        <v>646</v>
      </c>
      <c r="C52" s="830" t="s">
        <v>3</v>
      </c>
      <c r="D52" s="830"/>
      <c r="E52" s="831">
        <v>0</v>
      </c>
      <c r="F52" s="831"/>
      <c r="G52" s="831">
        <v>3670</v>
      </c>
      <c r="H52" s="831">
        <v>990</v>
      </c>
      <c r="I52" s="831"/>
      <c r="J52" s="831"/>
      <c r="K52" s="831">
        <v>0</v>
      </c>
      <c r="L52" s="831">
        <v>0</v>
      </c>
      <c r="M52" s="831">
        <v>0</v>
      </c>
      <c r="N52" s="831">
        <v>0</v>
      </c>
      <c r="O52" s="831">
        <v>0</v>
      </c>
      <c r="P52" s="831">
        <v>0</v>
      </c>
      <c r="Q52" s="831">
        <v>0</v>
      </c>
      <c r="R52" s="831">
        <v>18939</v>
      </c>
      <c r="S52" s="831">
        <v>4660</v>
      </c>
      <c r="T52" s="832">
        <v>23599</v>
      </c>
      <c r="U52" s="1429" t="s">
        <v>662</v>
      </c>
      <c r="V52" s="1430" t="s">
        <v>646</v>
      </c>
      <c r="W52" s="830" t="s">
        <v>3</v>
      </c>
      <c r="X52" s="831">
        <v>0</v>
      </c>
      <c r="Y52" s="831">
        <v>0</v>
      </c>
      <c r="Z52" s="831">
        <v>23599</v>
      </c>
      <c r="AA52" s="831">
        <v>0</v>
      </c>
      <c r="AB52" s="831">
        <v>0</v>
      </c>
      <c r="AC52" s="832">
        <v>23599</v>
      </c>
    </row>
    <row r="53" spans="1:29" s="825" customFormat="1" ht="21.75" customHeight="1" x14ac:dyDescent="0.2">
      <c r="A53" s="1429"/>
      <c r="B53" s="1430"/>
      <c r="C53" s="830" t="s">
        <v>567</v>
      </c>
      <c r="D53" s="830"/>
      <c r="E53" s="831"/>
      <c r="F53" s="831"/>
      <c r="G53" s="831">
        <v>3670</v>
      </c>
      <c r="H53" s="831">
        <v>990</v>
      </c>
      <c r="I53" s="831"/>
      <c r="J53" s="831"/>
      <c r="K53" s="831"/>
      <c r="L53" s="831"/>
      <c r="M53" s="831"/>
      <c r="N53" s="831"/>
      <c r="O53" s="831"/>
      <c r="P53" s="831"/>
      <c r="Q53" s="831"/>
      <c r="R53" s="831">
        <f>AC53-S53</f>
        <v>18939</v>
      </c>
      <c r="S53" s="831">
        <f>G53+H53</f>
        <v>4660</v>
      </c>
      <c r="T53" s="832">
        <f>SUM(R53:S53)</f>
        <v>23599</v>
      </c>
      <c r="U53" s="1429"/>
      <c r="V53" s="1430"/>
      <c r="W53" s="830" t="s">
        <v>567</v>
      </c>
      <c r="X53" s="831"/>
      <c r="Y53" s="831"/>
      <c r="Z53" s="831">
        <v>23599</v>
      </c>
      <c r="AA53" s="831"/>
      <c r="AB53" s="831"/>
      <c r="AC53" s="832">
        <f>SUM(X53:AB53)</f>
        <v>23599</v>
      </c>
    </row>
    <row r="54" spans="1:29" s="825" customFormat="1" ht="21.75" customHeight="1" x14ac:dyDescent="0.2">
      <c r="A54" s="1429"/>
      <c r="B54" s="1430"/>
      <c r="C54" s="830" t="s">
        <v>619</v>
      </c>
      <c r="D54" s="830"/>
      <c r="E54" s="831"/>
      <c r="F54" s="831"/>
      <c r="G54" s="831">
        <v>3670</v>
      </c>
      <c r="H54" s="831">
        <v>990</v>
      </c>
      <c r="I54" s="831"/>
      <c r="J54" s="831"/>
      <c r="K54" s="831"/>
      <c r="L54" s="831"/>
      <c r="M54" s="831"/>
      <c r="N54" s="831"/>
      <c r="O54" s="831"/>
      <c r="P54" s="831"/>
      <c r="Q54" s="831"/>
      <c r="R54" s="831">
        <f>AC54-S54</f>
        <v>22139</v>
      </c>
      <c r="S54" s="831">
        <f>E54+G54+H54+O54+D54+F54+I54+J54+K54+L54+M54+N54+Q54</f>
        <v>4660</v>
      </c>
      <c r="T54" s="832">
        <f>SUM(R54:S54)</f>
        <v>26799</v>
      </c>
      <c r="U54" s="1429"/>
      <c r="V54" s="1430"/>
      <c r="W54" s="830" t="s">
        <v>619</v>
      </c>
      <c r="X54" s="831"/>
      <c r="Y54" s="831"/>
      <c r="Z54" s="831">
        <f>23599+3200</f>
        <v>26799</v>
      </c>
      <c r="AA54" s="831"/>
      <c r="AB54" s="831"/>
      <c r="AC54" s="832">
        <f>SUM(X54:AB54)</f>
        <v>26799</v>
      </c>
    </row>
    <row r="55" spans="1:29" s="825" customFormat="1" ht="21.75" customHeight="1" x14ac:dyDescent="0.2">
      <c r="A55" s="1429" t="s">
        <v>663</v>
      </c>
      <c r="B55" s="1430" t="s">
        <v>646</v>
      </c>
      <c r="C55" s="830" t="s">
        <v>3</v>
      </c>
      <c r="D55" s="830"/>
      <c r="E55" s="831">
        <v>0</v>
      </c>
      <c r="F55" s="831"/>
      <c r="G55" s="831">
        <v>3495</v>
      </c>
      <c r="H55" s="831">
        <v>944</v>
      </c>
      <c r="I55" s="831"/>
      <c r="J55" s="831"/>
      <c r="K55" s="831">
        <v>0</v>
      </c>
      <c r="L55" s="831">
        <v>0</v>
      </c>
      <c r="M55" s="831">
        <v>0</v>
      </c>
      <c r="N55" s="831">
        <v>0</v>
      </c>
      <c r="O55" s="831">
        <v>0</v>
      </c>
      <c r="P55" s="831">
        <v>0</v>
      </c>
      <c r="Q55" s="831">
        <v>0</v>
      </c>
      <c r="R55" s="831">
        <v>6891</v>
      </c>
      <c r="S55" s="831">
        <v>4439</v>
      </c>
      <c r="T55" s="832">
        <v>11330</v>
      </c>
      <c r="U55" s="1429" t="s">
        <v>663</v>
      </c>
      <c r="V55" s="1430" t="s">
        <v>646</v>
      </c>
      <c r="W55" s="830" t="s">
        <v>3</v>
      </c>
      <c r="X55" s="831">
        <v>0</v>
      </c>
      <c r="Y55" s="831">
        <v>0</v>
      </c>
      <c r="Z55" s="831">
        <v>11330</v>
      </c>
      <c r="AA55" s="831">
        <v>0</v>
      </c>
      <c r="AB55" s="831">
        <v>0</v>
      </c>
      <c r="AC55" s="832">
        <v>11330</v>
      </c>
    </row>
    <row r="56" spans="1:29" s="825" customFormat="1" ht="21.75" customHeight="1" x14ac:dyDescent="0.2">
      <c r="A56" s="1429"/>
      <c r="B56" s="1430"/>
      <c r="C56" s="830" t="s">
        <v>567</v>
      </c>
      <c r="D56" s="830"/>
      <c r="E56" s="831"/>
      <c r="F56" s="831"/>
      <c r="G56" s="831">
        <f>3495+135</f>
        <v>3630</v>
      </c>
      <c r="H56" s="831">
        <v>944</v>
      </c>
      <c r="I56" s="831"/>
      <c r="J56" s="831"/>
      <c r="K56" s="831"/>
      <c r="L56" s="831"/>
      <c r="M56" s="831"/>
      <c r="N56" s="831"/>
      <c r="O56" s="831"/>
      <c r="P56" s="831"/>
      <c r="Q56" s="831"/>
      <c r="R56" s="831">
        <f>AC56-S56</f>
        <v>7176</v>
      </c>
      <c r="S56" s="831">
        <f>G56+H56</f>
        <v>4574</v>
      </c>
      <c r="T56" s="832">
        <f>SUM(R56:S56)</f>
        <v>11750</v>
      </c>
      <c r="U56" s="1429"/>
      <c r="V56" s="1430"/>
      <c r="W56" s="830" t="s">
        <v>567</v>
      </c>
      <c r="X56" s="831"/>
      <c r="Y56" s="831"/>
      <c r="Z56" s="831">
        <f>11330+135+285</f>
        <v>11750</v>
      </c>
      <c r="AA56" s="831"/>
      <c r="AB56" s="831"/>
      <c r="AC56" s="832">
        <f>SUM(X56:AB56)</f>
        <v>11750</v>
      </c>
    </row>
    <row r="57" spans="1:29" s="825" customFormat="1" ht="21.75" customHeight="1" x14ac:dyDescent="0.2">
      <c r="A57" s="1429"/>
      <c r="B57" s="1430"/>
      <c r="C57" s="830" t="s">
        <v>619</v>
      </c>
      <c r="D57" s="830"/>
      <c r="E57" s="831"/>
      <c r="F57" s="831"/>
      <c r="G57" s="831">
        <f>3495+135</f>
        <v>3630</v>
      </c>
      <c r="H57" s="831">
        <v>944</v>
      </c>
      <c r="I57" s="831"/>
      <c r="J57" s="831"/>
      <c r="K57" s="831"/>
      <c r="L57" s="831"/>
      <c r="M57" s="831"/>
      <c r="N57" s="831"/>
      <c r="O57" s="831"/>
      <c r="P57" s="831"/>
      <c r="Q57" s="831"/>
      <c r="R57" s="831">
        <f>AC57-S57</f>
        <v>7176</v>
      </c>
      <c r="S57" s="831">
        <f>E57+G57+H57+O57+D57+F57+I57+J57+K57+L57+M57+N57+Q57</f>
        <v>4574</v>
      </c>
      <c r="T57" s="832">
        <f>SUM(R57:S57)</f>
        <v>11750</v>
      </c>
      <c r="U57" s="1429"/>
      <c r="V57" s="1430"/>
      <c r="W57" s="830" t="s">
        <v>619</v>
      </c>
      <c r="X57" s="831"/>
      <c r="Y57" s="831"/>
      <c r="Z57" s="831">
        <f>11330+135+285</f>
        <v>11750</v>
      </c>
      <c r="AA57" s="831"/>
      <c r="AB57" s="831"/>
      <c r="AC57" s="832">
        <f>SUM(X57:AB57)</f>
        <v>11750</v>
      </c>
    </row>
    <row r="58" spans="1:29" s="825" customFormat="1" ht="21.75" customHeight="1" x14ac:dyDescent="0.2">
      <c r="A58" s="1429" t="s">
        <v>664</v>
      </c>
      <c r="B58" s="1430" t="s">
        <v>665</v>
      </c>
      <c r="C58" s="830" t="s">
        <v>3</v>
      </c>
      <c r="D58" s="830"/>
      <c r="E58" s="831">
        <v>366</v>
      </c>
      <c r="F58" s="831"/>
      <c r="G58" s="831">
        <v>0</v>
      </c>
      <c r="H58" s="831">
        <v>17331</v>
      </c>
      <c r="I58" s="831"/>
      <c r="J58" s="831"/>
      <c r="K58" s="831">
        <v>0</v>
      </c>
      <c r="L58" s="831">
        <v>0</v>
      </c>
      <c r="M58" s="831">
        <v>0</v>
      </c>
      <c r="N58" s="831">
        <v>0</v>
      </c>
      <c r="O58" s="831">
        <v>0</v>
      </c>
      <c r="P58" s="831">
        <v>0</v>
      </c>
      <c r="Q58" s="831">
        <v>0</v>
      </c>
      <c r="R58" s="831">
        <v>34788</v>
      </c>
      <c r="S58" s="831">
        <v>17697</v>
      </c>
      <c r="T58" s="832">
        <v>52485</v>
      </c>
      <c r="U58" s="1429" t="s">
        <v>664</v>
      </c>
      <c r="V58" s="1430" t="s">
        <v>665</v>
      </c>
      <c r="W58" s="830" t="s">
        <v>3</v>
      </c>
      <c r="X58" s="831">
        <v>36099</v>
      </c>
      <c r="Y58" s="831">
        <v>7571</v>
      </c>
      <c r="Z58" s="831">
        <v>6915</v>
      </c>
      <c r="AA58" s="831">
        <v>1900</v>
      </c>
      <c r="AB58" s="831">
        <v>0</v>
      </c>
      <c r="AC58" s="832">
        <v>52485</v>
      </c>
    </row>
    <row r="59" spans="1:29" s="825" customFormat="1" ht="21.75" customHeight="1" x14ac:dyDescent="0.2">
      <c r="A59" s="1429"/>
      <c r="B59" s="1430"/>
      <c r="C59" s="830" t="s">
        <v>567</v>
      </c>
      <c r="D59" s="830"/>
      <c r="E59" s="831">
        <f>366+78</f>
        <v>444</v>
      </c>
      <c r="F59" s="831"/>
      <c r="G59" s="831"/>
      <c r="H59" s="831">
        <v>17331</v>
      </c>
      <c r="I59" s="831"/>
      <c r="J59" s="831"/>
      <c r="K59" s="831"/>
      <c r="L59" s="831"/>
      <c r="M59" s="831"/>
      <c r="N59" s="831"/>
      <c r="O59" s="831"/>
      <c r="P59" s="831"/>
      <c r="Q59" s="831"/>
      <c r="R59" s="831">
        <f>AC59-S59</f>
        <v>41779</v>
      </c>
      <c r="S59" s="831">
        <f>E59+H59</f>
        <v>17775</v>
      </c>
      <c r="T59" s="832">
        <f>SUM(R59:S59)</f>
        <v>59554</v>
      </c>
      <c r="U59" s="1429"/>
      <c r="V59" s="1430"/>
      <c r="W59" s="830" t="s">
        <v>567</v>
      </c>
      <c r="X59" s="831">
        <f>36099+46-1610</f>
        <v>34535</v>
      </c>
      <c r="Y59" s="831">
        <f>7571+7-354</f>
        <v>7224</v>
      </c>
      <c r="Z59" s="831">
        <f>6915+2500+1203+3235+1964+78</f>
        <v>15895</v>
      </c>
      <c r="AA59" s="831">
        <v>1900</v>
      </c>
      <c r="AB59" s="831">
        <v>0</v>
      </c>
      <c r="AC59" s="832">
        <f>SUM(X59:AB59)</f>
        <v>59554</v>
      </c>
    </row>
    <row r="60" spans="1:29" s="825" customFormat="1" ht="21.75" customHeight="1" x14ac:dyDescent="0.2">
      <c r="A60" s="1429"/>
      <c r="B60" s="1430"/>
      <c r="C60" s="830" t="s">
        <v>619</v>
      </c>
      <c r="D60" s="830"/>
      <c r="E60" s="831">
        <f>366+78</f>
        <v>444</v>
      </c>
      <c r="F60" s="831"/>
      <c r="G60" s="831"/>
      <c r="H60" s="831">
        <f>17331+5000+970</f>
        <v>23301</v>
      </c>
      <c r="I60" s="831">
        <v>6</v>
      </c>
      <c r="J60" s="831"/>
      <c r="K60" s="831"/>
      <c r="L60" s="831"/>
      <c r="M60" s="831">
        <v>295</v>
      </c>
      <c r="N60" s="831"/>
      <c r="O60" s="831"/>
      <c r="P60" s="831"/>
      <c r="Q60" s="831">
        <v>365</v>
      </c>
      <c r="R60" s="831">
        <f>AC60-S60</f>
        <v>35861</v>
      </c>
      <c r="S60" s="831">
        <f>E60+G60+H60+O60+D60+F60+I60+J60+K60+L60+M60+N60+Q60</f>
        <v>24411</v>
      </c>
      <c r="T60" s="832">
        <f>SUM(R60:S60)</f>
        <v>60272</v>
      </c>
      <c r="U60" s="1429"/>
      <c r="V60" s="1430"/>
      <c r="W60" s="830" t="s">
        <v>619</v>
      </c>
      <c r="X60" s="831">
        <f>36099+46-1610+242+43+492</f>
        <v>35312</v>
      </c>
      <c r="Y60" s="831">
        <f>7571+7-354+53+9+108</f>
        <v>7394</v>
      </c>
      <c r="Z60" s="831">
        <f>6915+2500+1203+3235+1964+78+1500+5000+976+365-600-5000-970</f>
        <v>17166</v>
      </c>
      <c r="AA60" s="831">
        <f>1900-1500</f>
        <v>400</v>
      </c>
      <c r="AB60" s="831"/>
      <c r="AC60" s="832">
        <f>SUM(X60:AB60)</f>
        <v>60272</v>
      </c>
    </row>
    <row r="61" spans="1:29" s="825" customFormat="1" ht="21.75" customHeight="1" x14ac:dyDescent="0.2">
      <c r="A61" s="1429" t="s">
        <v>666</v>
      </c>
      <c r="B61" s="833"/>
      <c r="C61" s="830" t="s">
        <v>3</v>
      </c>
      <c r="D61" s="831">
        <v>0</v>
      </c>
      <c r="E61" s="831">
        <v>3366</v>
      </c>
      <c r="F61" s="831"/>
      <c r="G61" s="831">
        <v>65331</v>
      </c>
      <c r="H61" s="831">
        <v>34541</v>
      </c>
      <c r="I61" s="831"/>
      <c r="J61" s="831"/>
      <c r="K61" s="831">
        <v>0</v>
      </c>
      <c r="L61" s="831">
        <v>0</v>
      </c>
      <c r="M61" s="831">
        <v>0</v>
      </c>
      <c r="N61" s="831">
        <v>0</v>
      </c>
      <c r="O61" s="831">
        <v>0</v>
      </c>
      <c r="P61" s="831">
        <v>0</v>
      </c>
      <c r="Q61" s="831">
        <v>0</v>
      </c>
      <c r="R61" s="831">
        <v>218769</v>
      </c>
      <c r="S61" s="831">
        <v>103238</v>
      </c>
      <c r="T61" s="832">
        <v>322007</v>
      </c>
      <c r="U61" s="1429" t="s">
        <v>666</v>
      </c>
      <c r="V61" s="833"/>
      <c r="W61" s="830" t="s">
        <v>3</v>
      </c>
      <c r="X61" s="831">
        <v>36099</v>
      </c>
      <c r="Y61" s="831">
        <v>7571</v>
      </c>
      <c r="Z61" s="831">
        <v>276437</v>
      </c>
      <c r="AA61" s="831">
        <v>1900</v>
      </c>
      <c r="AB61" s="831">
        <v>0</v>
      </c>
      <c r="AC61" s="832">
        <v>322007</v>
      </c>
    </row>
    <row r="62" spans="1:29" s="825" customFormat="1" ht="21.75" customHeight="1" x14ac:dyDescent="0.2">
      <c r="A62" s="1429"/>
      <c r="B62" s="833"/>
      <c r="C62" s="830" t="s">
        <v>567</v>
      </c>
      <c r="D62" s="831">
        <f t="shared" ref="D62:H63" si="3">D38+D47+D50+D53+D56+D59</f>
        <v>0</v>
      </c>
      <c r="E62" s="831">
        <f t="shared" si="3"/>
        <v>22944</v>
      </c>
      <c r="F62" s="831">
        <f t="shared" si="3"/>
        <v>0</v>
      </c>
      <c r="G62" s="831">
        <f t="shared" si="3"/>
        <v>66587</v>
      </c>
      <c r="H62" s="831">
        <f t="shared" si="3"/>
        <v>34541</v>
      </c>
      <c r="I62" s="831"/>
      <c r="J62" s="831"/>
      <c r="K62" s="831">
        <f t="shared" ref="K62:T63" si="4">K38+K47+K50+K53+K56+K59</f>
        <v>0</v>
      </c>
      <c r="L62" s="831">
        <f t="shared" si="4"/>
        <v>0</v>
      </c>
      <c r="M62" s="831">
        <f t="shared" si="4"/>
        <v>0</v>
      </c>
      <c r="N62" s="831">
        <f t="shared" si="4"/>
        <v>0</v>
      </c>
      <c r="O62" s="831">
        <f t="shared" si="4"/>
        <v>0</v>
      </c>
      <c r="P62" s="831">
        <f t="shared" si="4"/>
        <v>0</v>
      </c>
      <c r="Q62" s="831">
        <f t="shared" si="4"/>
        <v>0</v>
      </c>
      <c r="R62" s="831">
        <f t="shared" si="4"/>
        <v>207011</v>
      </c>
      <c r="S62" s="831">
        <f t="shared" si="4"/>
        <v>124072</v>
      </c>
      <c r="T62" s="832">
        <f t="shared" si="4"/>
        <v>331083</v>
      </c>
      <c r="U62" s="1429"/>
      <c r="V62" s="833"/>
      <c r="W62" s="830" t="s">
        <v>567</v>
      </c>
      <c r="X62" s="831">
        <f t="shared" ref="X62:AC63" si="5">X38+X47+X50+X53+X56+X59</f>
        <v>34535</v>
      </c>
      <c r="Y62" s="831">
        <f t="shared" si="5"/>
        <v>7224</v>
      </c>
      <c r="Z62" s="831">
        <f t="shared" si="5"/>
        <v>287424</v>
      </c>
      <c r="AA62" s="831">
        <f t="shared" si="5"/>
        <v>1900</v>
      </c>
      <c r="AB62" s="831">
        <f t="shared" si="5"/>
        <v>0</v>
      </c>
      <c r="AC62" s="832">
        <f t="shared" si="5"/>
        <v>331083</v>
      </c>
    </row>
    <row r="63" spans="1:29" s="825" customFormat="1" ht="21.75" customHeight="1" x14ac:dyDescent="0.2">
      <c r="A63" s="1429"/>
      <c r="B63" s="833"/>
      <c r="C63" s="830" t="s">
        <v>619</v>
      </c>
      <c r="D63" s="831">
        <f t="shared" si="3"/>
        <v>0</v>
      </c>
      <c r="E63" s="831">
        <f t="shared" si="3"/>
        <v>22944</v>
      </c>
      <c r="F63" s="831">
        <f t="shared" si="3"/>
        <v>0</v>
      </c>
      <c r="G63" s="831">
        <f t="shared" si="3"/>
        <v>66587</v>
      </c>
      <c r="H63" s="831">
        <f t="shared" si="3"/>
        <v>40511</v>
      </c>
      <c r="I63" s="831">
        <f>I39+I48+I51+I54+I57+I60</f>
        <v>6</v>
      </c>
      <c r="J63" s="831">
        <f>J39+J48+J51+J54+J57+J60</f>
        <v>0</v>
      </c>
      <c r="K63" s="831">
        <f t="shared" si="4"/>
        <v>0</v>
      </c>
      <c r="L63" s="831">
        <f t="shared" si="4"/>
        <v>0</v>
      </c>
      <c r="M63" s="831">
        <f t="shared" si="4"/>
        <v>295</v>
      </c>
      <c r="N63" s="831">
        <f t="shared" si="4"/>
        <v>0</v>
      </c>
      <c r="O63" s="831">
        <f t="shared" si="4"/>
        <v>0</v>
      </c>
      <c r="P63" s="831">
        <f t="shared" si="4"/>
        <v>0</v>
      </c>
      <c r="Q63" s="831">
        <f t="shared" si="4"/>
        <v>365</v>
      </c>
      <c r="R63" s="831">
        <f t="shared" si="4"/>
        <v>200797</v>
      </c>
      <c r="S63" s="831">
        <f>E63+G63+H63+O63+D63+F63+I63+J63+K63+L63+M63+N63+Q63</f>
        <v>130708</v>
      </c>
      <c r="T63" s="832">
        <f t="shared" si="4"/>
        <v>331505</v>
      </c>
      <c r="U63" s="1429"/>
      <c r="V63" s="833"/>
      <c r="W63" s="830" t="s">
        <v>619</v>
      </c>
      <c r="X63" s="831">
        <f t="shared" si="5"/>
        <v>35312</v>
      </c>
      <c r="Y63" s="831">
        <f t="shared" si="5"/>
        <v>7394</v>
      </c>
      <c r="Z63" s="831">
        <f t="shared" si="5"/>
        <v>288399</v>
      </c>
      <c r="AA63" s="831">
        <f t="shared" si="5"/>
        <v>400</v>
      </c>
      <c r="AB63" s="831">
        <f t="shared" si="5"/>
        <v>0</v>
      </c>
      <c r="AC63" s="832">
        <f t="shared" si="5"/>
        <v>331505</v>
      </c>
    </row>
    <row r="64" spans="1:29" s="825" customFormat="1" ht="21.75" customHeight="1" x14ac:dyDescent="0.2">
      <c r="A64" s="1429" t="s">
        <v>103</v>
      </c>
      <c r="B64" s="1430" t="s">
        <v>646</v>
      </c>
      <c r="C64" s="830" t="s">
        <v>3</v>
      </c>
      <c r="D64" s="831">
        <v>2000</v>
      </c>
      <c r="E64" s="831">
        <v>28285</v>
      </c>
      <c r="F64" s="831">
        <v>300</v>
      </c>
      <c r="G64" s="831">
        <v>0</v>
      </c>
      <c r="H64" s="831">
        <v>9918</v>
      </c>
      <c r="I64" s="831"/>
      <c r="J64" s="831"/>
      <c r="K64" s="831">
        <v>0</v>
      </c>
      <c r="L64" s="831">
        <v>0</v>
      </c>
      <c r="M64" s="831">
        <v>0</v>
      </c>
      <c r="N64" s="831">
        <v>800</v>
      </c>
      <c r="O64" s="831">
        <v>0</v>
      </c>
      <c r="P64" s="831">
        <v>0</v>
      </c>
      <c r="Q64" s="831">
        <v>0</v>
      </c>
      <c r="R64" s="831">
        <v>147021</v>
      </c>
      <c r="S64" s="831">
        <v>41303</v>
      </c>
      <c r="T64" s="832">
        <v>188324</v>
      </c>
      <c r="U64" s="1429" t="s">
        <v>103</v>
      </c>
      <c r="V64" s="1430" t="s">
        <v>646</v>
      </c>
      <c r="W64" s="830" t="s">
        <v>3</v>
      </c>
      <c r="X64" s="831">
        <v>114950</v>
      </c>
      <c r="Y64" s="831">
        <v>26535</v>
      </c>
      <c r="Z64" s="831">
        <v>29839</v>
      </c>
      <c r="AA64" s="831">
        <v>10000</v>
      </c>
      <c r="AB64" s="831">
        <v>7000</v>
      </c>
      <c r="AC64" s="832">
        <v>188324</v>
      </c>
    </row>
    <row r="65" spans="1:29" s="825" customFormat="1" ht="21.75" customHeight="1" x14ac:dyDescent="0.2">
      <c r="A65" s="1429"/>
      <c r="B65" s="1430"/>
      <c r="C65" s="830" t="s">
        <v>567</v>
      </c>
      <c r="D65" s="831">
        <v>2000</v>
      </c>
      <c r="E65" s="831">
        <v>28285</v>
      </c>
      <c r="F65" s="831">
        <v>300</v>
      </c>
      <c r="G65" s="831"/>
      <c r="H65" s="831">
        <v>9918</v>
      </c>
      <c r="I65" s="831"/>
      <c r="J65" s="831"/>
      <c r="K65" s="831">
        <v>900</v>
      </c>
      <c r="L65" s="831"/>
      <c r="M65" s="831"/>
      <c r="N65" s="831">
        <v>800</v>
      </c>
      <c r="O65" s="831"/>
      <c r="P65" s="831"/>
      <c r="Q65" s="831"/>
      <c r="R65" s="831">
        <f>AC65-S65</f>
        <v>155554</v>
      </c>
      <c r="S65" s="831">
        <f>D65+E65+F65+G65+H65+K65+N65</f>
        <v>42203</v>
      </c>
      <c r="T65" s="832">
        <f>SUM(R65:S65)</f>
        <v>197757</v>
      </c>
      <c r="U65" s="1429"/>
      <c r="V65" s="1430"/>
      <c r="W65" s="830" t="s">
        <v>567</v>
      </c>
      <c r="X65" s="831">
        <f>114950+120+1219</f>
        <v>116289</v>
      </c>
      <c r="Y65" s="831">
        <f>26535+16+268</f>
        <v>26819</v>
      </c>
      <c r="Z65" s="831">
        <f>29839+4520+900</f>
        <v>35259</v>
      </c>
      <c r="AA65" s="831">
        <f>10000+2390</f>
        <v>12390</v>
      </c>
      <c r="AB65" s="831">
        <v>7000</v>
      </c>
      <c r="AC65" s="832">
        <f>SUM(X65:AB65)</f>
        <v>197757</v>
      </c>
    </row>
    <row r="66" spans="1:29" s="825" customFormat="1" ht="21.75" customHeight="1" x14ac:dyDescent="0.2">
      <c r="A66" s="1429"/>
      <c r="B66" s="1430"/>
      <c r="C66" s="830" t="s">
        <v>619</v>
      </c>
      <c r="D66" s="831">
        <v>2000</v>
      </c>
      <c r="E66" s="831">
        <v>28285</v>
      </c>
      <c r="F66" s="831">
        <v>300</v>
      </c>
      <c r="G66" s="831"/>
      <c r="H66" s="831">
        <v>9918</v>
      </c>
      <c r="I66" s="831">
        <v>2</v>
      </c>
      <c r="J66" s="831"/>
      <c r="K66" s="831">
        <f>900+6270</f>
        <v>7170</v>
      </c>
      <c r="L66" s="831">
        <v>800</v>
      </c>
      <c r="M66" s="831">
        <v>3889</v>
      </c>
      <c r="N66" s="831">
        <f>800-800</f>
        <v>0</v>
      </c>
      <c r="O66" s="831"/>
      <c r="P66" s="831"/>
      <c r="Q66" s="831">
        <v>1538</v>
      </c>
      <c r="R66" s="831">
        <f>AC66-S66</f>
        <v>165134</v>
      </c>
      <c r="S66" s="831">
        <f>E66+G66+H66+O66+D66+F66+I66+J66+K66+L66+M66+N66+Q66</f>
        <v>53902</v>
      </c>
      <c r="T66" s="832">
        <f>SUM(R66:S66)</f>
        <v>219036</v>
      </c>
      <c r="U66" s="1429"/>
      <c r="V66" s="1430"/>
      <c r="W66" s="830" t="s">
        <v>619</v>
      </c>
      <c r="X66" s="831">
        <f>114950+120+1219+3188+1730+2528+154+150</f>
        <v>124039</v>
      </c>
      <c r="Y66" s="831">
        <f>26535+16+268+701+320+556+34</f>
        <v>28430</v>
      </c>
      <c r="Z66" s="831">
        <f>29839+4520+900+2+4220+1538+2500+3108+550</f>
        <v>47177</v>
      </c>
      <c r="AA66" s="831">
        <f>10000+2390</f>
        <v>12390</v>
      </c>
      <c r="AB66" s="831">
        <v>7000</v>
      </c>
      <c r="AC66" s="832">
        <f>SUM(X66:AB66)</f>
        <v>219036</v>
      </c>
    </row>
    <row r="67" spans="1:29" s="825" customFormat="1" ht="21.75" customHeight="1" x14ac:dyDescent="0.2">
      <c r="A67" s="1429" t="s">
        <v>667</v>
      </c>
      <c r="B67" s="1430" t="s">
        <v>646</v>
      </c>
      <c r="C67" s="830" t="s">
        <v>3</v>
      </c>
      <c r="D67" s="830"/>
      <c r="E67" s="831">
        <v>1230</v>
      </c>
      <c r="F67" s="831"/>
      <c r="G67" s="831">
        <v>0</v>
      </c>
      <c r="H67" s="831">
        <v>332</v>
      </c>
      <c r="I67" s="831"/>
      <c r="J67" s="831"/>
      <c r="K67" s="831">
        <v>0</v>
      </c>
      <c r="L67" s="831">
        <v>0</v>
      </c>
      <c r="M67" s="831">
        <v>0</v>
      </c>
      <c r="N67" s="831">
        <v>0</v>
      </c>
      <c r="O67" s="831">
        <v>0</v>
      </c>
      <c r="P67" s="831">
        <v>0</v>
      </c>
      <c r="Q67" s="831">
        <v>0</v>
      </c>
      <c r="R67" s="831">
        <v>34975</v>
      </c>
      <c r="S67" s="831">
        <f>E67+H67+M67</f>
        <v>1562</v>
      </c>
      <c r="T67" s="832">
        <v>36537</v>
      </c>
      <c r="U67" s="1429" t="s">
        <v>667</v>
      </c>
      <c r="V67" s="1430" t="s">
        <v>646</v>
      </c>
      <c r="W67" s="830" t="s">
        <v>3</v>
      </c>
      <c r="X67" s="831">
        <v>24309</v>
      </c>
      <c r="Y67" s="831">
        <v>5087</v>
      </c>
      <c r="Z67" s="831">
        <v>6141</v>
      </c>
      <c r="AA67" s="831">
        <v>1000</v>
      </c>
      <c r="AB67" s="831">
        <v>0</v>
      </c>
      <c r="AC67" s="832">
        <v>36537</v>
      </c>
    </row>
    <row r="68" spans="1:29" s="825" customFormat="1" ht="21.75" customHeight="1" x14ac:dyDescent="0.2">
      <c r="A68" s="1429"/>
      <c r="B68" s="1430"/>
      <c r="C68" s="830" t="s">
        <v>567</v>
      </c>
      <c r="D68" s="830"/>
      <c r="E68" s="831">
        <v>1230</v>
      </c>
      <c r="F68" s="831"/>
      <c r="G68" s="831"/>
      <c r="H68" s="831">
        <v>332</v>
      </c>
      <c r="I68" s="831"/>
      <c r="J68" s="831"/>
      <c r="K68" s="831"/>
      <c r="L68" s="831"/>
      <c r="M68" s="831"/>
      <c r="N68" s="831"/>
      <c r="O68" s="831"/>
      <c r="P68" s="831"/>
      <c r="Q68" s="831"/>
      <c r="R68" s="831">
        <f>AC68-S68</f>
        <v>37718</v>
      </c>
      <c r="S68" s="831">
        <f>E68+H68+M68</f>
        <v>1562</v>
      </c>
      <c r="T68" s="832">
        <f>SUM(R68:S68)</f>
        <v>39280</v>
      </c>
      <c r="U68" s="1429"/>
      <c r="V68" s="1430"/>
      <c r="W68" s="830" t="s">
        <v>567</v>
      </c>
      <c r="X68" s="831">
        <f>24309+88+369</f>
        <v>24766</v>
      </c>
      <c r="Y68" s="831">
        <f>5087+14+81</f>
        <v>5182</v>
      </c>
      <c r="Z68" s="831">
        <f>6141+2640-749+300</f>
        <v>8332</v>
      </c>
      <c r="AA68" s="831">
        <f>1000-749+749</f>
        <v>1000</v>
      </c>
      <c r="AB68" s="831"/>
      <c r="AC68" s="832">
        <f>SUM(X68:AB68)</f>
        <v>39280</v>
      </c>
    </row>
    <row r="69" spans="1:29" s="825" customFormat="1" ht="21.75" customHeight="1" x14ac:dyDescent="0.2">
      <c r="A69" s="1429"/>
      <c r="B69" s="1430"/>
      <c r="C69" s="830" t="s">
        <v>619</v>
      </c>
      <c r="D69" s="830"/>
      <c r="E69" s="831">
        <f>1230+140</f>
        <v>1370</v>
      </c>
      <c r="F69" s="831"/>
      <c r="G69" s="831"/>
      <c r="H69" s="831">
        <v>332</v>
      </c>
      <c r="I69" s="831"/>
      <c r="J69" s="831"/>
      <c r="K69" s="831"/>
      <c r="L69" s="831"/>
      <c r="M69" s="831">
        <v>147</v>
      </c>
      <c r="N69" s="831"/>
      <c r="O69" s="831"/>
      <c r="P69" s="831"/>
      <c r="Q69" s="831">
        <v>189</v>
      </c>
      <c r="R69" s="831">
        <f>AC69-S69</f>
        <v>42567</v>
      </c>
      <c r="S69" s="831">
        <f>E69+G69+H69+O69+D69+F69+I69+J69+K69+L69+M69+N69+Q69</f>
        <v>2038</v>
      </c>
      <c r="T69" s="832">
        <f>SUM(R69:S69)</f>
        <v>44605</v>
      </c>
      <c r="U69" s="1429"/>
      <c r="V69" s="1430"/>
      <c r="W69" s="830" t="s">
        <v>619</v>
      </c>
      <c r="X69" s="831">
        <f>24309+88+369+121+770+146</f>
        <v>25803</v>
      </c>
      <c r="Y69" s="831">
        <f>5087+14+81+26+169+32</f>
        <v>5409</v>
      </c>
      <c r="Z69" s="831">
        <f>6141+2640-749+300+262+100+189+2778</f>
        <v>11661</v>
      </c>
      <c r="AA69" s="831">
        <f>1000-749+749-262+140+854</f>
        <v>1732</v>
      </c>
      <c r="AB69" s="831"/>
      <c r="AC69" s="832">
        <f>SUM(X69:AB69)</f>
        <v>44605</v>
      </c>
    </row>
    <row r="70" spans="1:29" s="826" customFormat="1" ht="21.75" customHeight="1" x14ac:dyDescent="0.2">
      <c r="A70" s="1424" t="s">
        <v>668</v>
      </c>
      <c r="B70" s="1430" t="s">
        <v>646</v>
      </c>
      <c r="C70" s="830" t="s">
        <v>3</v>
      </c>
      <c r="D70" s="830"/>
      <c r="E70" s="831">
        <v>0</v>
      </c>
      <c r="F70" s="831">
        <v>1256</v>
      </c>
      <c r="G70" s="831">
        <v>0</v>
      </c>
      <c r="H70" s="831">
        <v>0</v>
      </c>
      <c r="I70" s="831"/>
      <c r="J70" s="831"/>
      <c r="K70" s="831">
        <v>0</v>
      </c>
      <c r="L70" s="831">
        <v>0</v>
      </c>
      <c r="M70" s="831">
        <v>70168</v>
      </c>
      <c r="N70" s="831">
        <v>0</v>
      </c>
      <c r="O70" s="831">
        <v>0</v>
      </c>
      <c r="P70" s="831">
        <v>0</v>
      </c>
      <c r="Q70" s="831">
        <v>0</v>
      </c>
      <c r="R70" s="831">
        <v>234</v>
      </c>
      <c r="S70" s="831">
        <f>F70+M70</f>
        <v>71424</v>
      </c>
      <c r="T70" s="832">
        <v>71658</v>
      </c>
      <c r="U70" s="1424" t="s">
        <v>668</v>
      </c>
      <c r="V70" s="1430" t="s">
        <v>646</v>
      </c>
      <c r="W70" s="830" t="s">
        <v>3</v>
      </c>
      <c r="X70" s="831">
        <v>49981</v>
      </c>
      <c r="Y70" s="831">
        <v>10801</v>
      </c>
      <c r="Z70" s="831">
        <v>10072</v>
      </c>
      <c r="AA70" s="831">
        <v>804</v>
      </c>
      <c r="AB70" s="831">
        <v>0</v>
      </c>
      <c r="AC70" s="832">
        <v>71658</v>
      </c>
    </row>
    <row r="71" spans="1:29" s="826" customFormat="1" ht="21.75" customHeight="1" x14ac:dyDescent="0.2">
      <c r="A71" s="1424"/>
      <c r="B71" s="1426"/>
      <c r="C71" s="830" t="s">
        <v>567</v>
      </c>
      <c r="D71" s="830"/>
      <c r="E71" s="831"/>
      <c r="F71" s="831">
        <v>1256</v>
      </c>
      <c r="G71" s="831"/>
      <c r="H71" s="831"/>
      <c r="I71" s="831"/>
      <c r="J71" s="831"/>
      <c r="K71" s="831"/>
      <c r="L71" s="831"/>
      <c r="M71" s="831">
        <v>70168</v>
      </c>
      <c r="N71" s="831"/>
      <c r="O71" s="831"/>
      <c r="P71" s="831"/>
      <c r="Q71" s="831"/>
      <c r="R71" s="831">
        <f>AC71-S71</f>
        <v>7344</v>
      </c>
      <c r="S71" s="831">
        <f>F71+M71</f>
        <v>71424</v>
      </c>
      <c r="T71" s="832">
        <f>SUM(R71:S71)</f>
        <v>78768</v>
      </c>
      <c r="U71" s="1424"/>
      <c r="V71" s="1430"/>
      <c r="W71" s="830" t="s">
        <v>567</v>
      </c>
      <c r="X71" s="831">
        <f>49981+77+2528+440-1772</f>
        <v>51254</v>
      </c>
      <c r="Y71" s="831">
        <f>10801+12+683-390</f>
        <v>11106</v>
      </c>
      <c r="Z71" s="831">
        <f>10072+3070+2162+300</f>
        <v>15604</v>
      </c>
      <c r="AA71" s="831">
        <v>804</v>
      </c>
      <c r="AB71" s="831"/>
      <c r="AC71" s="832">
        <f>SUM(X71:AB71)</f>
        <v>78768</v>
      </c>
    </row>
    <row r="72" spans="1:29" s="826" customFormat="1" ht="21.75" customHeight="1" x14ac:dyDescent="0.2">
      <c r="A72" s="1424"/>
      <c r="B72" s="1426"/>
      <c r="C72" s="830" t="s">
        <v>619</v>
      </c>
      <c r="D72" s="830"/>
      <c r="E72" s="831"/>
      <c r="F72" s="831">
        <v>1256</v>
      </c>
      <c r="G72" s="831"/>
      <c r="H72" s="831"/>
      <c r="I72" s="831">
        <v>1</v>
      </c>
      <c r="J72" s="831">
        <v>38</v>
      </c>
      <c r="K72" s="831"/>
      <c r="L72" s="831"/>
      <c r="M72" s="831">
        <v>70168</v>
      </c>
      <c r="N72" s="831"/>
      <c r="O72" s="831"/>
      <c r="P72" s="831"/>
      <c r="Q72" s="831">
        <v>2167</v>
      </c>
      <c r="R72" s="831">
        <f>AC72-S72</f>
        <v>7457</v>
      </c>
      <c r="S72" s="831">
        <f>E72+G72+H72+O72+D72+F72+I72+J72+K72+L72+M72+N72+Q72</f>
        <v>73630</v>
      </c>
      <c r="T72" s="832">
        <f>SUM(R72:S72)</f>
        <v>81087</v>
      </c>
      <c r="U72" s="1424"/>
      <c r="V72" s="1430"/>
      <c r="W72" s="830" t="s">
        <v>619</v>
      </c>
      <c r="X72" s="831">
        <f>49981+77+2528+440-1772-1617+600+93</f>
        <v>50330</v>
      </c>
      <c r="Y72" s="831">
        <f>10801+12+683-390-356+132+20</f>
        <v>10902</v>
      </c>
      <c r="Z72" s="831">
        <f>10072+3070+2162+300+1973+39+1435</f>
        <v>19051</v>
      </c>
      <c r="AA72" s="831">
        <v>804</v>
      </c>
      <c r="AB72" s="831"/>
      <c r="AC72" s="832">
        <f>SUM(X72:AB72)</f>
        <v>81087</v>
      </c>
    </row>
    <row r="73" spans="1:29" s="826" customFormat="1" ht="21.75" customHeight="1" x14ac:dyDescent="0.2">
      <c r="A73" s="1424" t="s">
        <v>669</v>
      </c>
      <c r="B73" s="1426" t="s">
        <v>670</v>
      </c>
      <c r="C73" s="834" t="s">
        <v>3</v>
      </c>
      <c r="D73" s="835">
        <v>2000</v>
      </c>
      <c r="E73" s="835">
        <v>51467</v>
      </c>
      <c r="F73" s="835">
        <v>1556</v>
      </c>
      <c r="G73" s="835">
        <v>83853</v>
      </c>
      <c r="H73" s="835">
        <v>53420</v>
      </c>
      <c r="I73" s="835"/>
      <c r="J73" s="835"/>
      <c r="K73" s="835">
        <v>0</v>
      </c>
      <c r="L73" s="835">
        <v>0</v>
      </c>
      <c r="M73" s="835">
        <v>70168</v>
      </c>
      <c r="N73" s="835">
        <v>800</v>
      </c>
      <c r="O73" s="835">
        <v>0</v>
      </c>
      <c r="P73" s="835">
        <v>0</v>
      </c>
      <c r="Q73" s="835">
        <v>0</v>
      </c>
      <c r="R73" s="835">
        <v>986035</v>
      </c>
      <c r="S73" s="835">
        <v>263264</v>
      </c>
      <c r="T73" s="836">
        <v>1249299</v>
      </c>
      <c r="U73" s="1424" t="s">
        <v>669</v>
      </c>
      <c r="V73" s="1426" t="s">
        <v>670</v>
      </c>
      <c r="W73" s="834" t="s">
        <v>3</v>
      </c>
      <c r="X73" s="835">
        <v>646786</v>
      </c>
      <c r="Y73" s="835">
        <f>Y70+Y67+Y64+Y61+Y25+Y22+Y19+Y16+Y13+Y10+Y7+Y4</f>
        <v>142666</v>
      </c>
      <c r="Z73" s="835">
        <f>Z70+Z67+Z64+Z61+Z25+Z22+Z19+Z16+Z13+Z10+Z7+Z4</f>
        <v>425875</v>
      </c>
      <c r="AA73" s="835">
        <f>AA70+AA67+AA64+AA61+AA25+AA22+AA19+AA16+AA13+AA10+AA7+AA4</f>
        <v>22295</v>
      </c>
      <c r="AB73" s="835">
        <f>AB70+AB67+AB64+AB61+AB25+AB22+AB19+AB16+AB13+AB10+AB7+AB4</f>
        <v>11677</v>
      </c>
      <c r="AC73" s="836">
        <v>1249299</v>
      </c>
    </row>
    <row r="74" spans="1:29" s="825" customFormat="1" ht="21.75" customHeight="1" x14ac:dyDescent="0.2">
      <c r="A74" s="1424"/>
      <c r="B74" s="1426"/>
      <c r="C74" s="834" t="s">
        <v>567</v>
      </c>
      <c r="D74" s="837">
        <f t="shared" ref="D74:H75" si="6">D5+D8+D11+D14+D17+D20+D23+D26+D62+D65+D68+D71</f>
        <v>2000</v>
      </c>
      <c r="E74" s="837">
        <f t="shared" si="6"/>
        <v>71045</v>
      </c>
      <c r="F74" s="837">
        <f t="shared" si="6"/>
        <v>2854</v>
      </c>
      <c r="G74" s="837">
        <f t="shared" si="6"/>
        <v>85109</v>
      </c>
      <c r="H74" s="837">
        <f t="shared" si="6"/>
        <v>53420</v>
      </c>
      <c r="I74" s="837"/>
      <c r="J74" s="837"/>
      <c r="K74" s="837">
        <f t="shared" ref="K74:T75" si="7">K5+K8+K11+K14+K17+K20+K23+K26+K62+K65+K68+K71</f>
        <v>900</v>
      </c>
      <c r="L74" s="837">
        <f t="shared" si="7"/>
        <v>0</v>
      </c>
      <c r="M74" s="837">
        <f t="shared" si="7"/>
        <v>70168</v>
      </c>
      <c r="N74" s="837">
        <f t="shared" si="7"/>
        <v>800</v>
      </c>
      <c r="O74" s="837">
        <f t="shared" si="7"/>
        <v>0</v>
      </c>
      <c r="P74" s="837">
        <f t="shared" si="7"/>
        <v>0</v>
      </c>
      <c r="Q74" s="837">
        <f t="shared" si="7"/>
        <v>0</v>
      </c>
      <c r="R74" s="837">
        <f t="shared" si="7"/>
        <v>1014225</v>
      </c>
      <c r="S74" s="837">
        <f t="shared" si="7"/>
        <v>286296</v>
      </c>
      <c r="T74" s="838">
        <f t="shared" si="7"/>
        <v>1300521</v>
      </c>
      <c r="U74" s="1424"/>
      <c r="V74" s="1426"/>
      <c r="W74" s="834" t="s">
        <v>567</v>
      </c>
      <c r="X74" s="835">
        <f t="shared" ref="X74:AC75" si="8">X5+X8+X11+X14+X17+X20+X23+X26+X62+X65+X68+X71</f>
        <v>658440</v>
      </c>
      <c r="Y74" s="835">
        <f t="shared" si="8"/>
        <v>145210</v>
      </c>
      <c r="Z74" s="835">
        <f t="shared" si="8"/>
        <v>459709</v>
      </c>
      <c r="AA74" s="835">
        <f t="shared" si="8"/>
        <v>25485</v>
      </c>
      <c r="AB74" s="835">
        <f t="shared" si="8"/>
        <v>11677</v>
      </c>
      <c r="AC74" s="836">
        <f t="shared" si="8"/>
        <v>1300521</v>
      </c>
    </row>
    <row r="75" spans="1:29" s="825" customFormat="1" ht="21.75" customHeight="1" x14ac:dyDescent="0.2">
      <c r="A75" s="1424"/>
      <c r="B75" s="1426"/>
      <c r="C75" s="834" t="s">
        <v>619</v>
      </c>
      <c r="D75" s="837">
        <f t="shared" si="6"/>
        <v>2000</v>
      </c>
      <c r="E75" s="837">
        <f t="shared" si="6"/>
        <v>71500</v>
      </c>
      <c r="F75" s="837">
        <f t="shared" si="6"/>
        <v>2854</v>
      </c>
      <c r="G75" s="837">
        <f t="shared" si="6"/>
        <v>85109</v>
      </c>
      <c r="H75" s="837">
        <f t="shared" si="6"/>
        <v>59390</v>
      </c>
      <c r="I75" s="837">
        <f>I6+I9+I12+I15+I18+I21+I24+I27+I63+I66+I69+I72</f>
        <v>9</v>
      </c>
      <c r="J75" s="837">
        <f>J6+J9+J12+J15+J18+J21+J24+J27+J63+J66+J69+J72</f>
        <v>158</v>
      </c>
      <c r="K75" s="837">
        <f t="shared" si="7"/>
        <v>7170</v>
      </c>
      <c r="L75" s="837">
        <f t="shared" si="7"/>
        <v>800</v>
      </c>
      <c r="M75" s="837">
        <f t="shared" si="7"/>
        <v>75316</v>
      </c>
      <c r="N75" s="837">
        <f t="shared" si="7"/>
        <v>0</v>
      </c>
      <c r="O75" s="837">
        <f t="shared" si="7"/>
        <v>11</v>
      </c>
      <c r="P75" s="837">
        <f t="shared" si="7"/>
        <v>0</v>
      </c>
      <c r="Q75" s="837">
        <f t="shared" si="7"/>
        <v>4826</v>
      </c>
      <c r="R75" s="837">
        <f t="shared" si="7"/>
        <v>1030994</v>
      </c>
      <c r="S75" s="837">
        <f t="shared" si="7"/>
        <v>309143</v>
      </c>
      <c r="T75" s="838">
        <f t="shared" si="7"/>
        <v>1340137</v>
      </c>
      <c r="U75" s="1424"/>
      <c r="V75" s="1426"/>
      <c r="W75" s="830" t="s">
        <v>619</v>
      </c>
      <c r="X75" s="835">
        <f t="shared" si="8"/>
        <v>662541</v>
      </c>
      <c r="Y75" s="835">
        <f t="shared" si="8"/>
        <v>146015</v>
      </c>
      <c r="Z75" s="835">
        <f t="shared" si="8"/>
        <v>494409</v>
      </c>
      <c r="AA75" s="835">
        <f t="shared" si="8"/>
        <v>25125</v>
      </c>
      <c r="AB75" s="835">
        <f t="shared" si="8"/>
        <v>12047</v>
      </c>
      <c r="AC75" s="836">
        <f t="shared" si="8"/>
        <v>1340137</v>
      </c>
    </row>
    <row r="76" spans="1:29" s="825" customFormat="1" ht="21.75" customHeight="1" x14ac:dyDescent="0.2">
      <c r="A76" s="1424" t="s">
        <v>671</v>
      </c>
      <c r="B76" s="1430" t="s">
        <v>672</v>
      </c>
      <c r="C76" s="830" t="s">
        <v>3</v>
      </c>
      <c r="D76" s="831"/>
      <c r="E76" s="831">
        <v>51101</v>
      </c>
      <c r="F76" s="831">
        <v>1556</v>
      </c>
      <c r="G76" s="831">
        <v>83853</v>
      </c>
      <c r="H76" s="831">
        <v>36089</v>
      </c>
      <c r="I76" s="831"/>
      <c r="J76" s="831"/>
      <c r="K76" s="831">
        <v>0</v>
      </c>
      <c r="L76" s="831">
        <v>0</v>
      </c>
      <c r="M76" s="831">
        <v>70168</v>
      </c>
      <c r="N76" s="831">
        <v>800</v>
      </c>
      <c r="O76" s="831">
        <v>0</v>
      </c>
      <c r="P76" s="831">
        <v>0</v>
      </c>
      <c r="Q76" s="831">
        <v>0</v>
      </c>
      <c r="R76" s="831">
        <v>951247</v>
      </c>
      <c r="S76" s="831">
        <v>245567</v>
      </c>
      <c r="T76" s="832">
        <v>1196814</v>
      </c>
      <c r="U76" s="1424" t="s">
        <v>671</v>
      </c>
      <c r="V76" s="1430" t="s">
        <v>672</v>
      </c>
      <c r="W76" s="830" t="s">
        <v>3</v>
      </c>
      <c r="X76" s="831">
        <v>610687</v>
      </c>
      <c r="Y76" s="831">
        <v>135095</v>
      </c>
      <c r="Z76" s="831">
        <v>418960</v>
      </c>
      <c r="AA76" s="831">
        <v>20395</v>
      </c>
      <c r="AB76" s="831">
        <v>11677</v>
      </c>
      <c r="AC76" s="832">
        <v>1196814</v>
      </c>
    </row>
    <row r="77" spans="1:29" s="825" customFormat="1" ht="21.75" customHeight="1" x14ac:dyDescent="0.2">
      <c r="A77" s="1424"/>
      <c r="B77" s="1426"/>
      <c r="C77" s="830" t="s">
        <v>567</v>
      </c>
      <c r="D77" s="831">
        <f t="shared" ref="D77:H78" si="9">D74-D59</f>
        <v>2000</v>
      </c>
      <c r="E77" s="831">
        <f t="shared" si="9"/>
        <v>70601</v>
      </c>
      <c r="F77" s="831">
        <f t="shared" si="9"/>
        <v>2854</v>
      </c>
      <c r="G77" s="831">
        <f t="shared" si="9"/>
        <v>85109</v>
      </c>
      <c r="H77" s="831">
        <f t="shared" si="9"/>
        <v>36089</v>
      </c>
      <c r="I77" s="831"/>
      <c r="J77" s="831"/>
      <c r="K77" s="831">
        <f t="shared" ref="K77:T78" si="10">K74-K59</f>
        <v>900</v>
      </c>
      <c r="L77" s="831">
        <f t="shared" si="10"/>
        <v>0</v>
      </c>
      <c r="M77" s="831">
        <f t="shared" si="10"/>
        <v>70168</v>
      </c>
      <c r="N77" s="831">
        <f t="shared" si="10"/>
        <v>800</v>
      </c>
      <c r="O77" s="831">
        <f t="shared" si="10"/>
        <v>0</v>
      </c>
      <c r="P77" s="831">
        <f t="shared" si="10"/>
        <v>0</v>
      </c>
      <c r="Q77" s="831">
        <f t="shared" si="10"/>
        <v>0</v>
      </c>
      <c r="R77" s="831">
        <f t="shared" si="10"/>
        <v>972446</v>
      </c>
      <c r="S77" s="831">
        <f t="shared" si="10"/>
        <v>268521</v>
      </c>
      <c r="T77" s="832">
        <f t="shared" si="10"/>
        <v>1240967</v>
      </c>
      <c r="U77" s="1424"/>
      <c r="V77" s="1430"/>
      <c r="W77" s="830" t="s">
        <v>567</v>
      </c>
      <c r="X77" s="831">
        <f t="shared" ref="X77:AC78" si="11">X74-X59</f>
        <v>623905</v>
      </c>
      <c r="Y77" s="831">
        <f t="shared" si="11"/>
        <v>137986</v>
      </c>
      <c r="Z77" s="831">
        <f t="shared" si="11"/>
        <v>443814</v>
      </c>
      <c r="AA77" s="831">
        <f t="shared" si="11"/>
        <v>23585</v>
      </c>
      <c r="AB77" s="831">
        <f t="shared" si="11"/>
        <v>11677</v>
      </c>
      <c r="AC77" s="832">
        <f t="shared" si="11"/>
        <v>1240967</v>
      </c>
    </row>
    <row r="78" spans="1:29" s="825" customFormat="1" ht="21.75" customHeight="1" x14ac:dyDescent="0.2">
      <c r="A78" s="1424"/>
      <c r="B78" s="1426"/>
      <c r="C78" s="830" t="s">
        <v>619</v>
      </c>
      <c r="D78" s="831">
        <f t="shared" si="9"/>
        <v>2000</v>
      </c>
      <c r="E78" s="831">
        <f t="shared" si="9"/>
        <v>71056</v>
      </c>
      <c r="F78" s="831">
        <f t="shared" si="9"/>
        <v>2854</v>
      </c>
      <c r="G78" s="831">
        <f t="shared" si="9"/>
        <v>85109</v>
      </c>
      <c r="H78" s="831">
        <f t="shared" si="9"/>
        <v>36089</v>
      </c>
      <c r="I78" s="831">
        <f>I75-I60</f>
        <v>3</v>
      </c>
      <c r="J78" s="831">
        <f>J75-J60</f>
        <v>158</v>
      </c>
      <c r="K78" s="831">
        <f t="shared" si="10"/>
        <v>7170</v>
      </c>
      <c r="L78" s="831">
        <f t="shared" si="10"/>
        <v>800</v>
      </c>
      <c r="M78" s="831">
        <f t="shared" si="10"/>
        <v>75021</v>
      </c>
      <c r="N78" s="831">
        <f t="shared" si="10"/>
        <v>0</v>
      </c>
      <c r="O78" s="831">
        <f t="shared" si="10"/>
        <v>11</v>
      </c>
      <c r="P78" s="831">
        <f t="shared" si="10"/>
        <v>0</v>
      </c>
      <c r="Q78" s="831">
        <f t="shared" si="10"/>
        <v>4461</v>
      </c>
      <c r="R78" s="831">
        <f t="shared" si="10"/>
        <v>995133</v>
      </c>
      <c r="S78" s="831">
        <f>E78+G78+H78+O78+D78+F78+I78+J78+K78+L78+M78+N78+Q78</f>
        <v>284732</v>
      </c>
      <c r="T78" s="832">
        <f t="shared" si="10"/>
        <v>1279865</v>
      </c>
      <c r="U78" s="1424"/>
      <c r="V78" s="1430"/>
      <c r="W78" s="830" t="s">
        <v>619</v>
      </c>
      <c r="X78" s="831">
        <f t="shared" si="11"/>
        <v>627229</v>
      </c>
      <c r="Y78" s="831">
        <f t="shared" si="11"/>
        <v>138621</v>
      </c>
      <c r="Z78" s="831">
        <f t="shared" si="11"/>
        <v>477243</v>
      </c>
      <c r="AA78" s="831">
        <f t="shared" si="11"/>
        <v>24725</v>
      </c>
      <c r="AB78" s="831">
        <f t="shared" si="11"/>
        <v>12047</v>
      </c>
      <c r="AC78" s="832">
        <f t="shared" si="11"/>
        <v>1279865</v>
      </c>
    </row>
    <row r="79" spans="1:29" s="825" customFormat="1" ht="21.75" customHeight="1" x14ac:dyDescent="0.2">
      <c r="A79" s="1424" t="s">
        <v>673</v>
      </c>
      <c r="B79" s="1430" t="s">
        <v>665</v>
      </c>
      <c r="C79" s="830" t="s">
        <v>3</v>
      </c>
      <c r="D79" s="831">
        <v>0</v>
      </c>
      <c r="E79" s="831">
        <v>366</v>
      </c>
      <c r="F79" s="831">
        <v>0</v>
      </c>
      <c r="G79" s="831">
        <v>0</v>
      </c>
      <c r="H79" s="831">
        <v>17331</v>
      </c>
      <c r="I79" s="831"/>
      <c r="J79" s="831"/>
      <c r="K79" s="831">
        <v>0</v>
      </c>
      <c r="L79" s="831">
        <v>0</v>
      </c>
      <c r="M79" s="831">
        <v>0</v>
      </c>
      <c r="N79" s="831">
        <v>0</v>
      </c>
      <c r="O79" s="831">
        <v>0</v>
      </c>
      <c r="P79" s="831">
        <v>0</v>
      </c>
      <c r="Q79" s="831">
        <v>0</v>
      </c>
      <c r="R79" s="831">
        <v>34788</v>
      </c>
      <c r="S79" s="831">
        <v>17697</v>
      </c>
      <c r="T79" s="832">
        <v>52485</v>
      </c>
      <c r="U79" s="1424" t="s">
        <v>673</v>
      </c>
      <c r="V79" s="1430" t="s">
        <v>665</v>
      </c>
      <c r="W79" s="830" t="s">
        <v>3</v>
      </c>
      <c r="X79" s="831">
        <v>36099</v>
      </c>
      <c r="Y79" s="831">
        <v>7571</v>
      </c>
      <c r="Z79" s="831">
        <v>6915</v>
      </c>
      <c r="AA79" s="831">
        <v>1900</v>
      </c>
      <c r="AB79" s="831">
        <v>0</v>
      </c>
      <c r="AC79" s="832">
        <v>52485</v>
      </c>
    </row>
    <row r="80" spans="1:29" s="825" customFormat="1" ht="21.75" customHeight="1" x14ac:dyDescent="0.2">
      <c r="A80" s="1424"/>
      <c r="B80" s="1426"/>
      <c r="C80" s="830" t="s">
        <v>567</v>
      </c>
      <c r="D80" s="831">
        <f t="shared" ref="D80:H81" si="12">D59</f>
        <v>0</v>
      </c>
      <c r="E80" s="831">
        <f t="shared" si="12"/>
        <v>444</v>
      </c>
      <c r="F80" s="831">
        <f t="shared" si="12"/>
        <v>0</v>
      </c>
      <c r="G80" s="831">
        <f t="shared" si="12"/>
        <v>0</v>
      </c>
      <c r="H80" s="831">
        <f t="shared" si="12"/>
        <v>17331</v>
      </c>
      <c r="I80" s="831"/>
      <c r="J80" s="831"/>
      <c r="K80" s="831">
        <f t="shared" ref="K80:T81" si="13">K59</f>
        <v>0</v>
      </c>
      <c r="L80" s="831">
        <f t="shared" si="13"/>
        <v>0</v>
      </c>
      <c r="M80" s="831">
        <f t="shared" si="13"/>
        <v>0</v>
      </c>
      <c r="N80" s="831">
        <f t="shared" si="13"/>
        <v>0</v>
      </c>
      <c r="O80" s="831">
        <f t="shared" si="13"/>
        <v>0</v>
      </c>
      <c r="P80" s="831">
        <f t="shared" si="13"/>
        <v>0</v>
      </c>
      <c r="Q80" s="831">
        <f t="shared" si="13"/>
        <v>0</v>
      </c>
      <c r="R80" s="831">
        <f t="shared" si="13"/>
        <v>41779</v>
      </c>
      <c r="S80" s="831">
        <f t="shared" si="13"/>
        <v>17775</v>
      </c>
      <c r="T80" s="832">
        <f t="shared" si="13"/>
        <v>59554</v>
      </c>
      <c r="U80" s="1424"/>
      <c r="V80" s="1430"/>
      <c r="W80" s="830" t="s">
        <v>567</v>
      </c>
      <c r="X80" s="831">
        <f t="shared" ref="X80:AC81" si="14">X59</f>
        <v>34535</v>
      </c>
      <c r="Y80" s="831">
        <f t="shared" si="14"/>
        <v>7224</v>
      </c>
      <c r="Z80" s="831">
        <f t="shared" si="14"/>
        <v>15895</v>
      </c>
      <c r="AA80" s="831">
        <f t="shared" si="14"/>
        <v>1900</v>
      </c>
      <c r="AB80" s="831">
        <f t="shared" si="14"/>
        <v>0</v>
      </c>
      <c r="AC80" s="832">
        <f t="shared" si="14"/>
        <v>59554</v>
      </c>
    </row>
    <row r="81" spans="1:29" s="825" customFormat="1" ht="21.75" customHeight="1" thickBot="1" x14ac:dyDescent="0.25">
      <c r="A81" s="1431"/>
      <c r="B81" s="1432"/>
      <c r="C81" s="839" t="s">
        <v>619</v>
      </c>
      <c r="D81" s="840">
        <f t="shared" si="12"/>
        <v>0</v>
      </c>
      <c r="E81" s="840">
        <f t="shared" si="12"/>
        <v>444</v>
      </c>
      <c r="F81" s="840">
        <f t="shared" si="12"/>
        <v>0</v>
      </c>
      <c r="G81" s="840">
        <f t="shared" si="12"/>
        <v>0</v>
      </c>
      <c r="H81" s="840">
        <f t="shared" si="12"/>
        <v>23301</v>
      </c>
      <c r="I81" s="840">
        <f>I60</f>
        <v>6</v>
      </c>
      <c r="J81" s="840">
        <f>J60</f>
        <v>0</v>
      </c>
      <c r="K81" s="840">
        <f t="shared" si="13"/>
        <v>0</v>
      </c>
      <c r="L81" s="840">
        <f t="shared" si="13"/>
        <v>0</v>
      </c>
      <c r="M81" s="840">
        <f t="shared" si="13"/>
        <v>295</v>
      </c>
      <c r="N81" s="840">
        <f t="shared" si="13"/>
        <v>0</v>
      </c>
      <c r="O81" s="840">
        <f t="shared" si="13"/>
        <v>0</v>
      </c>
      <c r="P81" s="840">
        <f t="shared" si="13"/>
        <v>0</v>
      </c>
      <c r="Q81" s="840">
        <f t="shared" si="13"/>
        <v>365</v>
      </c>
      <c r="R81" s="840">
        <f t="shared" si="13"/>
        <v>35861</v>
      </c>
      <c r="S81" s="840">
        <f t="shared" si="13"/>
        <v>24411</v>
      </c>
      <c r="T81" s="841">
        <f t="shared" si="13"/>
        <v>60272</v>
      </c>
      <c r="U81" s="1431"/>
      <c r="V81" s="1433"/>
      <c r="W81" s="830" t="s">
        <v>619</v>
      </c>
      <c r="X81" s="840">
        <f t="shared" si="14"/>
        <v>35312</v>
      </c>
      <c r="Y81" s="840">
        <f t="shared" si="14"/>
        <v>7394</v>
      </c>
      <c r="Z81" s="840">
        <f t="shared" si="14"/>
        <v>17166</v>
      </c>
      <c r="AA81" s="840">
        <f t="shared" si="14"/>
        <v>400</v>
      </c>
      <c r="AB81" s="840">
        <f t="shared" si="14"/>
        <v>0</v>
      </c>
      <c r="AC81" s="841">
        <f t="shared" si="14"/>
        <v>60272</v>
      </c>
    </row>
    <row r="82" spans="1:29" ht="21.75" customHeight="1" x14ac:dyDescent="0.25">
      <c r="A82" s="820"/>
      <c r="B82" s="821"/>
      <c r="C82" s="822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23"/>
      <c r="S82" s="823"/>
      <c r="T82" s="823"/>
      <c r="U82" s="820"/>
      <c r="V82" s="821"/>
      <c r="W82" s="822"/>
      <c r="X82" s="823"/>
      <c r="Y82" s="823"/>
      <c r="Z82" s="823"/>
      <c r="AA82" s="823"/>
      <c r="AB82" s="823"/>
      <c r="AC82" s="823"/>
    </row>
  </sheetData>
  <sheetProtection selectLockedCells="1" selectUnlockedCells="1"/>
  <mergeCells count="123">
    <mergeCell ref="V7:V9"/>
    <mergeCell ref="U7:U9"/>
    <mergeCell ref="U1:AB1"/>
    <mergeCell ref="V16:V18"/>
    <mergeCell ref="U16:U18"/>
    <mergeCell ref="V13:V15"/>
    <mergeCell ref="U13:U15"/>
    <mergeCell ref="V10:V12"/>
    <mergeCell ref="U10:U12"/>
    <mergeCell ref="V2:V3"/>
    <mergeCell ref="X2:Z2"/>
    <mergeCell ref="AA2:AB2"/>
    <mergeCell ref="V25:V27"/>
    <mergeCell ref="U25:U27"/>
    <mergeCell ref="V22:V24"/>
    <mergeCell ref="U22:U24"/>
    <mergeCell ref="V19:V21"/>
    <mergeCell ref="U19:U21"/>
    <mergeCell ref="V34:V36"/>
    <mergeCell ref="U34:U36"/>
    <mergeCell ref="V31:V33"/>
    <mergeCell ref="U31:U33"/>
    <mergeCell ref="V28:V30"/>
    <mergeCell ref="U28:U30"/>
    <mergeCell ref="V43:V45"/>
    <mergeCell ref="U43:U45"/>
    <mergeCell ref="V40:V42"/>
    <mergeCell ref="U40:U42"/>
    <mergeCell ref="V37:V39"/>
    <mergeCell ref="U37:U39"/>
    <mergeCell ref="V52:V54"/>
    <mergeCell ref="U52:U54"/>
    <mergeCell ref="V49:V51"/>
    <mergeCell ref="U49:U51"/>
    <mergeCell ref="V46:V48"/>
    <mergeCell ref="U46:U48"/>
    <mergeCell ref="V64:V66"/>
    <mergeCell ref="U64:U66"/>
    <mergeCell ref="U61:U63"/>
    <mergeCell ref="V58:V60"/>
    <mergeCell ref="U58:U60"/>
    <mergeCell ref="V55:V57"/>
    <mergeCell ref="U55:U57"/>
    <mergeCell ref="V73:V75"/>
    <mergeCell ref="U73:U75"/>
    <mergeCell ref="V70:V72"/>
    <mergeCell ref="U70:U72"/>
    <mergeCell ref="V67:V69"/>
    <mergeCell ref="U67:U69"/>
    <mergeCell ref="A79:A81"/>
    <mergeCell ref="B79:B81"/>
    <mergeCell ref="U79:U81"/>
    <mergeCell ref="V79:V81"/>
    <mergeCell ref="V76:V78"/>
    <mergeCell ref="U76:U78"/>
    <mergeCell ref="A73:A75"/>
    <mergeCell ref="B73:B75"/>
    <mergeCell ref="A76:A78"/>
    <mergeCell ref="B76:B78"/>
    <mergeCell ref="A67:A69"/>
    <mergeCell ref="B67:B69"/>
    <mergeCell ref="A70:A72"/>
    <mergeCell ref="B70:B72"/>
    <mergeCell ref="A61:A63"/>
    <mergeCell ref="A64:A66"/>
    <mergeCell ref="B64:B66"/>
    <mergeCell ref="A55:A57"/>
    <mergeCell ref="B55:B57"/>
    <mergeCell ref="A58:A60"/>
    <mergeCell ref="B58:B60"/>
    <mergeCell ref="A49:A51"/>
    <mergeCell ref="B49:B51"/>
    <mergeCell ref="A52:A54"/>
    <mergeCell ref="B52:B54"/>
    <mergeCell ref="A43:A45"/>
    <mergeCell ref="B43:B45"/>
    <mergeCell ref="A46:A48"/>
    <mergeCell ref="B46:B48"/>
    <mergeCell ref="A37:A39"/>
    <mergeCell ref="B37:B39"/>
    <mergeCell ref="A40:A42"/>
    <mergeCell ref="B40:B42"/>
    <mergeCell ref="A31:A33"/>
    <mergeCell ref="B31:B33"/>
    <mergeCell ref="A34:A36"/>
    <mergeCell ref="B34:B36"/>
    <mergeCell ref="A25:A27"/>
    <mergeCell ref="B25:B27"/>
    <mergeCell ref="A28:A30"/>
    <mergeCell ref="B28:B30"/>
    <mergeCell ref="A19:A21"/>
    <mergeCell ref="B19:B21"/>
    <mergeCell ref="A22:A24"/>
    <mergeCell ref="B22:B24"/>
    <mergeCell ref="A13:A15"/>
    <mergeCell ref="B13:B15"/>
    <mergeCell ref="A16:A18"/>
    <mergeCell ref="B16:B18"/>
    <mergeCell ref="A7:A9"/>
    <mergeCell ref="B7:B9"/>
    <mergeCell ref="A10:A12"/>
    <mergeCell ref="B10:B12"/>
    <mergeCell ref="U2:U3"/>
    <mergeCell ref="AC2:AC3"/>
    <mergeCell ref="A4:A6"/>
    <mergeCell ref="B4:B6"/>
    <mergeCell ref="U4:U6"/>
    <mergeCell ref="V4:V6"/>
    <mergeCell ref="J2:J3"/>
    <mergeCell ref="K2:L2"/>
    <mergeCell ref="M2:N2"/>
    <mergeCell ref="O2:O3"/>
    <mergeCell ref="P2:Q2"/>
    <mergeCell ref="T2:T3"/>
    <mergeCell ref="A1:S1"/>
    <mergeCell ref="A2:A3"/>
    <mergeCell ref="B2:B3"/>
    <mergeCell ref="D2:D3"/>
    <mergeCell ref="E2:E3"/>
    <mergeCell ref="F2:F3"/>
    <mergeCell ref="G2:G3"/>
    <mergeCell ref="H2:H3"/>
    <mergeCell ref="I2:I3"/>
  </mergeCells>
  <printOptions horizontalCentered="1"/>
  <pageMargins left="0.70866141732283472" right="0.70866141732283472" top="0.70866141732283472" bottom="0.74803149606299213" header="0.31496062992125984" footer="0.51181102362204722"/>
  <pageSetup paperSize="9" scale="42" firstPageNumber="0" orientation="landscape" horizontalDpi="300" verticalDpi="300" r:id="rId1"/>
  <headerFooter alignWithMargins="0">
    <oddHeader>&amp;L&amp;"Calibri,Normál"&amp;14 6. melléklet a 20/2017.(IX.29.) önkormányzati rendelethez
6. melléklet a 24/2016.(XII.16.) önkormányzati rendelethez</oddHeader>
  </headerFooter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158"/>
  <sheetViews>
    <sheetView view="pageBreakPreview" topLeftCell="A24" zoomScaleNormal="100" zoomScaleSheetLayoutView="100" workbookViewId="0">
      <selection activeCell="A35" sqref="A35"/>
    </sheetView>
  </sheetViews>
  <sheetFormatPr defaultRowHeight="12.75" x14ac:dyDescent="0.2"/>
  <cols>
    <col min="1" max="1" width="89.42578125" style="55" customWidth="1"/>
    <col min="2" max="2" width="13" style="55" hidden="1" customWidth="1"/>
    <col min="3" max="3" width="10" style="55" hidden="1" customWidth="1"/>
    <col min="4" max="4" width="10.140625" style="55" hidden="1" customWidth="1"/>
    <col min="5" max="5" width="11.140625" style="55" hidden="1" customWidth="1"/>
    <col min="6" max="6" width="12.140625" style="55" customWidth="1"/>
    <col min="7" max="7" width="10.85546875" style="55" hidden="1" customWidth="1"/>
    <col min="8" max="8" width="13.7109375" style="55" customWidth="1"/>
    <col min="9" max="9" width="13.5703125" style="850" customWidth="1"/>
  </cols>
  <sheetData>
    <row r="2" spans="1:9" ht="14.25" x14ac:dyDescent="0.2">
      <c r="A2" s="1436" t="s">
        <v>625</v>
      </c>
      <c r="B2" s="1436"/>
      <c r="C2" s="1436"/>
      <c r="D2" s="1436"/>
      <c r="E2" s="1436"/>
      <c r="F2" s="1436"/>
      <c r="G2" s="1436"/>
      <c r="H2" s="1436"/>
      <c r="I2" s="1436"/>
    </row>
    <row r="3" spans="1:9" ht="15.75" thickBot="1" x14ac:dyDescent="0.3">
      <c r="A3" s="847"/>
      <c r="B3" s="848"/>
      <c r="C3" s="849"/>
    </row>
    <row r="4" spans="1:9" ht="15" customHeight="1" thickBot="1" x14ac:dyDescent="0.25">
      <c r="A4" s="526" t="s">
        <v>2</v>
      </c>
      <c r="B4" s="527" t="s">
        <v>493</v>
      </c>
      <c r="C4" s="528" t="s">
        <v>494</v>
      </c>
      <c r="D4" s="528" t="s">
        <v>495</v>
      </c>
      <c r="E4" s="529" t="s">
        <v>500</v>
      </c>
      <c r="F4" s="530" t="s">
        <v>3</v>
      </c>
      <c r="G4" s="529" t="s">
        <v>574</v>
      </c>
      <c r="H4" s="531" t="s">
        <v>567</v>
      </c>
      <c r="I4" s="528" t="s">
        <v>619</v>
      </c>
    </row>
    <row r="5" spans="1:9" ht="15" hidden="1" x14ac:dyDescent="0.25">
      <c r="A5" s="532"/>
      <c r="B5" s="533"/>
      <c r="C5" s="534"/>
      <c r="D5" s="534"/>
      <c r="E5" s="535"/>
      <c r="F5" s="536"/>
      <c r="G5" s="535"/>
      <c r="H5" s="537"/>
      <c r="I5" s="534"/>
    </row>
    <row r="6" spans="1:9" ht="15" thickBot="1" x14ac:dyDescent="0.25">
      <c r="A6" s="526" t="s">
        <v>69</v>
      </c>
      <c r="B6" s="515">
        <f>SUM(B8,B36)</f>
        <v>2373680</v>
      </c>
      <c r="C6" s="516">
        <f>SUM(C8,C36)</f>
        <v>2035886</v>
      </c>
      <c r="D6" s="516">
        <f>SUM(D8,D36)</f>
        <v>1798153</v>
      </c>
      <c r="E6" s="517">
        <f>SUM(E8,E36)</f>
        <v>1654093</v>
      </c>
      <c r="F6" s="518">
        <f>SUM(F21,F36)</f>
        <v>259597</v>
      </c>
      <c r="G6" s="517">
        <f>SUM(G21,G36)</f>
        <v>110728</v>
      </c>
      <c r="H6" s="519">
        <f>SUM(H21,H36)</f>
        <v>376325</v>
      </c>
      <c r="I6" s="516">
        <v>1432365</v>
      </c>
    </row>
    <row r="7" spans="1:9" ht="15" hidden="1" x14ac:dyDescent="0.25">
      <c r="A7" s="520"/>
      <c r="B7" s="521"/>
      <c r="C7" s="522"/>
      <c r="D7" s="522"/>
      <c r="E7" s="523"/>
      <c r="F7" s="524"/>
      <c r="G7" s="523"/>
      <c r="H7" s="525"/>
      <c r="I7" s="522"/>
    </row>
    <row r="8" spans="1:9" ht="14.25" hidden="1" x14ac:dyDescent="0.2">
      <c r="A8" s="486" t="s">
        <v>105</v>
      </c>
      <c r="B8" s="487">
        <f t="shared" ref="B8:H8" si="0">SUM(B9:B19)</f>
        <v>1389496</v>
      </c>
      <c r="C8" s="488">
        <f t="shared" si="0"/>
        <v>1389496</v>
      </c>
      <c r="D8" s="488">
        <f t="shared" si="0"/>
        <v>1389496</v>
      </c>
      <c r="E8" s="489">
        <f t="shared" si="0"/>
        <v>1389496</v>
      </c>
      <c r="F8" s="506">
        <f t="shared" si="0"/>
        <v>0</v>
      </c>
      <c r="G8" s="489"/>
      <c r="H8" s="511">
        <f t="shared" si="0"/>
        <v>0</v>
      </c>
      <c r="I8" s="488"/>
    </row>
    <row r="9" spans="1:9" ht="45" hidden="1" x14ac:dyDescent="0.25">
      <c r="A9" s="490" t="s">
        <v>351</v>
      </c>
      <c r="B9" s="491">
        <v>130771</v>
      </c>
      <c r="C9" s="492">
        <v>130771</v>
      </c>
      <c r="D9" s="492">
        <v>130771</v>
      </c>
      <c r="E9" s="493">
        <v>130771</v>
      </c>
      <c r="F9" s="507">
        <v>0</v>
      </c>
      <c r="G9" s="493"/>
      <c r="H9" s="512">
        <v>0</v>
      </c>
      <c r="I9" s="843"/>
    </row>
    <row r="10" spans="1:9" ht="15" hidden="1" x14ac:dyDescent="0.25">
      <c r="A10" s="490" t="s">
        <v>352</v>
      </c>
      <c r="B10" s="491">
        <v>181465</v>
      </c>
      <c r="C10" s="492">
        <v>181465</v>
      </c>
      <c r="D10" s="492">
        <v>181465</v>
      </c>
      <c r="E10" s="493">
        <v>181465</v>
      </c>
      <c r="F10" s="507">
        <v>0</v>
      </c>
      <c r="G10" s="493"/>
      <c r="H10" s="512">
        <v>0</v>
      </c>
      <c r="I10" s="843"/>
    </row>
    <row r="11" spans="1:9" ht="29.25" hidden="1" customHeight="1" x14ac:dyDescent="0.25">
      <c r="A11" s="494" t="s">
        <v>353</v>
      </c>
      <c r="B11" s="491">
        <v>230180</v>
      </c>
      <c r="C11" s="492">
        <v>230180</v>
      </c>
      <c r="D11" s="492">
        <v>230180</v>
      </c>
      <c r="E11" s="493">
        <v>230180</v>
      </c>
      <c r="F11" s="507">
        <v>0</v>
      </c>
      <c r="G11" s="493"/>
      <c r="H11" s="512">
        <v>0</v>
      </c>
      <c r="I11" s="843"/>
    </row>
    <row r="12" spans="1:9" ht="30" hidden="1" x14ac:dyDescent="0.25">
      <c r="A12" s="490" t="s">
        <v>458</v>
      </c>
      <c r="B12" s="491">
        <v>169405</v>
      </c>
      <c r="C12" s="492">
        <v>169405</v>
      </c>
      <c r="D12" s="492">
        <v>169405</v>
      </c>
      <c r="E12" s="493">
        <v>169405</v>
      </c>
      <c r="F12" s="507">
        <v>0</v>
      </c>
      <c r="G12" s="493"/>
      <c r="H12" s="512">
        <v>0</v>
      </c>
      <c r="I12" s="843"/>
    </row>
    <row r="13" spans="1:9" ht="15" hidden="1" x14ac:dyDescent="0.25">
      <c r="A13" s="490" t="s">
        <v>480</v>
      </c>
      <c r="B13" s="491">
        <v>400000</v>
      </c>
      <c r="C13" s="492">
        <v>400000</v>
      </c>
      <c r="D13" s="492">
        <v>400000</v>
      </c>
      <c r="E13" s="493">
        <v>400000</v>
      </c>
      <c r="F13" s="507">
        <v>0</v>
      </c>
      <c r="G13" s="493"/>
      <c r="H13" s="512">
        <v>0</v>
      </c>
      <c r="I13" s="843"/>
    </row>
    <row r="14" spans="1:9" ht="15" hidden="1" x14ac:dyDescent="0.25">
      <c r="A14" s="490" t="s">
        <v>466</v>
      </c>
      <c r="B14" s="491">
        <v>90000</v>
      </c>
      <c r="C14" s="492">
        <v>90000</v>
      </c>
      <c r="D14" s="492">
        <v>90000</v>
      </c>
      <c r="E14" s="493">
        <v>90000</v>
      </c>
      <c r="F14" s="507">
        <v>0</v>
      </c>
      <c r="G14" s="493"/>
      <c r="H14" s="512">
        <v>0</v>
      </c>
      <c r="I14" s="843"/>
    </row>
    <row r="15" spans="1:9" ht="15" hidden="1" x14ac:dyDescent="0.25">
      <c r="A15" s="494" t="s">
        <v>467</v>
      </c>
      <c r="B15" s="491">
        <v>70000</v>
      </c>
      <c r="C15" s="492">
        <v>70000</v>
      </c>
      <c r="D15" s="492">
        <v>70000</v>
      </c>
      <c r="E15" s="493">
        <v>70000</v>
      </c>
      <c r="F15" s="507">
        <v>0</v>
      </c>
      <c r="G15" s="493"/>
      <c r="H15" s="512">
        <v>0</v>
      </c>
      <c r="I15" s="843"/>
    </row>
    <row r="16" spans="1:9" ht="15" hidden="1" x14ac:dyDescent="0.25">
      <c r="A16" s="490" t="s">
        <v>478</v>
      </c>
      <c r="B16" s="491">
        <v>20000</v>
      </c>
      <c r="C16" s="492">
        <v>20000</v>
      </c>
      <c r="D16" s="492">
        <v>20000</v>
      </c>
      <c r="E16" s="493">
        <v>20000</v>
      </c>
      <c r="F16" s="507">
        <v>0</v>
      </c>
      <c r="G16" s="493"/>
      <c r="H16" s="512">
        <v>0</v>
      </c>
      <c r="I16" s="843"/>
    </row>
    <row r="17" spans="1:9" ht="15" hidden="1" x14ac:dyDescent="0.25">
      <c r="A17" s="490" t="s">
        <v>367</v>
      </c>
      <c r="B17" s="491">
        <v>17675</v>
      </c>
      <c r="C17" s="492">
        <v>17675</v>
      </c>
      <c r="D17" s="492">
        <v>17675</v>
      </c>
      <c r="E17" s="493">
        <v>17675</v>
      </c>
      <c r="F17" s="507">
        <v>0</v>
      </c>
      <c r="G17" s="493"/>
      <c r="H17" s="512">
        <v>0</v>
      </c>
      <c r="I17" s="843"/>
    </row>
    <row r="18" spans="1:9" ht="15" hidden="1" x14ac:dyDescent="0.25">
      <c r="A18" s="490" t="s">
        <v>465</v>
      </c>
      <c r="B18" s="491">
        <v>50000</v>
      </c>
      <c r="C18" s="492">
        <v>50000</v>
      </c>
      <c r="D18" s="492">
        <v>50000</v>
      </c>
      <c r="E18" s="493">
        <v>50000</v>
      </c>
      <c r="F18" s="507">
        <v>0</v>
      </c>
      <c r="G18" s="493"/>
      <c r="H18" s="512">
        <v>0</v>
      </c>
      <c r="I18" s="843"/>
    </row>
    <row r="19" spans="1:9" ht="15" hidden="1" x14ac:dyDescent="0.25">
      <c r="A19" s="490" t="s">
        <v>368</v>
      </c>
      <c r="B19" s="491">
        <v>30000</v>
      </c>
      <c r="C19" s="492">
        <v>30000</v>
      </c>
      <c r="D19" s="492">
        <v>30000</v>
      </c>
      <c r="E19" s="493">
        <v>30000</v>
      </c>
      <c r="F19" s="507">
        <v>0</v>
      </c>
      <c r="G19" s="493"/>
      <c r="H19" s="512">
        <v>0</v>
      </c>
      <c r="I19" s="843"/>
    </row>
    <row r="20" spans="1:9" ht="15" x14ac:dyDescent="0.25">
      <c r="A20" s="482"/>
      <c r="B20" s="483"/>
      <c r="C20" s="484"/>
      <c r="D20" s="484"/>
      <c r="E20" s="485"/>
      <c r="F20" s="505"/>
      <c r="G20" s="485"/>
      <c r="H20" s="510"/>
      <c r="I20" s="484"/>
    </row>
    <row r="21" spans="1:9" ht="15" x14ac:dyDescent="0.25">
      <c r="A21" s="486" t="s">
        <v>105</v>
      </c>
      <c r="B21" s="483"/>
      <c r="C21" s="484"/>
      <c r="D21" s="484"/>
      <c r="E21" s="485"/>
      <c r="F21" s="506">
        <f>SUM(F22:F23)</f>
        <v>0</v>
      </c>
      <c r="G21" s="489">
        <f>SUM(G22:G23)</f>
        <v>95790</v>
      </c>
      <c r="H21" s="511">
        <f>SUM(H22:H23)</f>
        <v>95790</v>
      </c>
      <c r="I21" s="488">
        <f>SUM(I22:I35)</f>
        <v>1133446</v>
      </c>
    </row>
    <row r="22" spans="1:9" ht="30" x14ac:dyDescent="0.25">
      <c r="A22" s="952" t="s">
        <v>575</v>
      </c>
      <c r="B22" s="953"/>
      <c r="C22" s="954"/>
      <c r="D22" s="954"/>
      <c r="E22" s="504"/>
      <c r="F22" s="955"/>
      <c r="G22" s="504">
        <v>94291</v>
      </c>
      <c r="H22" s="513">
        <f>F22+G22</f>
        <v>94291</v>
      </c>
      <c r="I22" s="954">
        <v>94291</v>
      </c>
    </row>
    <row r="23" spans="1:9" ht="15" x14ac:dyDescent="0.25">
      <c r="A23" s="952" t="s">
        <v>576</v>
      </c>
      <c r="B23" s="953"/>
      <c r="C23" s="954"/>
      <c r="D23" s="954"/>
      <c r="E23" s="504"/>
      <c r="F23" s="955"/>
      <c r="G23" s="504">
        <v>1499</v>
      </c>
      <c r="H23" s="513">
        <f>F23+G23</f>
        <v>1499</v>
      </c>
      <c r="I23" s="954">
        <v>1499</v>
      </c>
    </row>
    <row r="24" spans="1:9" ht="45" x14ac:dyDescent="0.25">
      <c r="A24" s="844" t="s">
        <v>707</v>
      </c>
      <c r="B24" s="956"/>
      <c r="C24" s="957"/>
      <c r="D24" s="957"/>
      <c r="E24" s="958"/>
      <c r="F24" s="959"/>
      <c r="G24" s="958"/>
      <c r="H24" s="960"/>
      <c r="I24" s="957">
        <v>372736</v>
      </c>
    </row>
    <row r="25" spans="1:9" ht="15" x14ac:dyDescent="0.25">
      <c r="A25" s="844" t="s">
        <v>684</v>
      </c>
      <c r="B25" s="956"/>
      <c r="C25" s="957"/>
      <c r="D25" s="957"/>
      <c r="E25" s="958"/>
      <c r="F25" s="959"/>
      <c r="G25" s="958"/>
      <c r="H25" s="960"/>
      <c r="I25" s="957">
        <v>6040</v>
      </c>
    </row>
    <row r="26" spans="1:9" ht="15" x14ac:dyDescent="0.25">
      <c r="A26" s="845" t="s">
        <v>685</v>
      </c>
      <c r="B26" s="956"/>
      <c r="C26" s="957"/>
      <c r="D26" s="957"/>
      <c r="E26" s="958"/>
      <c r="F26" s="959"/>
      <c r="G26" s="958"/>
      <c r="H26" s="960"/>
      <c r="I26" s="957">
        <v>3937</v>
      </c>
    </row>
    <row r="27" spans="1:9" ht="15" x14ac:dyDescent="0.25">
      <c r="A27" s="844" t="s">
        <v>686</v>
      </c>
      <c r="B27" s="956"/>
      <c r="C27" s="957"/>
      <c r="D27" s="957"/>
      <c r="E27" s="958"/>
      <c r="F27" s="959"/>
      <c r="G27" s="958"/>
      <c r="H27" s="960"/>
      <c r="I27" s="957">
        <v>397701</v>
      </c>
    </row>
    <row r="28" spans="1:9" ht="15" x14ac:dyDescent="0.25">
      <c r="A28" s="844" t="s">
        <v>683</v>
      </c>
      <c r="B28" s="956"/>
      <c r="C28" s="957"/>
      <c r="D28" s="957"/>
      <c r="E28" s="958"/>
      <c r="F28" s="959"/>
      <c r="G28" s="958"/>
      <c r="H28" s="960"/>
      <c r="I28" s="957">
        <v>10670</v>
      </c>
    </row>
    <row r="29" spans="1:9" ht="30" x14ac:dyDescent="0.25">
      <c r="A29" s="845" t="s">
        <v>687</v>
      </c>
      <c r="B29" s="956"/>
      <c r="C29" s="957"/>
      <c r="D29" s="957"/>
      <c r="E29" s="958"/>
      <c r="F29" s="959"/>
      <c r="G29" s="958"/>
      <c r="H29" s="960"/>
      <c r="I29" s="957">
        <v>206912</v>
      </c>
    </row>
    <row r="30" spans="1:9" ht="15" x14ac:dyDescent="0.25">
      <c r="A30" s="961" t="s">
        <v>688</v>
      </c>
      <c r="B30" s="956"/>
      <c r="C30" s="957"/>
      <c r="D30" s="957"/>
      <c r="E30" s="958"/>
      <c r="F30" s="959"/>
      <c r="G30" s="958"/>
      <c r="H30" s="960"/>
      <c r="I30" s="957">
        <v>15500</v>
      </c>
    </row>
    <row r="31" spans="1:9" ht="30" x14ac:dyDescent="0.25">
      <c r="A31" s="846" t="s">
        <v>689</v>
      </c>
      <c r="B31" s="956"/>
      <c r="C31" s="957"/>
      <c r="D31" s="957"/>
      <c r="E31" s="958"/>
      <c r="F31" s="959"/>
      <c r="G31" s="958"/>
      <c r="H31" s="960"/>
      <c r="I31" s="957">
        <v>3500</v>
      </c>
    </row>
    <row r="32" spans="1:9" ht="15" x14ac:dyDescent="0.25">
      <c r="A32" s="962" t="s">
        <v>691</v>
      </c>
      <c r="B32" s="956"/>
      <c r="C32" s="957"/>
      <c r="D32" s="957"/>
      <c r="E32" s="958"/>
      <c r="F32" s="959"/>
      <c r="G32" s="958"/>
      <c r="H32" s="960"/>
      <c r="I32" s="957">
        <v>4000</v>
      </c>
    </row>
    <row r="33" spans="1:9" ht="15" x14ac:dyDescent="0.25">
      <c r="A33" s="962" t="s">
        <v>690</v>
      </c>
      <c r="B33" s="956"/>
      <c r="C33" s="957"/>
      <c r="D33" s="957"/>
      <c r="E33" s="958"/>
      <c r="F33" s="959"/>
      <c r="G33" s="958"/>
      <c r="H33" s="960"/>
      <c r="I33" s="957">
        <v>6500</v>
      </c>
    </row>
    <row r="34" spans="1:9" ht="15" x14ac:dyDescent="0.25">
      <c r="A34" s="963" t="s">
        <v>719</v>
      </c>
      <c r="B34" s="964"/>
      <c r="C34" s="965"/>
      <c r="D34" s="965"/>
      <c r="E34" s="966"/>
      <c r="F34" s="967"/>
      <c r="G34" s="966"/>
      <c r="H34" s="968"/>
      <c r="I34" s="965">
        <v>8000</v>
      </c>
    </row>
    <row r="35" spans="1:9" ht="30" x14ac:dyDescent="0.25">
      <c r="A35" s="952" t="s">
        <v>911</v>
      </c>
      <c r="B35" s="953"/>
      <c r="C35" s="954"/>
      <c r="D35" s="954"/>
      <c r="E35" s="504"/>
      <c r="F35" s="955"/>
      <c r="G35" s="504"/>
      <c r="H35" s="513"/>
      <c r="I35" s="954">
        <v>2160</v>
      </c>
    </row>
    <row r="36" spans="1:9" ht="14.25" x14ac:dyDescent="0.2">
      <c r="A36" s="969" t="s">
        <v>347</v>
      </c>
      <c r="B36" s="970">
        <f t="shared" ref="B36:E36" si="1">SUM(B37:B74)</f>
        <v>984184</v>
      </c>
      <c r="C36" s="971">
        <f t="shared" si="1"/>
        <v>646390</v>
      </c>
      <c r="D36" s="971">
        <f t="shared" si="1"/>
        <v>408657</v>
      </c>
      <c r="E36" s="972">
        <f t="shared" si="1"/>
        <v>264597</v>
      </c>
      <c r="F36" s="973">
        <f>SUM(F37:F80)</f>
        <v>259597</v>
      </c>
      <c r="G36" s="972">
        <f>SUM(G37:G80)</f>
        <v>14938</v>
      </c>
      <c r="H36" s="974">
        <f>SUM(H37:H81)</f>
        <v>280535</v>
      </c>
      <c r="I36" s="971">
        <f>SUM(I41:I96)</f>
        <v>298854</v>
      </c>
    </row>
    <row r="37" spans="1:9" ht="15" hidden="1" x14ac:dyDescent="0.25">
      <c r="A37" s="490" t="s">
        <v>348</v>
      </c>
      <c r="B37" s="491">
        <v>15000</v>
      </c>
      <c r="C37" s="492">
        <v>0</v>
      </c>
      <c r="D37" s="492">
        <v>0</v>
      </c>
      <c r="E37" s="493">
        <v>0</v>
      </c>
      <c r="F37" s="507">
        <v>0</v>
      </c>
      <c r="G37" s="493"/>
      <c r="H37" s="512">
        <v>0</v>
      </c>
      <c r="I37" s="492"/>
    </row>
    <row r="38" spans="1:9" ht="15" hidden="1" x14ac:dyDescent="0.25">
      <c r="A38" s="490" t="s">
        <v>349</v>
      </c>
      <c r="B38" s="491">
        <v>15000</v>
      </c>
      <c r="C38" s="492">
        <v>15000</v>
      </c>
      <c r="D38" s="492">
        <v>0</v>
      </c>
      <c r="E38" s="493">
        <v>0</v>
      </c>
      <c r="F38" s="507">
        <v>0</v>
      </c>
      <c r="G38" s="493"/>
      <c r="H38" s="512">
        <v>0</v>
      </c>
      <c r="I38" s="492"/>
    </row>
    <row r="39" spans="1:9" ht="15" hidden="1" x14ac:dyDescent="0.25">
      <c r="A39" s="490" t="s">
        <v>485</v>
      </c>
      <c r="B39" s="491">
        <v>11938</v>
      </c>
      <c r="C39" s="492">
        <v>0</v>
      </c>
      <c r="D39" s="492">
        <v>0</v>
      </c>
      <c r="E39" s="493">
        <v>0</v>
      </c>
      <c r="F39" s="507">
        <v>0</v>
      </c>
      <c r="G39" s="493"/>
      <c r="H39" s="512">
        <v>0</v>
      </c>
      <c r="I39" s="492"/>
    </row>
    <row r="40" spans="1:9" ht="15" hidden="1" x14ac:dyDescent="0.25">
      <c r="A40" s="490" t="s">
        <v>350</v>
      </c>
      <c r="B40" s="491">
        <v>21590</v>
      </c>
      <c r="C40" s="492">
        <v>0</v>
      </c>
      <c r="D40" s="492">
        <v>0</v>
      </c>
      <c r="E40" s="493">
        <v>0</v>
      </c>
      <c r="F40" s="507">
        <v>0</v>
      </c>
      <c r="G40" s="493"/>
      <c r="H40" s="512">
        <v>0</v>
      </c>
      <c r="I40" s="492"/>
    </row>
    <row r="41" spans="1:9" ht="14.25" customHeight="1" x14ac:dyDescent="0.25">
      <c r="A41" s="490" t="s">
        <v>577</v>
      </c>
      <c r="B41" s="491">
        <v>3810</v>
      </c>
      <c r="C41" s="492">
        <v>3810</v>
      </c>
      <c r="D41" s="492">
        <v>3810</v>
      </c>
      <c r="E41" s="493">
        <v>3810</v>
      </c>
      <c r="F41" s="507">
        <v>3810</v>
      </c>
      <c r="G41" s="493">
        <v>-3810</v>
      </c>
      <c r="H41" s="512">
        <f t="shared" ref="H41:H80" si="2">F41+G41</f>
        <v>0</v>
      </c>
      <c r="I41" s="492">
        <v>0</v>
      </c>
    </row>
    <row r="42" spans="1:9" ht="15" hidden="1" x14ac:dyDescent="0.25">
      <c r="A42" s="490" t="s">
        <v>354</v>
      </c>
      <c r="B42" s="491">
        <v>10000</v>
      </c>
      <c r="C42" s="492">
        <v>6000</v>
      </c>
      <c r="D42" s="492">
        <v>0</v>
      </c>
      <c r="E42" s="493">
        <v>0</v>
      </c>
      <c r="F42" s="507">
        <v>0</v>
      </c>
      <c r="G42" s="493"/>
      <c r="H42" s="512">
        <f t="shared" si="2"/>
        <v>0</v>
      </c>
      <c r="I42" s="492"/>
    </row>
    <row r="43" spans="1:9" ht="15" hidden="1" x14ac:dyDescent="0.25">
      <c r="A43" s="490" t="s">
        <v>355</v>
      </c>
      <c r="B43" s="491">
        <v>6000</v>
      </c>
      <c r="C43" s="492">
        <v>3000</v>
      </c>
      <c r="D43" s="492">
        <v>0</v>
      </c>
      <c r="E43" s="493">
        <v>0</v>
      </c>
      <c r="F43" s="507">
        <v>0</v>
      </c>
      <c r="G43" s="493"/>
      <c r="H43" s="512">
        <f t="shared" si="2"/>
        <v>0</v>
      </c>
      <c r="I43" s="492"/>
    </row>
    <row r="44" spans="1:9" ht="36.75" hidden="1" customHeight="1" x14ac:dyDescent="0.25">
      <c r="A44" s="490" t="s">
        <v>356</v>
      </c>
      <c r="B44" s="491">
        <v>45000</v>
      </c>
      <c r="C44" s="492">
        <v>0</v>
      </c>
      <c r="D44" s="492">
        <v>0</v>
      </c>
      <c r="E44" s="493">
        <v>0</v>
      </c>
      <c r="F44" s="507">
        <v>0</v>
      </c>
      <c r="G44" s="493"/>
      <c r="H44" s="512">
        <f t="shared" si="2"/>
        <v>0</v>
      </c>
      <c r="I44" s="492"/>
    </row>
    <row r="45" spans="1:9" ht="36.75" hidden="1" customHeight="1" x14ac:dyDescent="0.25">
      <c r="A45" s="490" t="s">
        <v>481</v>
      </c>
      <c r="B45" s="491">
        <v>50000</v>
      </c>
      <c r="C45" s="492">
        <v>50000</v>
      </c>
      <c r="D45" s="492">
        <v>20000</v>
      </c>
      <c r="E45" s="493">
        <v>0</v>
      </c>
      <c r="F45" s="507">
        <v>0</v>
      </c>
      <c r="G45" s="493"/>
      <c r="H45" s="512">
        <f t="shared" si="2"/>
        <v>0</v>
      </c>
      <c r="I45" s="492"/>
    </row>
    <row r="46" spans="1:9" ht="15" hidden="1" x14ac:dyDescent="0.25">
      <c r="A46" s="495" t="s">
        <v>482</v>
      </c>
      <c r="B46" s="491"/>
      <c r="C46" s="492"/>
      <c r="D46" s="492"/>
      <c r="E46" s="493"/>
      <c r="F46" s="507"/>
      <c r="G46" s="493"/>
      <c r="H46" s="512">
        <f t="shared" si="2"/>
        <v>0</v>
      </c>
      <c r="I46" s="492"/>
    </row>
    <row r="47" spans="1:9" ht="15" hidden="1" x14ac:dyDescent="0.25">
      <c r="A47" s="490" t="s">
        <v>357</v>
      </c>
      <c r="B47" s="491">
        <v>40000</v>
      </c>
      <c r="C47" s="492">
        <v>0</v>
      </c>
      <c r="D47" s="492">
        <v>0</v>
      </c>
      <c r="E47" s="493">
        <v>0</v>
      </c>
      <c r="F47" s="507">
        <v>0</v>
      </c>
      <c r="G47" s="493"/>
      <c r="H47" s="512">
        <f t="shared" si="2"/>
        <v>0</v>
      </c>
      <c r="I47" s="492"/>
    </row>
    <row r="48" spans="1:9" ht="15" hidden="1" x14ac:dyDescent="0.25">
      <c r="A48" s="490" t="s">
        <v>358</v>
      </c>
      <c r="B48" s="491">
        <v>50000</v>
      </c>
      <c r="C48" s="492">
        <v>50000</v>
      </c>
      <c r="D48" s="492">
        <v>0</v>
      </c>
      <c r="E48" s="493">
        <v>0</v>
      </c>
      <c r="F48" s="507">
        <v>0</v>
      </c>
      <c r="G48" s="493"/>
      <c r="H48" s="512">
        <f t="shared" si="2"/>
        <v>0</v>
      </c>
      <c r="I48" s="492"/>
    </row>
    <row r="49" spans="1:9" ht="15" hidden="1" x14ac:dyDescent="0.25">
      <c r="A49" s="490" t="s">
        <v>359</v>
      </c>
      <c r="B49" s="491">
        <v>15000</v>
      </c>
      <c r="C49" s="492">
        <v>15000</v>
      </c>
      <c r="D49" s="492">
        <v>15000</v>
      </c>
      <c r="E49" s="493">
        <v>0</v>
      </c>
      <c r="F49" s="507">
        <v>0</v>
      </c>
      <c r="G49" s="493"/>
      <c r="H49" s="512">
        <f t="shared" si="2"/>
        <v>0</v>
      </c>
      <c r="I49" s="492"/>
    </row>
    <row r="50" spans="1:9" ht="15" hidden="1" x14ac:dyDescent="0.25">
      <c r="A50" s="490" t="s">
        <v>376</v>
      </c>
      <c r="B50" s="491">
        <v>3000</v>
      </c>
      <c r="C50" s="492">
        <v>0</v>
      </c>
      <c r="D50" s="492">
        <v>0</v>
      </c>
      <c r="E50" s="493">
        <v>0</v>
      </c>
      <c r="F50" s="507">
        <v>0</v>
      </c>
      <c r="G50" s="493"/>
      <c r="H50" s="512">
        <f t="shared" si="2"/>
        <v>0</v>
      </c>
      <c r="I50" s="492"/>
    </row>
    <row r="51" spans="1:9" ht="15" x14ac:dyDescent="0.25">
      <c r="A51" s="490" t="s">
        <v>578</v>
      </c>
      <c r="B51" s="491">
        <v>3000</v>
      </c>
      <c r="C51" s="492">
        <v>3000</v>
      </c>
      <c r="D51" s="492">
        <v>3000</v>
      </c>
      <c r="E51" s="493">
        <v>3000</v>
      </c>
      <c r="F51" s="507">
        <v>3000</v>
      </c>
      <c r="G51" s="493"/>
      <c r="H51" s="512">
        <f t="shared" si="2"/>
        <v>3000</v>
      </c>
      <c r="I51" s="492">
        <v>3000</v>
      </c>
    </row>
    <row r="52" spans="1:9" ht="15" x14ac:dyDescent="0.25">
      <c r="A52" s="490" t="s">
        <v>579</v>
      </c>
      <c r="B52" s="491">
        <v>6350</v>
      </c>
      <c r="C52" s="492">
        <v>6350</v>
      </c>
      <c r="D52" s="492">
        <v>6350</v>
      </c>
      <c r="E52" s="493">
        <v>6350</v>
      </c>
      <c r="F52" s="507">
        <v>6350</v>
      </c>
      <c r="G52" s="493"/>
      <c r="H52" s="512">
        <f t="shared" si="2"/>
        <v>6350</v>
      </c>
      <c r="I52" s="492">
        <v>6350</v>
      </c>
    </row>
    <row r="53" spans="1:9" ht="15" x14ac:dyDescent="0.25">
      <c r="A53" s="490" t="s">
        <v>580</v>
      </c>
      <c r="B53" s="491">
        <v>30000</v>
      </c>
      <c r="C53" s="492">
        <v>30000</v>
      </c>
      <c r="D53" s="492">
        <v>30000</v>
      </c>
      <c r="E53" s="493">
        <v>5000</v>
      </c>
      <c r="F53" s="507">
        <v>5000</v>
      </c>
      <c r="G53" s="493"/>
      <c r="H53" s="512">
        <f t="shared" si="2"/>
        <v>5000</v>
      </c>
      <c r="I53" s="492">
        <v>5404</v>
      </c>
    </row>
    <row r="54" spans="1:9" ht="15" x14ac:dyDescent="0.25">
      <c r="A54" s="490" t="s">
        <v>510</v>
      </c>
      <c r="B54" s="491">
        <v>25400</v>
      </c>
      <c r="C54" s="492">
        <v>25400</v>
      </c>
      <c r="D54" s="492">
        <v>25400</v>
      </c>
      <c r="E54" s="493">
        <v>25400</v>
      </c>
      <c r="F54" s="507">
        <v>25400</v>
      </c>
      <c r="G54" s="493"/>
      <c r="H54" s="512">
        <f t="shared" si="2"/>
        <v>25400</v>
      </c>
      <c r="I54" s="492">
        <v>25400</v>
      </c>
    </row>
    <row r="55" spans="1:9" ht="15" x14ac:dyDescent="0.25">
      <c r="A55" s="490" t="s">
        <v>581</v>
      </c>
      <c r="B55" s="491">
        <v>6350</v>
      </c>
      <c r="C55" s="492">
        <v>6350</v>
      </c>
      <c r="D55" s="492">
        <v>1000</v>
      </c>
      <c r="E55" s="493">
        <v>1000</v>
      </c>
      <c r="F55" s="507">
        <v>1000</v>
      </c>
      <c r="G55" s="493"/>
      <c r="H55" s="512">
        <f t="shared" si="2"/>
        <v>1000</v>
      </c>
      <c r="I55" s="492">
        <v>1000</v>
      </c>
    </row>
    <row r="56" spans="1:9" ht="15" hidden="1" x14ac:dyDescent="0.25">
      <c r="A56" s="490" t="s">
        <v>360</v>
      </c>
      <c r="B56" s="491">
        <v>25400</v>
      </c>
      <c r="C56" s="492">
        <v>25400</v>
      </c>
      <c r="D56" s="492">
        <v>0</v>
      </c>
      <c r="E56" s="493">
        <v>0</v>
      </c>
      <c r="F56" s="507">
        <v>0</v>
      </c>
      <c r="G56" s="493"/>
      <c r="H56" s="512">
        <f t="shared" si="2"/>
        <v>0</v>
      </c>
      <c r="I56" s="492"/>
    </row>
    <row r="57" spans="1:9" ht="15" hidden="1" x14ac:dyDescent="0.25">
      <c r="A57" s="490" t="s">
        <v>361</v>
      </c>
      <c r="B57" s="491">
        <v>27940</v>
      </c>
      <c r="C57" s="492">
        <v>27940</v>
      </c>
      <c r="D57" s="492">
        <v>12700</v>
      </c>
      <c r="E57" s="493">
        <v>0</v>
      </c>
      <c r="F57" s="507">
        <v>0</v>
      </c>
      <c r="G57" s="493"/>
      <c r="H57" s="512">
        <f t="shared" si="2"/>
        <v>0</v>
      </c>
      <c r="I57" s="492"/>
    </row>
    <row r="58" spans="1:9" ht="15" hidden="1" x14ac:dyDescent="0.25">
      <c r="A58" s="490" t="s">
        <v>362</v>
      </c>
      <c r="B58" s="491">
        <v>30000</v>
      </c>
      <c r="C58" s="492">
        <v>30000</v>
      </c>
      <c r="D58" s="492">
        <v>0</v>
      </c>
      <c r="E58" s="493">
        <v>0</v>
      </c>
      <c r="F58" s="507">
        <v>0</v>
      </c>
      <c r="G58" s="493"/>
      <c r="H58" s="512">
        <f t="shared" si="2"/>
        <v>0</v>
      </c>
      <c r="I58" s="492"/>
    </row>
    <row r="59" spans="1:9" ht="15" hidden="1" x14ac:dyDescent="0.25">
      <c r="A59" s="496" t="s">
        <v>363</v>
      </c>
      <c r="B59" s="497">
        <v>96000</v>
      </c>
      <c r="C59" s="498">
        <v>0</v>
      </c>
      <c r="D59" s="498">
        <v>0</v>
      </c>
      <c r="E59" s="499">
        <v>0</v>
      </c>
      <c r="F59" s="508">
        <v>0</v>
      </c>
      <c r="G59" s="499"/>
      <c r="H59" s="512">
        <f t="shared" si="2"/>
        <v>0</v>
      </c>
      <c r="I59" s="492"/>
    </row>
    <row r="60" spans="1:9" ht="15" x14ac:dyDescent="0.25">
      <c r="A60" s="496" t="s">
        <v>582</v>
      </c>
      <c r="B60" s="497">
        <v>10000</v>
      </c>
      <c r="C60" s="498">
        <v>10000</v>
      </c>
      <c r="D60" s="498">
        <v>10000</v>
      </c>
      <c r="E60" s="499">
        <v>10000</v>
      </c>
      <c r="F60" s="508">
        <v>10000</v>
      </c>
      <c r="G60" s="499"/>
      <c r="H60" s="512">
        <f t="shared" si="2"/>
        <v>10000</v>
      </c>
      <c r="I60" s="492">
        <v>10000</v>
      </c>
    </row>
    <row r="61" spans="1:9" ht="15" x14ac:dyDescent="0.25">
      <c r="A61" s="490" t="s">
        <v>583</v>
      </c>
      <c r="B61" s="491">
        <v>2000</v>
      </c>
      <c r="C61" s="492">
        <v>2000</v>
      </c>
      <c r="D61" s="492">
        <v>2000</v>
      </c>
      <c r="E61" s="493">
        <v>2000</v>
      </c>
      <c r="F61" s="507">
        <v>2000</v>
      </c>
      <c r="G61" s="493">
        <f>-1115-885</f>
        <v>-2000</v>
      </c>
      <c r="H61" s="512">
        <f t="shared" si="2"/>
        <v>0</v>
      </c>
      <c r="I61" s="492">
        <v>0</v>
      </c>
    </row>
    <row r="62" spans="1:9" ht="15" x14ac:dyDescent="0.25">
      <c r="A62" s="490" t="s">
        <v>584</v>
      </c>
      <c r="B62" s="491">
        <v>1200</v>
      </c>
      <c r="C62" s="492">
        <v>1200</v>
      </c>
      <c r="D62" s="492">
        <v>1200</v>
      </c>
      <c r="E62" s="493">
        <v>1200</v>
      </c>
      <c r="F62" s="507">
        <v>1200</v>
      </c>
      <c r="G62" s="493"/>
      <c r="H62" s="512">
        <f t="shared" si="2"/>
        <v>1200</v>
      </c>
      <c r="I62" s="492">
        <v>0</v>
      </c>
    </row>
    <row r="63" spans="1:9" ht="15" x14ac:dyDescent="0.25">
      <c r="A63" s="490" t="s">
        <v>585</v>
      </c>
      <c r="B63" s="491">
        <v>500</v>
      </c>
      <c r="C63" s="492">
        <v>500</v>
      </c>
      <c r="D63" s="492">
        <v>500</v>
      </c>
      <c r="E63" s="493">
        <v>500</v>
      </c>
      <c r="F63" s="507">
        <v>500</v>
      </c>
      <c r="G63" s="493"/>
      <c r="H63" s="512">
        <f t="shared" si="2"/>
        <v>500</v>
      </c>
      <c r="I63" s="492">
        <v>500</v>
      </c>
    </row>
    <row r="64" spans="1:9" ht="15" x14ac:dyDescent="0.25">
      <c r="A64" s="490" t="s">
        <v>586</v>
      </c>
      <c r="B64" s="491">
        <v>6350</v>
      </c>
      <c r="C64" s="492">
        <v>6350</v>
      </c>
      <c r="D64" s="492">
        <v>0</v>
      </c>
      <c r="E64" s="493">
        <v>500</v>
      </c>
      <c r="F64" s="507">
        <v>500</v>
      </c>
      <c r="G64" s="493"/>
      <c r="H64" s="512">
        <f t="shared" si="2"/>
        <v>500</v>
      </c>
      <c r="I64" s="492">
        <v>500</v>
      </c>
    </row>
    <row r="65" spans="1:9" ht="14.25" hidden="1" customHeight="1" x14ac:dyDescent="0.25">
      <c r="A65" s="490" t="s">
        <v>364</v>
      </c>
      <c r="B65" s="491">
        <v>22860</v>
      </c>
      <c r="C65" s="492">
        <v>22860</v>
      </c>
      <c r="D65" s="492">
        <v>22860</v>
      </c>
      <c r="E65" s="493">
        <v>0</v>
      </c>
      <c r="F65" s="507">
        <v>0</v>
      </c>
      <c r="G65" s="493"/>
      <c r="H65" s="512">
        <f t="shared" si="2"/>
        <v>0</v>
      </c>
      <c r="I65" s="492"/>
    </row>
    <row r="66" spans="1:9" ht="15" x14ac:dyDescent="0.25">
      <c r="A66" s="490" t="s">
        <v>587</v>
      </c>
      <c r="B66" s="491">
        <v>7519</v>
      </c>
      <c r="C66" s="492">
        <v>7519</v>
      </c>
      <c r="D66" s="492">
        <v>5000</v>
      </c>
      <c r="E66" s="493">
        <v>5000</v>
      </c>
      <c r="F66" s="507">
        <v>5000</v>
      </c>
      <c r="G66" s="493"/>
      <c r="H66" s="512">
        <f t="shared" si="2"/>
        <v>5000</v>
      </c>
      <c r="I66" s="492">
        <v>5000</v>
      </c>
    </row>
    <row r="67" spans="1:9" ht="15" x14ac:dyDescent="0.25">
      <c r="A67" s="500" t="s">
        <v>588</v>
      </c>
      <c r="B67" s="501">
        <v>30000</v>
      </c>
      <c r="C67" s="502">
        <v>5000</v>
      </c>
      <c r="D67" s="502">
        <v>5000</v>
      </c>
      <c r="E67" s="503">
        <v>1000</v>
      </c>
      <c r="F67" s="509">
        <v>1000</v>
      </c>
      <c r="G67" s="503">
        <v>-1000</v>
      </c>
      <c r="H67" s="512">
        <f t="shared" si="2"/>
        <v>0</v>
      </c>
      <c r="I67" s="492">
        <v>0</v>
      </c>
    </row>
    <row r="68" spans="1:9" ht="15" x14ac:dyDescent="0.25">
      <c r="A68" s="500" t="s">
        <v>589</v>
      </c>
      <c r="B68" s="501">
        <v>1500</v>
      </c>
      <c r="C68" s="502">
        <v>1500</v>
      </c>
      <c r="D68" s="502">
        <v>1500</v>
      </c>
      <c r="E68" s="503">
        <v>1500</v>
      </c>
      <c r="F68" s="509">
        <v>1500</v>
      </c>
      <c r="G68" s="503">
        <v>-1500</v>
      </c>
      <c r="H68" s="512">
        <f t="shared" si="2"/>
        <v>0</v>
      </c>
      <c r="I68" s="492">
        <v>0</v>
      </c>
    </row>
    <row r="69" spans="1:9" ht="14.25" hidden="1" customHeight="1" x14ac:dyDescent="0.25">
      <c r="A69" s="490" t="s">
        <v>365</v>
      </c>
      <c r="B69" s="491">
        <v>2540</v>
      </c>
      <c r="C69" s="492">
        <v>2540</v>
      </c>
      <c r="D69" s="492">
        <v>0</v>
      </c>
      <c r="E69" s="493">
        <v>0</v>
      </c>
      <c r="F69" s="507">
        <v>0</v>
      </c>
      <c r="G69" s="493"/>
      <c r="H69" s="512">
        <f t="shared" si="2"/>
        <v>0</v>
      </c>
      <c r="I69" s="492"/>
    </row>
    <row r="70" spans="1:9" ht="15" hidden="1" x14ac:dyDescent="0.25">
      <c r="A70" s="490" t="s">
        <v>366</v>
      </c>
      <c r="B70" s="491">
        <v>68000</v>
      </c>
      <c r="C70" s="492">
        <v>68000</v>
      </c>
      <c r="D70" s="492">
        <v>0</v>
      </c>
      <c r="E70" s="493">
        <v>0</v>
      </c>
      <c r="F70" s="507">
        <v>0</v>
      </c>
      <c r="G70" s="493"/>
      <c r="H70" s="512">
        <f t="shared" si="2"/>
        <v>0</v>
      </c>
      <c r="I70" s="492"/>
    </row>
    <row r="71" spans="1:9" ht="15" hidden="1" x14ac:dyDescent="0.25">
      <c r="A71" s="490" t="s">
        <v>369</v>
      </c>
      <c r="B71" s="491">
        <v>101600</v>
      </c>
      <c r="C71" s="492">
        <v>25000</v>
      </c>
      <c r="D71" s="492">
        <v>25000</v>
      </c>
      <c r="E71" s="493">
        <v>5000</v>
      </c>
      <c r="F71" s="507">
        <v>0</v>
      </c>
      <c r="G71" s="493"/>
      <c r="H71" s="512">
        <f t="shared" si="2"/>
        <v>0</v>
      </c>
      <c r="I71" s="492"/>
    </row>
    <row r="72" spans="1:9" ht="15" x14ac:dyDescent="0.25">
      <c r="A72" s="975" t="s">
        <v>590</v>
      </c>
      <c r="B72" s="976">
        <v>193167</v>
      </c>
      <c r="C72" s="977">
        <v>193167</v>
      </c>
      <c r="D72" s="977">
        <v>193167</v>
      </c>
      <c r="E72" s="978">
        <v>193167</v>
      </c>
      <c r="F72" s="979">
        <v>193167</v>
      </c>
      <c r="G72" s="978"/>
      <c r="H72" s="512">
        <f t="shared" si="2"/>
        <v>193167</v>
      </c>
      <c r="I72" s="492">
        <v>193167</v>
      </c>
    </row>
    <row r="73" spans="1:9" ht="15" hidden="1" x14ac:dyDescent="0.25">
      <c r="A73" s="975" t="s">
        <v>498</v>
      </c>
      <c r="B73" s="976"/>
      <c r="C73" s="977">
        <v>3334</v>
      </c>
      <c r="D73" s="977">
        <v>25000</v>
      </c>
      <c r="E73" s="978">
        <v>0</v>
      </c>
      <c r="F73" s="979">
        <v>0</v>
      </c>
      <c r="G73" s="978"/>
      <c r="H73" s="512">
        <f t="shared" si="2"/>
        <v>0</v>
      </c>
      <c r="I73" s="492"/>
    </row>
    <row r="74" spans="1:9" ht="15.75" customHeight="1" x14ac:dyDescent="0.25">
      <c r="A74" s="490" t="s">
        <v>591</v>
      </c>
      <c r="B74" s="491">
        <v>170</v>
      </c>
      <c r="C74" s="492">
        <v>170</v>
      </c>
      <c r="D74" s="492">
        <v>170</v>
      </c>
      <c r="E74" s="493">
        <v>170</v>
      </c>
      <c r="F74" s="507">
        <v>170</v>
      </c>
      <c r="G74" s="493"/>
      <c r="H74" s="512">
        <f t="shared" si="2"/>
        <v>170</v>
      </c>
      <c r="I74" s="492">
        <v>170</v>
      </c>
    </row>
    <row r="75" spans="1:9" ht="30" x14ac:dyDescent="0.25">
      <c r="A75" s="490" t="s">
        <v>592</v>
      </c>
      <c r="B75" s="491"/>
      <c r="C75" s="492"/>
      <c r="D75" s="492"/>
      <c r="E75" s="493"/>
      <c r="F75" s="507"/>
      <c r="G75" s="493">
        <v>13853</v>
      </c>
      <c r="H75" s="512">
        <f t="shared" si="2"/>
        <v>13853</v>
      </c>
      <c r="I75" s="492">
        <v>13853</v>
      </c>
    </row>
    <row r="76" spans="1:9" ht="15.75" customHeight="1" x14ac:dyDescent="0.25">
      <c r="A76" s="490" t="s">
        <v>593</v>
      </c>
      <c r="B76" s="491"/>
      <c r="C76" s="492"/>
      <c r="D76" s="492"/>
      <c r="E76" s="493"/>
      <c r="F76" s="507"/>
      <c r="G76" s="493">
        <v>7772</v>
      </c>
      <c r="H76" s="512">
        <f t="shared" si="2"/>
        <v>7772</v>
      </c>
      <c r="I76" s="492">
        <v>7772</v>
      </c>
    </row>
    <row r="77" spans="1:9" ht="30" x14ac:dyDescent="0.25">
      <c r="A77" s="490" t="s">
        <v>594</v>
      </c>
      <c r="B77" s="491"/>
      <c r="C77" s="492"/>
      <c r="D77" s="492"/>
      <c r="E77" s="493"/>
      <c r="F77" s="507"/>
      <c r="G77" s="493">
        <v>418</v>
      </c>
      <c r="H77" s="512">
        <f t="shared" si="2"/>
        <v>418</v>
      </c>
      <c r="I77" s="492">
        <v>418</v>
      </c>
    </row>
    <row r="78" spans="1:9" ht="15" x14ac:dyDescent="0.25">
      <c r="A78" s="490" t="s">
        <v>595</v>
      </c>
      <c r="B78" s="491"/>
      <c r="C78" s="492"/>
      <c r="D78" s="492"/>
      <c r="E78" s="493"/>
      <c r="F78" s="507"/>
      <c r="G78" s="493">
        <v>403</v>
      </c>
      <c r="H78" s="512">
        <f t="shared" si="2"/>
        <v>403</v>
      </c>
      <c r="I78" s="492">
        <v>403</v>
      </c>
    </row>
    <row r="79" spans="1:9" ht="15" x14ac:dyDescent="0.25">
      <c r="A79" s="490" t="s">
        <v>596</v>
      </c>
      <c r="B79" s="491"/>
      <c r="C79" s="492"/>
      <c r="D79" s="492"/>
      <c r="E79" s="493"/>
      <c r="F79" s="507"/>
      <c r="G79" s="493">
        <v>167</v>
      </c>
      <c r="H79" s="512">
        <f t="shared" si="2"/>
        <v>167</v>
      </c>
      <c r="I79" s="492">
        <v>167</v>
      </c>
    </row>
    <row r="80" spans="1:9" ht="15" x14ac:dyDescent="0.25">
      <c r="A80" s="490" t="s">
        <v>597</v>
      </c>
      <c r="B80" s="491"/>
      <c r="C80" s="492"/>
      <c r="D80" s="492"/>
      <c r="E80" s="493"/>
      <c r="F80" s="507"/>
      <c r="G80" s="493">
        <v>635</v>
      </c>
      <c r="H80" s="512">
        <f t="shared" si="2"/>
        <v>635</v>
      </c>
      <c r="I80" s="492">
        <v>3810</v>
      </c>
    </row>
    <row r="81" spans="1:9" ht="15" x14ac:dyDescent="0.25">
      <c r="A81" s="952" t="s">
        <v>618</v>
      </c>
      <c r="B81" s="976"/>
      <c r="C81" s="977"/>
      <c r="D81" s="977"/>
      <c r="E81" s="978"/>
      <c r="F81" s="979"/>
      <c r="G81" s="978"/>
      <c r="H81" s="980">
        <v>6000</v>
      </c>
      <c r="I81" s="977">
        <v>6000</v>
      </c>
    </row>
    <row r="82" spans="1:9" ht="15" x14ac:dyDescent="0.25">
      <c r="A82" s="844" t="s">
        <v>692</v>
      </c>
      <c r="B82" s="981"/>
      <c r="C82" s="982"/>
      <c r="D82" s="982"/>
      <c r="E82" s="983"/>
      <c r="F82" s="984"/>
      <c r="G82" s="983"/>
      <c r="H82" s="985"/>
      <c r="I82" s="982">
        <v>1887</v>
      </c>
    </row>
    <row r="83" spans="1:9" ht="15" x14ac:dyDescent="0.25">
      <c r="A83" s="961" t="s">
        <v>693</v>
      </c>
      <c r="B83" s="981"/>
      <c r="C83" s="982"/>
      <c r="D83" s="982"/>
      <c r="E83" s="983"/>
      <c r="F83" s="984"/>
      <c r="G83" s="983"/>
      <c r="H83" s="985"/>
      <c r="I83" s="982">
        <v>132</v>
      </c>
    </row>
    <row r="84" spans="1:9" ht="15" x14ac:dyDescent="0.25">
      <c r="A84" s="961" t="s">
        <v>694</v>
      </c>
      <c r="B84" s="981"/>
      <c r="C84" s="982"/>
      <c r="D84" s="982"/>
      <c r="E84" s="983"/>
      <c r="F84" s="984"/>
      <c r="G84" s="983"/>
      <c r="H84" s="985"/>
      <c r="I84" s="982">
        <v>4166</v>
      </c>
    </row>
    <row r="85" spans="1:9" ht="15" x14ac:dyDescent="0.25">
      <c r="A85" s="961" t="s">
        <v>695</v>
      </c>
      <c r="B85" s="981"/>
      <c r="C85" s="982"/>
      <c r="D85" s="982"/>
      <c r="E85" s="983"/>
      <c r="F85" s="984"/>
      <c r="G85" s="983"/>
      <c r="H85" s="985"/>
      <c r="I85" s="982">
        <v>318</v>
      </c>
    </row>
    <row r="86" spans="1:9" ht="15" x14ac:dyDescent="0.25">
      <c r="A86" s="961" t="s">
        <v>696</v>
      </c>
      <c r="B86" s="981"/>
      <c r="C86" s="982"/>
      <c r="D86" s="982"/>
      <c r="E86" s="983"/>
      <c r="F86" s="984"/>
      <c r="G86" s="983"/>
      <c r="H86" s="985"/>
      <c r="I86" s="982">
        <v>470</v>
      </c>
    </row>
    <row r="87" spans="1:9" ht="15" x14ac:dyDescent="0.25">
      <c r="A87" s="961" t="s">
        <v>697</v>
      </c>
      <c r="B87" s="981"/>
      <c r="C87" s="982"/>
      <c r="D87" s="982"/>
      <c r="E87" s="983"/>
      <c r="F87" s="984"/>
      <c r="G87" s="983"/>
      <c r="H87" s="985"/>
      <c r="I87" s="982">
        <v>4437</v>
      </c>
    </row>
    <row r="88" spans="1:9" ht="15" x14ac:dyDescent="0.25">
      <c r="A88" s="961" t="s">
        <v>698</v>
      </c>
      <c r="B88" s="981"/>
      <c r="C88" s="982"/>
      <c r="D88" s="982"/>
      <c r="E88" s="983"/>
      <c r="F88" s="984"/>
      <c r="G88" s="983"/>
      <c r="H88" s="985"/>
      <c r="I88" s="982">
        <v>70</v>
      </c>
    </row>
    <row r="89" spans="1:9" ht="15" x14ac:dyDescent="0.25">
      <c r="A89" s="961" t="s">
        <v>699</v>
      </c>
      <c r="B89" s="981"/>
      <c r="C89" s="982"/>
      <c r="D89" s="982"/>
      <c r="E89" s="983"/>
      <c r="F89" s="984"/>
      <c r="G89" s="983"/>
      <c r="H89" s="985"/>
      <c r="I89" s="982">
        <v>104</v>
      </c>
    </row>
    <row r="90" spans="1:9" ht="15" x14ac:dyDescent="0.25">
      <c r="A90" s="961" t="s">
        <v>700</v>
      </c>
      <c r="B90" s="981"/>
      <c r="C90" s="982"/>
      <c r="D90" s="982"/>
      <c r="E90" s="983"/>
      <c r="F90" s="984"/>
      <c r="G90" s="983"/>
      <c r="H90" s="985"/>
      <c r="I90" s="982">
        <v>80</v>
      </c>
    </row>
    <row r="91" spans="1:9" ht="15" x14ac:dyDescent="0.25">
      <c r="A91" s="961" t="s">
        <v>701</v>
      </c>
      <c r="B91" s="981"/>
      <c r="C91" s="982"/>
      <c r="D91" s="982"/>
      <c r="E91" s="983"/>
      <c r="F91" s="984"/>
      <c r="G91" s="983"/>
      <c r="H91" s="985"/>
      <c r="I91" s="982">
        <v>84</v>
      </c>
    </row>
    <row r="92" spans="1:9" ht="15" x14ac:dyDescent="0.25">
      <c r="A92" s="961" t="s">
        <v>702</v>
      </c>
      <c r="B92" s="981"/>
      <c r="C92" s="982"/>
      <c r="D92" s="982"/>
      <c r="E92" s="983"/>
      <c r="F92" s="984"/>
      <c r="G92" s="983"/>
      <c r="H92" s="985"/>
      <c r="I92" s="982">
        <v>839</v>
      </c>
    </row>
    <row r="93" spans="1:9" ht="15" x14ac:dyDescent="0.25">
      <c r="A93" s="961" t="s">
        <v>703</v>
      </c>
      <c r="B93" s="981"/>
      <c r="C93" s="982"/>
      <c r="D93" s="982"/>
      <c r="E93" s="983"/>
      <c r="F93" s="984"/>
      <c r="G93" s="983"/>
      <c r="H93" s="985"/>
      <c r="I93" s="982">
        <v>13</v>
      </c>
    </row>
    <row r="94" spans="1:9" ht="15" x14ac:dyDescent="0.25">
      <c r="A94" s="961" t="s">
        <v>704</v>
      </c>
      <c r="B94" s="981"/>
      <c r="C94" s="982"/>
      <c r="D94" s="982"/>
      <c r="E94" s="983"/>
      <c r="F94" s="984"/>
      <c r="G94" s="983"/>
      <c r="H94" s="985"/>
      <c r="I94" s="982">
        <v>18</v>
      </c>
    </row>
    <row r="95" spans="1:9" ht="15" x14ac:dyDescent="0.25">
      <c r="A95" s="844" t="s">
        <v>705</v>
      </c>
      <c r="B95" s="981"/>
      <c r="C95" s="982"/>
      <c r="D95" s="982"/>
      <c r="E95" s="983"/>
      <c r="F95" s="984"/>
      <c r="G95" s="983"/>
      <c r="H95" s="985"/>
      <c r="I95" s="982">
        <v>1022</v>
      </c>
    </row>
    <row r="96" spans="1:9" ht="15" x14ac:dyDescent="0.25">
      <c r="A96" s="851" t="s">
        <v>706</v>
      </c>
      <c r="B96" s="981"/>
      <c r="C96" s="982"/>
      <c r="D96" s="982"/>
      <c r="E96" s="983"/>
      <c r="F96" s="984"/>
      <c r="G96" s="983"/>
      <c r="H96" s="985"/>
      <c r="I96" s="982">
        <v>2300</v>
      </c>
    </row>
    <row r="97" spans="1:9" ht="15.75" thickBot="1" x14ac:dyDescent="0.3">
      <c r="A97" s="986" t="s">
        <v>854</v>
      </c>
      <c r="B97" s="987"/>
      <c r="C97" s="988"/>
      <c r="D97" s="988"/>
      <c r="E97" s="989"/>
      <c r="F97" s="990"/>
      <c r="G97" s="989"/>
      <c r="H97" s="991"/>
      <c r="I97" s="988">
        <v>65</v>
      </c>
    </row>
    <row r="98" spans="1:9" ht="15" thickBot="1" x14ac:dyDescent="0.25">
      <c r="A98" s="992" t="s">
        <v>70</v>
      </c>
      <c r="B98" s="993">
        <f t="shared" ref="B98:G98" si="3">SUM(B100,B110,B113)</f>
        <v>39606</v>
      </c>
      <c r="C98" s="994">
        <f t="shared" si="3"/>
        <v>33478</v>
      </c>
      <c r="D98" s="994">
        <f t="shared" si="3"/>
        <v>33478</v>
      </c>
      <c r="E98" s="995">
        <f t="shared" si="3"/>
        <v>9577</v>
      </c>
      <c r="F98" s="996">
        <f t="shared" si="3"/>
        <v>9577</v>
      </c>
      <c r="G98" s="995">
        <f t="shared" si="3"/>
        <v>500</v>
      </c>
      <c r="H98" s="997">
        <f>SUM(H100,H110,H113)</f>
        <v>10077</v>
      </c>
      <c r="I98" s="994">
        <f>SUM(I100+I110+I113)</f>
        <v>10077</v>
      </c>
    </row>
    <row r="99" spans="1:9" ht="14.25" x14ac:dyDescent="0.2">
      <c r="A99" s="998"/>
      <c r="B99" s="999"/>
      <c r="C99" s="1000"/>
      <c r="D99" s="1000"/>
      <c r="E99" s="1001"/>
      <c r="F99" s="1002"/>
      <c r="G99" s="1001"/>
      <c r="H99" s="1003"/>
      <c r="I99" s="1000"/>
    </row>
    <row r="100" spans="1:9" ht="15" x14ac:dyDescent="0.25">
      <c r="A100" s="1004" t="s">
        <v>107</v>
      </c>
      <c r="B100" s="1005">
        <f t="shared" ref="B100:I100" si="4">SUM(B101:B108)</f>
        <v>38879</v>
      </c>
      <c r="C100" s="1006">
        <f t="shared" si="4"/>
        <v>32751</v>
      </c>
      <c r="D100" s="1006">
        <f t="shared" si="4"/>
        <v>32751</v>
      </c>
      <c r="E100" s="1007">
        <f t="shared" si="4"/>
        <v>8850</v>
      </c>
      <c r="F100" s="1008">
        <f t="shared" si="4"/>
        <v>8850</v>
      </c>
      <c r="G100" s="1007">
        <f t="shared" si="4"/>
        <v>500</v>
      </c>
      <c r="H100" s="1009">
        <f t="shared" si="4"/>
        <v>9350</v>
      </c>
      <c r="I100" s="1006">
        <f t="shared" si="4"/>
        <v>9350</v>
      </c>
    </row>
    <row r="101" spans="1:9" ht="15" customHeight="1" x14ac:dyDescent="0.25">
      <c r="A101" s="490" t="s">
        <v>370</v>
      </c>
      <c r="B101" s="491">
        <v>5500</v>
      </c>
      <c r="C101" s="492">
        <v>5500</v>
      </c>
      <c r="D101" s="492">
        <v>5500</v>
      </c>
      <c r="E101" s="493">
        <v>2000</v>
      </c>
      <c r="F101" s="507">
        <v>2000</v>
      </c>
      <c r="G101" s="493">
        <v>500</v>
      </c>
      <c r="H101" s="512">
        <f t="shared" ref="H101:H108" si="5">F101+G101</f>
        <v>2500</v>
      </c>
      <c r="I101" s="492">
        <v>2500</v>
      </c>
    </row>
    <row r="102" spans="1:9" ht="15" customHeight="1" x14ac:dyDescent="0.25">
      <c r="A102" s="952" t="s">
        <v>459</v>
      </c>
      <c r="B102" s="976">
        <v>300</v>
      </c>
      <c r="C102" s="977">
        <v>300</v>
      </c>
      <c r="D102" s="977">
        <v>300</v>
      </c>
      <c r="E102" s="978">
        <v>300</v>
      </c>
      <c r="F102" s="979">
        <v>300</v>
      </c>
      <c r="G102" s="978"/>
      <c r="H102" s="512">
        <f t="shared" si="5"/>
        <v>300</v>
      </c>
      <c r="I102" s="492">
        <v>300</v>
      </c>
    </row>
    <row r="103" spans="1:9" ht="27.75" customHeight="1" x14ac:dyDescent="0.25">
      <c r="A103" s="952" t="s">
        <v>460</v>
      </c>
      <c r="B103" s="491">
        <v>130</v>
      </c>
      <c r="C103" s="492">
        <v>130</v>
      </c>
      <c r="D103" s="492">
        <v>130</v>
      </c>
      <c r="E103" s="493">
        <v>130</v>
      </c>
      <c r="F103" s="507">
        <v>130</v>
      </c>
      <c r="G103" s="493"/>
      <c r="H103" s="512">
        <f t="shared" si="5"/>
        <v>130</v>
      </c>
      <c r="I103" s="492">
        <v>130</v>
      </c>
    </row>
    <row r="104" spans="1:9" ht="14.25" customHeight="1" x14ac:dyDescent="0.25">
      <c r="A104" s="952" t="s">
        <v>468</v>
      </c>
      <c r="B104" s="491">
        <v>150</v>
      </c>
      <c r="C104" s="492">
        <v>150</v>
      </c>
      <c r="D104" s="492">
        <v>150</v>
      </c>
      <c r="E104" s="493">
        <v>150</v>
      </c>
      <c r="F104" s="507">
        <v>150</v>
      </c>
      <c r="G104" s="493"/>
      <c r="H104" s="512">
        <f t="shared" si="5"/>
        <v>150</v>
      </c>
      <c r="I104" s="492">
        <v>150</v>
      </c>
    </row>
    <row r="105" spans="1:9" ht="15" x14ac:dyDescent="0.25">
      <c r="A105" s="490" t="s">
        <v>461</v>
      </c>
      <c r="B105" s="491">
        <v>1270</v>
      </c>
      <c r="C105" s="492">
        <v>1270</v>
      </c>
      <c r="D105" s="492">
        <v>1270</v>
      </c>
      <c r="E105" s="493">
        <v>1270</v>
      </c>
      <c r="F105" s="507">
        <v>1270</v>
      </c>
      <c r="G105" s="493"/>
      <c r="H105" s="512">
        <f t="shared" si="5"/>
        <v>1270</v>
      </c>
      <c r="I105" s="492">
        <v>1270</v>
      </c>
    </row>
    <row r="106" spans="1:9" ht="15" hidden="1" x14ac:dyDescent="0.25">
      <c r="A106" s="952" t="s">
        <v>371</v>
      </c>
      <c r="B106" s="976">
        <v>381</v>
      </c>
      <c r="C106" s="977">
        <v>381</v>
      </c>
      <c r="D106" s="977">
        <v>381</v>
      </c>
      <c r="E106" s="978">
        <v>0</v>
      </c>
      <c r="F106" s="979">
        <v>0</v>
      </c>
      <c r="G106" s="978"/>
      <c r="H106" s="512">
        <f t="shared" si="5"/>
        <v>0</v>
      </c>
      <c r="I106" s="492"/>
    </row>
    <row r="107" spans="1:9" ht="15" hidden="1" customHeight="1" x14ac:dyDescent="0.25">
      <c r="A107" s="952" t="s">
        <v>462</v>
      </c>
      <c r="B107" s="976">
        <v>6128</v>
      </c>
      <c r="C107" s="977">
        <v>0</v>
      </c>
      <c r="D107" s="977">
        <v>0</v>
      </c>
      <c r="E107" s="978">
        <v>0</v>
      </c>
      <c r="F107" s="979">
        <v>0</v>
      </c>
      <c r="G107" s="978"/>
      <c r="H107" s="512">
        <f t="shared" si="5"/>
        <v>0</v>
      </c>
      <c r="I107" s="492"/>
    </row>
    <row r="108" spans="1:9" ht="15" x14ac:dyDescent="0.25">
      <c r="A108" s="490" t="s">
        <v>501</v>
      </c>
      <c r="B108" s="491">
        <v>25020</v>
      </c>
      <c r="C108" s="492">
        <v>25020</v>
      </c>
      <c r="D108" s="492">
        <v>25020</v>
      </c>
      <c r="E108" s="493">
        <v>5000</v>
      </c>
      <c r="F108" s="507">
        <v>5000</v>
      </c>
      <c r="G108" s="493"/>
      <c r="H108" s="512">
        <f t="shared" si="5"/>
        <v>5000</v>
      </c>
      <c r="I108" s="492">
        <v>5000</v>
      </c>
    </row>
    <row r="109" spans="1:9" ht="15" x14ac:dyDescent="0.25">
      <c r="A109" s="952"/>
      <c r="B109" s="976"/>
      <c r="C109" s="977"/>
      <c r="D109" s="977"/>
      <c r="E109" s="978"/>
      <c r="F109" s="979"/>
      <c r="G109" s="978"/>
      <c r="H109" s="980"/>
      <c r="I109" s="977"/>
    </row>
    <row r="110" spans="1:9" ht="15" x14ac:dyDescent="0.25">
      <c r="A110" s="1004" t="s">
        <v>102</v>
      </c>
      <c r="B110" s="1005">
        <f t="shared" ref="B110:I110" si="6">SUM(B111)</f>
        <v>127</v>
      </c>
      <c r="C110" s="1006">
        <f t="shared" si="6"/>
        <v>127</v>
      </c>
      <c r="D110" s="1006">
        <f t="shared" si="6"/>
        <v>127</v>
      </c>
      <c r="E110" s="1007">
        <f t="shared" si="6"/>
        <v>127</v>
      </c>
      <c r="F110" s="1008">
        <f t="shared" si="6"/>
        <v>127</v>
      </c>
      <c r="G110" s="1007">
        <f t="shared" si="6"/>
        <v>0</v>
      </c>
      <c r="H110" s="1009">
        <f t="shared" si="6"/>
        <v>127</v>
      </c>
      <c r="I110" s="1006">
        <f t="shared" si="6"/>
        <v>127</v>
      </c>
    </row>
    <row r="111" spans="1:9" ht="15" x14ac:dyDescent="0.25">
      <c r="A111" s="952" t="s">
        <v>108</v>
      </c>
      <c r="B111" s="976">
        <v>127</v>
      </c>
      <c r="C111" s="977">
        <v>127</v>
      </c>
      <c r="D111" s="977">
        <v>127</v>
      </c>
      <c r="E111" s="978">
        <v>127</v>
      </c>
      <c r="F111" s="979">
        <v>127</v>
      </c>
      <c r="G111" s="978"/>
      <c r="H111" s="980">
        <f>F111+G111</f>
        <v>127</v>
      </c>
      <c r="I111" s="977">
        <v>127</v>
      </c>
    </row>
    <row r="112" spans="1:9" ht="15" x14ac:dyDescent="0.25">
      <c r="A112" s="952"/>
      <c r="B112" s="976"/>
      <c r="C112" s="977"/>
      <c r="D112" s="977"/>
      <c r="E112" s="978"/>
      <c r="F112" s="979"/>
      <c r="G112" s="978"/>
      <c r="H112" s="980"/>
      <c r="I112" s="977"/>
    </row>
    <row r="113" spans="1:9" ht="15" x14ac:dyDescent="0.25">
      <c r="A113" s="1004" t="s">
        <v>101</v>
      </c>
      <c r="B113" s="1010">
        <f t="shared" ref="B113:I113" si="7">SUM(B114)</f>
        <v>600</v>
      </c>
      <c r="C113" s="1011">
        <f t="shared" si="7"/>
        <v>600</v>
      </c>
      <c r="D113" s="1011">
        <f t="shared" si="7"/>
        <v>600</v>
      </c>
      <c r="E113" s="1012">
        <f t="shared" si="7"/>
        <v>600</v>
      </c>
      <c r="F113" s="1013">
        <f t="shared" si="7"/>
        <v>600</v>
      </c>
      <c r="G113" s="1012">
        <f t="shared" si="7"/>
        <v>0</v>
      </c>
      <c r="H113" s="1014">
        <f t="shared" si="7"/>
        <v>600</v>
      </c>
      <c r="I113" s="1011">
        <f t="shared" si="7"/>
        <v>600</v>
      </c>
    </row>
    <row r="114" spans="1:9" ht="15" x14ac:dyDescent="0.25">
      <c r="A114" s="952" t="s">
        <v>108</v>
      </c>
      <c r="B114" s="953">
        <v>600</v>
      </c>
      <c r="C114" s="954">
        <v>600</v>
      </c>
      <c r="D114" s="954">
        <v>600</v>
      </c>
      <c r="E114" s="504">
        <v>600</v>
      </c>
      <c r="F114" s="955">
        <v>600</v>
      </c>
      <c r="G114" s="504"/>
      <c r="H114" s="513">
        <f>F114+G114</f>
        <v>600</v>
      </c>
      <c r="I114" s="954">
        <v>600</v>
      </c>
    </row>
    <row r="115" spans="1:9" ht="15.75" thickBot="1" x14ac:dyDescent="0.3">
      <c r="A115" s="986"/>
      <c r="B115" s="1015"/>
      <c r="C115" s="1016"/>
      <c r="D115" s="1016"/>
      <c r="E115" s="1017"/>
      <c r="F115" s="1018"/>
      <c r="G115" s="1017"/>
      <c r="H115" s="1019"/>
      <c r="I115" s="1016"/>
    </row>
    <row r="116" spans="1:9" ht="15" thickBot="1" x14ac:dyDescent="0.25">
      <c r="A116" s="992" t="s">
        <v>109</v>
      </c>
      <c r="B116" s="1020">
        <f t="shared" ref="B116:E116" si="8">SUM(B117:B125)</f>
        <v>37491</v>
      </c>
      <c r="C116" s="1021">
        <f t="shared" si="8"/>
        <v>33352</v>
      </c>
      <c r="D116" s="1021">
        <f t="shared" si="8"/>
        <v>33352</v>
      </c>
      <c r="E116" s="1022">
        <f t="shared" si="8"/>
        <v>22295</v>
      </c>
      <c r="F116" s="1023">
        <f t="shared" ref="F116:G116" si="9">SUM(F117:F127)</f>
        <v>22295</v>
      </c>
      <c r="G116" s="1022">
        <f t="shared" si="9"/>
        <v>3190</v>
      </c>
      <c r="H116" s="1024">
        <f>SUM(H117:H127)</f>
        <v>25485</v>
      </c>
      <c r="I116" s="1021">
        <f>SUM(I117:I127)</f>
        <v>25125</v>
      </c>
    </row>
    <row r="117" spans="1:9" ht="15" x14ac:dyDescent="0.25">
      <c r="A117" s="1025" t="s">
        <v>372</v>
      </c>
      <c r="B117" s="1026">
        <v>883</v>
      </c>
      <c r="C117" s="1027">
        <v>883</v>
      </c>
      <c r="D117" s="1027">
        <v>883</v>
      </c>
      <c r="E117" s="538">
        <v>883</v>
      </c>
      <c r="F117" s="1028">
        <v>883</v>
      </c>
      <c r="G117" s="538"/>
      <c r="H117" s="539">
        <f t="shared" ref="H117:H127" si="10">F117+G117</f>
        <v>883</v>
      </c>
      <c r="I117" s="920">
        <v>1118</v>
      </c>
    </row>
    <row r="118" spans="1:9" ht="15.75" customHeight="1" x14ac:dyDescent="0.25">
      <c r="A118" s="952" t="s">
        <v>479</v>
      </c>
      <c r="B118" s="953">
        <v>5139</v>
      </c>
      <c r="C118" s="954">
        <v>1000</v>
      </c>
      <c r="D118" s="954">
        <v>1000</v>
      </c>
      <c r="E118" s="504">
        <v>1000</v>
      </c>
      <c r="F118" s="955">
        <v>1000</v>
      </c>
      <c r="G118" s="504"/>
      <c r="H118" s="513">
        <f t="shared" si="10"/>
        <v>1000</v>
      </c>
      <c r="I118" s="951">
        <v>1732</v>
      </c>
    </row>
    <row r="119" spans="1:9" ht="18" customHeight="1" x14ac:dyDescent="0.25">
      <c r="A119" s="952" t="s">
        <v>373</v>
      </c>
      <c r="B119" s="953">
        <v>2140</v>
      </c>
      <c r="C119" s="954">
        <v>2140</v>
      </c>
      <c r="D119" s="954">
        <v>2140</v>
      </c>
      <c r="E119" s="504">
        <v>2140</v>
      </c>
      <c r="F119" s="955">
        <v>2140</v>
      </c>
      <c r="G119" s="504"/>
      <c r="H119" s="513">
        <f t="shared" si="10"/>
        <v>2140</v>
      </c>
      <c r="I119" s="951">
        <v>2613</v>
      </c>
    </row>
    <row r="120" spans="1:9" ht="30.75" customHeight="1" x14ac:dyDescent="0.25">
      <c r="A120" s="952" t="s">
        <v>483</v>
      </c>
      <c r="B120" s="953">
        <v>2173</v>
      </c>
      <c r="C120" s="954">
        <v>2173</v>
      </c>
      <c r="D120" s="954">
        <v>2173</v>
      </c>
      <c r="E120" s="504">
        <v>2173</v>
      </c>
      <c r="F120" s="955">
        <v>2173</v>
      </c>
      <c r="G120" s="504">
        <v>500</v>
      </c>
      <c r="H120" s="513">
        <f t="shared" si="10"/>
        <v>2673</v>
      </c>
      <c r="I120" s="951">
        <v>2373</v>
      </c>
    </row>
    <row r="121" spans="1:9" ht="15" x14ac:dyDescent="0.25">
      <c r="A121" s="952" t="s">
        <v>374</v>
      </c>
      <c r="B121" s="953">
        <v>800</v>
      </c>
      <c r="C121" s="954">
        <v>800</v>
      </c>
      <c r="D121" s="954">
        <v>800</v>
      </c>
      <c r="E121" s="504">
        <v>800</v>
      </c>
      <c r="F121" s="955">
        <v>800</v>
      </c>
      <c r="G121" s="504"/>
      <c r="H121" s="513">
        <f t="shared" si="10"/>
        <v>800</v>
      </c>
      <c r="I121" s="951">
        <v>800</v>
      </c>
    </row>
    <row r="122" spans="1:9" ht="45" x14ac:dyDescent="0.25">
      <c r="A122" s="952" t="s">
        <v>484</v>
      </c>
      <c r="B122" s="953">
        <v>2595</v>
      </c>
      <c r="C122" s="954">
        <v>2595</v>
      </c>
      <c r="D122" s="954">
        <v>2595</v>
      </c>
      <c r="E122" s="504">
        <v>2595</v>
      </c>
      <c r="F122" s="955">
        <v>2595</v>
      </c>
      <c r="G122" s="504"/>
      <c r="H122" s="513">
        <f t="shared" si="10"/>
        <v>2595</v>
      </c>
      <c r="I122" s="951">
        <v>2595</v>
      </c>
    </row>
    <row r="123" spans="1:9" ht="30" x14ac:dyDescent="0.25">
      <c r="A123" s="952" t="s">
        <v>375</v>
      </c>
      <c r="B123" s="953">
        <v>21057</v>
      </c>
      <c r="C123" s="954">
        <v>21057</v>
      </c>
      <c r="D123" s="954">
        <v>21057</v>
      </c>
      <c r="E123" s="504">
        <v>10000</v>
      </c>
      <c r="F123" s="955">
        <v>10000</v>
      </c>
      <c r="G123" s="504">
        <v>2390</v>
      </c>
      <c r="H123" s="513">
        <f t="shared" si="10"/>
        <v>12390</v>
      </c>
      <c r="I123" s="951">
        <v>12390</v>
      </c>
    </row>
    <row r="124" spans="1:9" ht="30" x14ac:dyDescent="0.25">
      <c r="A124" s="952" t="s">
        <v>463</v>
      </c>
      <c r="B124" s="953">
        <v>804</v>
      </c>
      <c r="C124" s="954">
        <v>804</v>
      </c>
      <c r="D124" s="954">
        <v>804</v>
      </c>
      <c r="E124" s="504">
        <v>804</v>
      </c>
      <c r="F124" s="955">
        <v>804</v>
      </c>
      <c r="G124" s="504"/>
      <c r="H124" s="513">
        <f t="shared" si="10"/>
        <v>804</v>
      </c>
      <c r="I124" s="951">
        <v>804</v>
      </c>
    </row>
    <row r="125" spans="1:9" ht="15" x14ac:dyDescent="0.25">
      <c r="A125" s="952" t="s">
        <v>464</v>
      </c>
      <c r="B125" s="953">
        <v>1900</v>
      </c>
      <c r="C125" s="954">
        <v>1900</v>
      </c>
      <c r="D125" s="954">
        <v>1900</v>
      </c>
      <c r="E125" s="504">
        <v>1900</v>
      </c>
      <c r="F125" s="955">
        <v>1900</v>
      </c>
      <c r="G125" s="504"/>
      <c r="H125" s="513">
        <f t="shared" si="10"/>
        <v>1900</v>
      </c>
      <c r="I125" s="951">
        <v>400</v>
      </c>
    </row>
    <row r="126" spans="1:9" ht="15" x14ac:dyDescent="0.25">
      <c r="A126" s="952" t="s">
        <v>598</v>
      </c>
      <c r="B126" s="953"/>
      <c r="C126" s="954"/>
      <c r="D126" s="954"/>
      <c r="E126" s="504"/>
      <c r="F126" s="955"/>
      <c r="G126" s="504">
        <v>200</v>
      </c>
      <c r="H126" s="513">
        <f t="shared" si="10"/>
        <v>200</v>
      </c>
      <c r="I126" s="951">
        <v>200</v>
      </c>
    </row>
    <row r="127" spans="1:9" ht="15" x14ac:dyDescent="0.25">
      <c r="A127" s="952" t="s">
        <v>599</v>
      </c>
      <c r="B127" s="953"/>
      <c r="C127" s="954"/>
      <c r="D127" s="954"/>
      <c r="E127" s="504"/>
      <c r="F127" s="955"/>
      <c r="G127" s="504">
        <v>100</v>
      </c>
      <c r="H127" s="513">
        <f t="shared" si="10"/>
        <v>100</v>
      </c>
      <c r="I127" s="951">
        <v>100</v>
      </c>
    </row>
    <row r="128" spans="1:9" ht="15.75" thickBot="1" x14ac:dyDescent="0.3">
      <c r="A128" s="986"/>
      <c r="B128" s="1015"/>
      <c r="C128" s="1016"/>
      <c r="D128" s="1016"/>
      <c r="E128" s="1017"/>
      <c r="F128" s="1018"/>
      <c r="G128" s="1017"/>
      <c r="H128" s="1019"/>
      <c r="I128" s="951"/>
    </row>
    <row r="129" spans="1:9" ht="15" thickBot="1" x14ac:dyDescent="0.25">
      <c r="A129" s="514" t="s">
        <v>104</v>
      </c>
      <c r="B129" s="515">
        <f t="shared" ref="B129:I129" si="11">SUM(B6,B116,B98)</f>
        <v>2450777</v>
      </c>
      <c r="C129" s="516">
        <f t="shared" si="11"/>
        <v>2102716</v>
      </c>
      <c r="D129" s="516">
        <f t="shared" si="11"/>
        <v>1864983</v>
      </c>
      <c r="E129" s="517">
        <f t="shared" si="11"/>
        <v>1685965</v>
      </c>
      <c r="F129" s="518">
        <f t="shared" si="11"/>
        <v>291469</v>
      </c>
      <c r="G129" s="517">
        <f t="shared" si="11"/>
        <v>114418</v>
      </c>
      <c r="H129" s="519">
        <f t="shared" si="11"/>
        <v>411887</v>
      </c>
      <c r="I129" s="516">
        <f t="shared" si="11"/>
        <v>1467567</v>
      </c>
    </row>
    <row r="130" spans="1:9" ht="13.5" customHeight="1" x14ac:dyDescent="0.2">
      <c r="A130" s="90"/>
      <c r="B130" s="91"/>
    </row>
    <row r="131" spans="1:9" ht="13.5" customHeight="1" x14ac:dyDescent="0.2">
      <c r="A131" s="90"/>
      <c r="B131" s="91"/>
    </row>
    <row r="132" spans="1:9" ht="13.5" customHeight="1" x14ac:dyDescent="0.2">
      <c r="A132" s="90"/>
      <c r="B132" s="91"/>
    </row>
    <row r="133" spans="1:9" ht="13.5" customHeight="1" x14ac:dyDescent="0.2">
      <c r="A133" s="90"/>
      <c r="B133" s="91"/>
    </row>
    <row r="134" spans="1:9" ht="13.5" customHeight="1" x14ac:dyDescent="0.2">
      <c r="A134" s="90"/>
      <c r="B134" s="91"/>
    </row>
    <row r="135" spans="1:9" ht="13.5" customHeight="1" x14ac:dyDescent="0.2">
      <c r="A135" s="90"/>
      <c r="B135" s="91"/>
    </row>
    <row r="136" spans="1:9" ht="13.5" customHeight="1" x14ac:dyDescent="0.2">
      <c r="A136" s="90"/>
      <c r="B136" s="91"/>
    </row>
    <row r="137" spans="1:9" ht="13.5" customHeight="1" x14ac:dyDescent="0.2">
      <c r="A137" s="90"/>
      <c r="B137" s="91"/>
    </row>
    <row r="138" spans="1:9" ht="13.5" customHeight="1" x14ac:dyDescent="0.2">
      <c r="A138" s="92"/>
      <c r="B138" s="91"/>
    </row>
    <row r="139" spans="1:9" ht="13.5" customHeight="1" x14ac:dyDescent="0.2">
      <c r="A139" s="93"/>
      <c r="B139" s="91"/>
    </row>
    <row r="140" spans="1:9" ht="13.5" customHeight="1" x14ac:dyDescent="0.2">
      <c r="A140" s="93"/>
      <c r="B140" s="91"/>
    </row>
    <row r="141" spans="1:9" ht="13.5" customHeight="1" x14ac:dyDescent="0.2">
      <c r="A141" s="93"/>
      <c r="B141" s="91"/>
    </row>
    <row r="142" spans="1:9" ht="13.5" customHeight="1" x14ac:dyDescent="0.2">
      <c r="A142" s="93"/>
      <c r="B142" s="91"/>
    </row>
    <row r="143" spans="1:9" ht="13.5" customHeight="1" x14ac:dyDescent="0.2">
      <c r="A143" s="93"/>
      <c r="B143" s="91"/>
    </row>
    <row r="144" spans="1:9" ht="13.5" customHeight="1" x14ac:dyDescent="0.2">
      <c r="A144" s="93"/>
      <c r="B144" s="91"/>
    </row>
    <row r="145" spans="1:2" ht="13.5" customHeight="1" x14ac:dyDescent="0.2">
      <c r="A145" s="93"/>
      <c r="B145" s="91"/>
    </row>
    <row r="146" spans="1:2" ht="13.5" customHeight="1" x14ac:dyDescent="0.2">
      <c r="A146" s="93"/>
      <c r="B146" s="91"/>
    </row>
    <row r="147" spans="1:2" ht="13.5" customHeight="1" x14ac:dyDescent="0.2">
      <c r="A147" s="93"/>
      <c r="B147" s="91"/>
    </row>
    <row r="148" spans="1:2" ht="13.5" customHeight="1" x14ac:dyDescent="0.2">
      <c r="A148" s="93"/>
      <c r="B148" s="91"/>
    </row>
    <row r="149" spans="1:2" ht="13.5" customHeight="1" x14ac:dyDescent="0.2">
      <c r="A149" s="93"/>
      <c r="B149" s="91"/>
    </row>
    <row r="150" spans="1:2" ht="13.5" customHeight="1" x14ac:dyDescent="0.2">
      <c r="A150" s="93"/>
      <c r="B150" s="91"/>
    </row>
    <row r="151" spans="1:2" ht="13.5" customHeight="1" x14ac:dyDescent="0.2">
      <c r="A151" s="94"/>
      <c r="B151" s="91"/>
    </row>
    <row r="152" spans="1:2" x14ac:dyDescent="0.2">
      <c r="A152" s="92"/>
      <c r="B152" s="91"/>
    </row>
    <row r="153" spans="1:2" x14ac:dyDescent="0.2">
      <c r="A153" s="92"/>
      <c r="B153" s="91"/>
    </row>
    <row r="154" spans="1:2" x14ac:dyDescent="0.2">
      <c r="A154" s="90"/>
      <c r="B154" s="91"/>
    </row>
    <row r="155" spans="1:2" x14ac:dyDescent="0.2">
      <c r="A155" s="90"/>
      <c r="B155" s="91"/>
    </row>
    <row r="156" spans="1:2" x14ac:dyDescent="0.2">
      <c r="A156" s="90"/>
      <c r="B156" s="91"/>
    </row>
    <row r="157" spans="1:2" x14ac:dyDescent="0.2">
      <c r="A157" s="95"/>
      <c r="B157" s="91"/>
    </row>
    <row r="158" spans="1:2" x14ac:dyDescent="0.2">
      <c r="A158" s="92"/>
      <c r="B158" s="91"/>
    </row>
  </sheetData>
  <mergeCells count="1">
    <mergeCell ref="A2:I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7" fitToHeight="0" orientation="portrait" r:id="rId1"/>
  <headerFooter>
    <oddHeader xml:space="preserve">&amp;L7. melléklet a 20/2017.(IX.29.) önkormányzati rendelethez
7. melléklet a 24/2016.(XII.16.)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73"/>
  <sheetViews>
    <sheetView view="pageBreakPreview" zoomScale="90" zoomScaleNormal="100" zoomScaleSheetLayoutView="90" workbookViewId="0">
      <selection activeCell="A53" sqref="A53"/>
    </sheetView>
  </sheetViews>
  <sheetFormatPr defaultRowHeight="12.75" x14ac:dyDescent="0.2"/>
  <cols>
    <col min="1" max="1" width="102.42578125" customWidth="1"/>
    <col min="2" max="2" width="0.140625" hidden="1" customWidth="1"/>
    <col min="3" max="3" width="14.85546875" hidden="1" customWidth="1"/>
    <col min="4" max="4" width="13.85546875" hidden="1" customWidth="1"/>
    <col min="5" max="5" width="19.42578125" customWidth="1"/>
    <col min="6" max="6" width="29" hidden="1" customWidth="1"/>
    <col min="7" max="7" width="16.28515625" customWidth="1"/>
    <col min="8" max="8" width="14.5703125" style="842" customWidth="1"/>
    <col min="9" max="9" width="0.42578125" hidden="1" customWidth="1"/>
    <col min="10" max="10" width="0.140625" hidden="1" customWidth="1"/>
    <col min="11" max="11" width="9.140625" hidden="1" customWidth="1"/>
  </cols>
  <sheetData>
    <row r="1" spans="1:11" ht="15" x14ac:dyDescent="0.25">
      <c r="A1" s="1437" t="s">
        <v>853</v>
      </c>
      <c r="B1" s="1437"/>
      <c r="C1" s="1437"/>
      <c r="D1" s="1437"/>
      <c r="E1" s="1437"/>
      <c r="F1" s="1437"/>
      <c r="G1" s="1437"/>
      <c r="H1" s="1437"/>
      <c r="I1" s="1437"/>
      <c r="J1" s="1437"/>
      <c r="K1" s="57"/>
    </row>
    <row r="2" spans="1:11" ht="14.25" x14ac:dyDescent="0.2">
      <c r="A2" s="1438" t="s">
        <v>626</v>
      </c>
      <c r="B2" s="1438"/>
      <c r="C2" s="1438"/>
      <c r="D2" s="1438"/>
      <c r="E2" s="1438"/>
      <c r="F2" s="1438"/>
      <c r="G2" s="1438"/>
      <c r="H2" s="1438"/>
      <c r="I2" s="1438"/>
      <c r="J2" s="1438"/>
      <c r="K2" s="1042"/>
    </row>
    <row r="3" spans="1:11" ht="17.25" customHeight="1" thickBot="1" x14ac:dyDescent="0.25">
      <c r="A3" s="1092"/>
      <c r="B3" s="1091"/>
      <c r="C3" s="1090"/>
      <c r="D3" s="1090"/>
      <c r="H3"/>
      <c r="K3" s="1043"/>
    </row>
    <row r="4" spans="1:11" ht="43.5" customHeight="1" thickBot="1" x14ac:dyDescent="0.3">
      <c r="A4" s="934" t="s">
        <v>2</v>
      </c>
      <c r="B4" s="933" t="s">
        <v>493</v>
      </c>
      <c r="C4" s="931" t="s">
        <v>494</v>
      </c>
      <c r="D4" s="931" t="s">
        <v>495</v>
      </c>
      <c r="E4" s="931" t="s">
        <v>3</v>
      </c>
      <c r="F4" s="931" t="s">
        <v>574</v>
      </c>
      <c r="G4" s="932" t="s">
        <v>567</v>
      </c>
      <c r="H4" s="930" t="s">
        <v>622</v>
      </c>
      <c r="I4" s="1089" t="s">
        <v>910</v>
      </c>
      <c r="J4" s="1088" t="s">
        <v>851</v>
      </c>
      <c r="K4" s="57"/>
    </row>
    <row r="5" spans="1:11" ht="32.25" customHeight="1" x14ac:dyDescent="0.25">
      <c r="A5" s="919"/>
      <c r="B5" s="1049"/>
      <c r="C5" s="1048"/>
      <c r="D5" s="1048"/>
      <c r="E5" s="1048"/>
      <c r="F5" s="1048"/>
      <c r="G5" s="1047"/>
      <c r="H5" s="1046"/>
      <c r="I5" s="1045"/>
      <c r="J5" s="1046"/>
      <c r="K5" s="930" t="s">
        <v>851</v>
      </c>
    </row>
    <row r="6" spans="1:11" ht="15" x14ac:dyDescent="0.25">
      <c r="A6" s="922" t="s">
        <v>69</v>
      </c>
      <c r="B6" s="1059">
        <f t="shared" ref="B6:I6" si="0">SUM(B8,B12)</f>
        <v>547265</v>
      </c>
      <c r="C6" s="1059">
        <f t="shared" si="0"/>
        <v>894836</v>
      </c>
      <c r="D6" s="1059">
        <f t="shared" si="0"/>
        <v>336157</v>
      </c>
      <c r="E6" s="1059">
        <f t="shared" si="0"/>
        <v>245122</v>
      </c>
      <c r="F6" s="1059">
        <f t="shared" si="0"/>
        <v>-113529</v>
      </c>
      <c r="G6" s="1059">
        <f t="shared" si="0"/>
        <v>131593</v>
      </c>
      <c r="H6" s="1056">
        <f t="shared" si="0"/>
        <v>315594</v>
      </c>
      <c r="I6" s="1087">
        <f t="shared" si="0"/>
        <v>184001</v>
      </c>
      <c r="J6" s="1056">
        <f>SUM('[11]8. sz. melléklet'!K8,J12)</f>
        <v>31316</v>
      </c>
      <c r="K6" s="918"/>
    </row>
    <row r="7" spans="1:11" ht="14.25" customHeight="1" x14ac:dyDescent="0.25">
      <c r="A7" s="919"/>
      <c r="B7" s="1049"/>
      <c r="C7" s="1048"/>
      <c r="D7" s="1048"/>
      <c r="E7" s="1048"/>
      <c r="F7" s="1048"/>
      <c r="G7" s="1047"/>
      <c r="H7" s="1046"/>
      <c r="I7" s="1045"/>
      <c r="J7" s="1046"/>
      <c r="K7" s="921">
        <f>SUM(K9,K23,K34)</f>
        <v>33166</v>
      </c>
    </row>
    <row r="8" spans="1:11" ht="15" x14ac:dyDescent="0.25">
      <c r="A8" s="922" t="s">
        <v>909</v>
      </c>
      <c r="B8" s="1059">
        <f>SUM(B9:B10)</f>
        <v>0</v>
      </c>
      <c r="C8" s="1059">
        <f>SUM(C9:C10)</f>
        <v>0</v>
      </c>
      <c r="D8" s="1059">
        <f>SUM(D9:D10)</f>
        <v>0</v>
      </c>
      <c r="E8" s="1059">
        <f>SUM(E9:E10)</f>
        <v>0</v>
      </c>
      <c r="F8" s="1059"/>
      <c r="G8" s="1059">
        <f>SUM(G9:G10)</f>
        <v>0</v>
      </c>
      <c r="H8" s="1056">
        <f>SUM(H9:H10)</f>
        <v>54510</v>
      </c>
      <c r="I8" s="1087">
        <f>SUM(I9:I10)</f>
        <v>54510</v>
      </c>
      <c r="J8" s="1056">
        <f>SUM(J9:J10)</f>
        <v>0</v>
      </c>
      <c r="K8" s="918"/>
    </row>
    <row r="9" spans="1:11" ht="15" x14ac:dyDescent="0.25">
      <c r="A9" s="919" t="s">
        <v>908</v>
      </c>
      <c r="B9" s="1049">
        <v>0</v>
      </c>
      <c r="C9" s="1048">
        <v>0</v>
      </c>
      <c r="D9" s="1048">
        <v>0</v>
      </c>
      <c r="E9" s="1048">
        <v>0</v>
      </c>
      <c r="F9" s="1048"/>
      <c r="G9" s="1047">
        <v>0</v>
      </c>
      <c r="H9" s="1068">
        <v>21850</v>
      </c>
      <c r="I9" s="1067">
        <v>21850</v>
      </c>
      <c r="J9" s="1046">
        <v>0</v>
      </c>
      <c r="K9" s="921">
        <f>SUM(K10:K21)</f>
        <v>16957</v>
      </c>
    </row>
    <row r="10" spans="1:11" ht="15" x14ac:dyDescent="0.25">
      <c r="A10" s="919" t="s">
        <v>907</v>
      </c>
      <c r="B10" s="1049">
        <v>0</v>
      </c>
      <c r="C10" s="1048">
        <v>0</v>
      </c>
      <c r="D10" s="1048">
        <v>0</v>
      </c>
      <c r="E10" s="1048">
        <v>0</v>
      </c>
      <c r="F10" s="1048"/>
      <c r="G10" s="1047">
        <v>0</v>
      </c>
      <c r="H10" s="1068">
        <v>32660</v>
      </c>
      <c r="I10" s="1067">
        <v>32660</v>
      </c>
      <c r="J10" s="1046">
        <v>0</v>
      </c>
      <c r="K10" s="926">
        <v>1406</v>
      </c>
    </row>
    <row r="11" spans="1:11" ht="15" x14ac:dyDescent="0.25">
      <c r="A11" s="919"/>
      <c r="B11" s="1049"/>
      <c r="C11" s="1048"/>
      <c r="D11" s="1048"/>
      <c r="E11" s="1048"/>
      <c r="F11" s="1048"/>
      <c r="G11" s="1047"/>
      <c r="H11" s="1046"/>
      <c r="I11" s="1045"/>
      <c r="J11" s="1046"/>
      <c r="K11" s="926">
        <v>354</v>
      </c>
    </row>
    <row r="12" spans="1:11" ht="24.75" customHeight="1" x14ac:dyDescent="0.25">
      <c r="A12" s="922" t="s">
        <v>347</v>
      </c>
      <c r="B12" s="1059">
        <f>SUM(B13:B49)</f>
        <v>547265</v>
      </c>
      <c r="C12" s="1059">
        <f>SUM(C13:C49)</f>
        <v>894836</v>
      </c>
      <c r="D12" s="1059">
        <f>SUM(D13:D49)</f>
        <v>336157</v>
      </c>
      <c r="E12" s="1059">
        <f>SUM(E13:E50)</f>
        <v>245122</v>
      </c>
      <c r="F12" s="1056">
        <f>SUM(F13:F51)</f>
        <v>-113529</v>
      </c>
      <c r="G12" s="1058">
        <f>SUM(G13:G51)</f>
        <v>131593</v>
      </c>
      <c r="H12" s="1056">
        <f>SUM(H13:H56)</f>
        <v>261084</v>
      </c>
      <c r="I12" s="1057">
        <f>SUM(I13:I56)</f>
        <v>129491</v>
      </c>
      <c r="J12" s="1058">
        <f>SUM(J13:J55)</f>
        <v>31316</v>
      </c>
      <c r="K12" s="929">
        <v>0</v>
      </c>
    </row>
    <row r="13" spans="1:11" ht="24.75" customHeight="1" x14ac:dyDescent="0.25">
      <c r="A13" s="924" t="s">
        <v>906</v>
      </c>
      <c r="B13" s="1073">
        <v>2540</v>
      </c>
      <c r="C13" s="1055">
        <v>2540</v>
      </c>
      <c r="D13" s="1055">
        <v>2540</v>
      </c>
      <c r="E13" s="1055">
        <v>2540</v>
      </c>
      <c r="F13" s="1055"/>
      <c r="G13" s="1054">
        <f t="shared" ref="G13:G51" si="1">E13+F13</f>
        <v>2540</v>
      </c>
      <c r="H13" s="1071">
        <v>653</v>
      </c>
      <c r="I13" s="1070">
        <v>-1887</v>
      </c>
      <c r="J13" s="1069">
        <v>591</v>
      </c>
      <c r="K13" s="929">
        <v>0</v>
      </c>
    </row>
    <row r="14" spans="1:11" ht="17.25" customHeight="1" x14ac:dyDescent="0.25">
      <c r="A14" s="924" t="s">
        <v>507</v>
      </c>
      <c r="B14" s="1073">
        <v>85000</v>
      </c>
      <c r="C14" s="1055">
        <v>85000</v>
      </c>
      <c r="D14" s="1055">
        <v>85000</v>
      </c>
      <c r="E14" s="1055">
        <v>70000</v>
      </c>
      <c r="F14" s="1055">
        <v>-1994</v>
      </c>
      <c r="G14" s="1054">
        <f t="shared" si="1"/>
        <v>68006</v>
      </c>
      <c r="H14" s="1053">
        <v>68006</v>
      </c>
      <c r="I14" s="1052"/>
      <c r="J14" s="1069">
        <v>0</v>
      </c>
      <c r="K14" s="929">
        <v>0</v>
      </c>
    </row>
    <row r="15" spans="1:11" ht="23.25" hidden="1" customHeight="1" x14ac:dyDescent="0.25">
      <c r="A15" s="924" t="s">
        <v>508</v>
      </c>
      <c r="B15" s="1073">
        <v>45000</v>
      </c>
      <c r="C15" s="1076">
        <v>43334</v>
      </c>
      <c r="D15" s="1076">
        <v>43334</v>
      </c>
      <c r="E15" s="1076">
        <v>45000</v>
      </c>
      <c r="F15" s="1076">
        <v>-45000</v>
      </c>
      <c r="G15" s="1054">
        <f t="shared" si="1"/>
        <v>0</v>
      </c>
      <c r="H15" s="1053"/>
      <c r="I15" s="1052"/>
      <c r="J15" s="1069"/>
      <c r="K15" s="929">
        <v>0</v>
      </c>
    </row>
    <row r="16" spans="1:11" ht="19.5" customHeight="1" x14ac:dyDescent="0.25">
      <c r="A16" s="1075" t="s">
        <v>905</v>
      </c>
      <c r="B16" s="1074">
        <v>10000</v>
      </c>
      <c r="C16" s="1055">
        <v>10000</v>
      </c>
      <c r="D16" s="1055">
        <v>10000</v>
      </c>
      <c r="E16" s="1055">
        <v>1000</v>
      </c>
      <c r="F16" s="1055"/>
      <c r="G16" s="1054">
        <f t="shared" si="1"/>
        <v>1000</v>
      </c>
      <c r="H16" s="1071">
        <v>3000</v>
      </c>
      <c r="I16" s="1070">
        <v>2000</v>
      </c>
      <c r="J16" s="1069">
        <v>978</v>
      </c>
      <c r="K16" s="929">
        <v>0</v>
      </c>
    </row>
    <row r="17" spans="1:11" ht="30.75" customHeight="1" x14ac:dyDescent="0.25">
      <c r="A17" s="928" t="s">
        <v>904</v>
      </c>
      <c r="B17" s="1073">
        <v>10000</v>
      </c>
      <c r="C17" s="1055">
        <v>10000</v>
      </c>
      <c r="D17" s="1055">
        <v>10000</v>
      </c>
      <c r="E17" s="1055">
        <v>1000</v>
      </c>
      <c r="F17" s="1055">
        <v>1000</v>
      </c>
      <c r="G17" s="1054">
        <f t="shared" si="1"/>
        <v>2000</v>
      </c>
      <c r="H17" s="1071">
        <v>2705</v>
      </c>
      <c r="I17" s="1070">
        <v>705</v>
      </c>
      <c r="J17" s="1069">
        <v>0</v>
      </c>
      <c r="K17" s="926">
        <v>3937</v>
      </c>
    </row>
    <row r="18" spans="1:11" ht="18" hidden="1" customHeight="1" x14ac:dyDescent="0.25">
      <c r="A18" s="1075" t="s">
        <v>903</v>
      </c>
      <c r="B18" s="1074">
        <v>10000</v>
      </c>
      <c r="C18" s="1055">
        <v>10000</v>
      </c>
      <c r="D18" s="1055">
        <v>0</v>
      </c>
      <c r="E18" s="1055">
        <v>0</v>
      </c>
      <c r="F18" s="1055"/>
      <c r="G18" s="1054">
        <f t="shared" si="1"/>
        <v>0</v>
      </c>
      <c r="H18" s="1053"/>
      <c r="I18" s="1052"/>
      <c r="J18" s="1069"/>
      <c r="K18" s="926">
        <v>11260</v>
      </c>
    </row>
    <row r="19" spans="1:11" ht="27.75" customHeight="1" x14ac:dyDescent="0.25">
      <c r="A19" s="924" t="s">
        <v>902</v>
      </c>
      <c r="B19" s="1073">
        <v>6350</v>
      </c>
      <c r="C19" s="1055">
        <v>6350</v>
      </c>
      <c r="D19" s="1055">
        <v>6350</v>
      </c>
      <c r="E19" s="1055">
        <v>6350</v>
      </c>
      <c r="F19" s="1055"/>
      <c r="G19" s="1054">
        <f t="shared" si="1"/>
        <v>6350</v>
      </c>
      <c r="H19" s="1053">
        <v>6350</v>
      </c>
      <c r="I19" s="1052"/>
      <c r="J19" s="1069">
        <v>0</v>
      </c>
      <c r="K19" s="926">
        <v>0</v>
      </c>
    </row>
    <row r="20" spans="1:11" ht="0.75" customHeight="1" x14ac:dyDescent="0.25">
      <c r="A20" s="924" t="s">
        <v>901</v>
      </c>
      <c r="B20" s="1073">
        <v>10000</v>
      </c>
      <c r="C20" s="1055">
        <v>10000</v>
      </c>
      <c r="D20" s="1055">
        <v>0</v>
      </c>
      <c r="E20" s="1055">
        <v>0</v>
      </c>
      <c r="F20" s="1055"/>
      <c r="G20" s="1054">
        <f t="shared" si="1"/>
        <v>0</v>
      </c>
      <c r="H20" s="1053"/>
      <c r="I20" s="1052"/>
      <c r="J20" s="1069"/>
      <c r="K20" s="926">
        <v>0</v>
      </c>
    </row>
    <row r="21" spans="1:11" ht="17.25" hidden="1" customHeight="1" x14ac:dyDescent="0.25">
      <c r="A21" s="924" t="s">
        <v>900</v>
      </c>
      <c r="B21" s="1073">
        <v>80000</v>
      </c>
      <c r="C21" s="1076">
        <v>46667</v>
      </c>
      <c r="D21" s="1076">
        <v>0</v>
      </c>
      <c r="E21" s="1076">
        <v>0</v>
      </c>
      <c r="F21" s="1076"/>
      <c r="G21" s="1054">
        <f t="shared" si="1"/>
        <v>0</v>
      </c>
      <c r="H21" s="1053"/>
      <c r="I21" s="1052"/>
      <c r="J21" s="1069"/>
      <c r="K21" s="926"/>
    </row>
    <row r="22" spans="1:11" ht="15" hidden="1" x14ac:dyDescent="0.25">
      <c r="A22" s="924" t="s">
        <v>899</v>
      </c>
      <c r="B22" s="1073">
        <v>19500</v>
      </c>
      <c r="C22" s="1055">
        <v>19500</v>
      </c>
      <c r="D22" s="1055">
        <v>0</v>
      </c>
      <c r="E22" s="1055">
        <v>0</v>
      </c>
      <c r="F22" s="1055"/>
      <c r="G22" s="1054">
        <f t="shared" si="1"/>
        <v>0</v>
      </c>
      <c r="H22" s="1053"/>
      <c r="I22" s="1052"/>
      <c r="J22" s="1069"/>
      <c r="K22" s="918"/>
    </row>
    <row r="23" spans="1:11" ht="15" hidden="1" x14ac:dyDescent="0.25">
      <c r="A23" s="924" t="s">
        <v>898</v>
      </c>
      <c r="B23" s="1073">
        <v>25000</v>
      </c>
      <c r="C23" s="1055">
        <v>25000</v>
      </c>
      <c r="D23" s="1055">
        <v>0</v>
      </c>
      <c r="E23" s="1055">
        <v>0</v>
      </c>
      <c r="F23" s="1055"/>
      <c r="G23" s="1054">
        <f t="shared" si="1"/>
        <v>0</v>
      </c>
      <c r="H23" s="1053"/>
      <c r="I23" s="1052"/>
      <c r="J23" s="1069"/>
      <c r="K23" s="921">
        <f>SUM(K24:K30)</f>
        <v>5499</v>
      </c>
    </row>
    <row r="24" spans="1:11" ht="15" hidden="1" x14ac:dyDescent="0.25">
      <c r="A24" s="924" t="s">
        <v>897</v>
      </c>
      <c r="B24" s="1073">
        <v>20000</v>
      </c>
      <c r="C24" s="1055">
        <v>20000</v>
      </c>
      <c r="D24" s="1055">
        <v>0</v>
      </c>
      <c r="E24" s="1055">
        <v>0</v>
      </c>
      <c r="F24" s="1055"/>
      <c r="G24" s="1054">
        <f t="shared" si="1"/>
        <v>0</v>
      </c>
      <c r="H24" s="1053"/>
      <c r="I24" s="1052"/>
      <c r="J24" s="1069"/>
      <c r="K24" s="918">
        <v>0</v>
      </c>
    </row>
    <row r="25" spans="1:11" ht="15" hidden="1" x14ac:dyDescent="0.25">
      <c r="A25" s="924" t="s">
        <v>896</v>
      </c>
      <c r="B25" s="1073">
        <v>20000</v>
      </c>
      <c r="C25" s="1055">
        <v>20000</v>
      </c>
      <c r="D25" s="1055">
        <v>0</v>
      </c>
      <c r="E25" s="1055">
        <v>0</v>
      </c>
      <c r="F25" s="1055"/>
      <c r="G25" s="1054">
        <f t="shared" si="1"/>
        <v>0</v>
      </c>
      <c r="H25" s="1053"/>
      <c r="I25" s="1052"/>
      <c r="J25" s="1069"/>
      <c r="K25" s="918">
        <v>1499</v>
      </c>
    </row>
    <row r="26" spans="1:11" ht="27.75" hidden="1" customHeight="1" x14ac:dyDescent="0.25">
      <c r="A26" s="924" t="s">
        <v>895</v>
      </c>
      <c r="B26" s="1073">
        <v>10160</v>
      </c>
      <c r="C26" s="1055">
        <v>10160</v>
      </c>
      <c r="D26" s="1055">
        <v>0</v>
      </c>
      <c r="E26" s="1055">
        <v>0</v>
      </c>
      <c r="F26" s="1055"/>
      <c r="G26" s="1054">
        <f t="shared" si="1"/>
        <v>0</v>
      </c>
      <c r="H26" s="1053"/>
      <c r="I26" s="1052"/>
      <c r="J26" s="1069"/>
      <c r="K26" s="918">
        <v>0</v>
      </c>
    </row>
    <row r="27" spans="1:11" ht="35.25" hidden="1" customHeight="1" x14ac:dyDescent="0.25">
      <c r="A27" s="924" t="s">
        <v>894</v>
      </c>
      <c r="B27" s="1073">
        <v>12700</v>
      </c>
      <c r="C27" s="1055">
        <v>12700</v>
      </c>
      <c r="D27" s="1055">
        <v>12700</v>
      </c>
      <c r="E27" s="1055">
        <v>0</v>
      </c>
      <c r="F27" s="1055"/>
      <c r="G27" s="1054">
        <f t="shared" si="1"/>
        <v>0</v>
      </c>
      <c r="H27" s="1053"/>
      <c r="I27" s="1052"/>
      <c r="J27" s="1069"/>
      <c r="K27" s="918">
        <v>0</v>
      </c>
    </row>
    <row r="28" spans="1:11" ht="29.25" customHeight="1" x14ac:dyDescent="0.25">
      <c r="A28" s="924" t="s">
        <v>893</v>
      </c>
      <c r="B28" s="1073">
        <v>1270</v>
      </c>
      <c r="C28" s="1055">
        <v>1270</v>
      </c>
      <c r="D28" s="1055">
        <v>1270</v>
      </c>
      <c r="E28" s="1055">
        <v>1270</v>
      </c>
      <c r="F28" s="1055"/>
      <c r="G28" s="1054">
        <f t="shared" si="1"/>
        <v>1270</v>
      </c>
      <c r="H28" s="1053">
        <v>1270</v>
      </c>
      <c r="I28" s="1052"/>
      <c r="J28" s="1069">
        <v>0</v>
      </c>
      <c r="K28" s="918">
        <v>4000</v>
      </c>
    </row>
    <row r="29" spans="1:11" ht="40.5" customHeight="1" x14ac:dyDescent="0.25">
      <c r="A29" s="927" t="s">
        <v>892</v>
      </c>
      <c r="B29" s="1086">
        <v>20500</v>
      </c>
      <c r="C29" s="1085">
        <v>23334</v>
      </c>
      <c r="D29" s="1085">
        <v>23334</v>
      </c>
      <c r="E29" s="1085">
        <v>5000</v>
      </c>
      <c r="F29" s="1085"/>
      <c r="G29" s="1054">
        <f t="shared" si="1"/>
        <v>5000</v>
      </c>
      <c r="H29" s="1071">
        <v>0</v>
      </c>
      <c r="I29" s="1070">
        <v>-5000</v>
      </c>
      <c r="J29" s="1069">
        <v>0</v>
      </c>
      <c r="K29" s="918"/>
    </row>
    <row r="30" spans="1:11" ht="15" hidden="1" x14ac:dyDescent="0.25">
      <c r="A30" s="924" t="s">
        <v>891</v>
      </c>
      <c r="B30" s="1073">
        <v>6350</v>
      </c>
      <c r="C30" s="1055">
        <v>6350</v>
      </c>
      <c r="D30" s="1055">
        <v>0</v>
      </c>
      <c r="E30" s="1055">
        <v>0</v>
      </c>
      <c r="F30" s="1055"/>
      <c r="G30" s="1054">
        <f t="shared" si="1"/>
        <v>0</v>
      </c>
      <c r="H30" s="1053"/>
      <c r="I30" s="1052"/>
      <c r="J30" s="1069"/>
      <c r="K30" s="918">
        <v>0</v>
      </c>
    </row>
    <row r="31" spans="1:11" ht="22.5" hidden="1" customHeight="1" x14ac:dyDescent="0.25">
      <c r="A31" s="924" t="s">
        <v>890</v>
      </c>
      <c r="B31" s="1073">
        <v>5000</v>
      </c>
      <c r="C31" s="1055">
        <v>5000</v>
      </c>
      <c r="D31" s="1055">
        <v>0</v>
      </c>
      <c r="E31" s="1055">
        <v>0</v>
      </c>
      <c r="F31" s="1055"/>
      <c r="G31" s="1054">
        <f t="shared" si="1"/>
        <v>0</v>
      </c>
      <c r="H31" s="1053"/>
      <c r="I31" s="1052"/>
      <c r="J31" s="1069"/>
      <c r="K31" s="918"/>
    </row>
    <row r="32" spans="1:11" ht="31.5" customHeight="1" x14ac:dyDescent="0.25">
      <c r="A32" s="1084" t="s">
        <v>889</v>
      </c>
      <c r="B32" s="1083">
        <v>5000</v>
      </c>
      <c r="C32" s="1082">
        <v>5000</v>
      </c>
      <c r="D32" s="1082">
        <v>5000</v>
      </c>
      <c r="E32" s="1081">
        <v>5000</v>
      </c>
      <c r="F32" s="1081"/>
      <c r="G32" s="1080">
        <f t="shared" si="1"/>
        <v>5000</v>
      </c>
      <c r="H32" s="1079">
        <v>5000</v>
      </c>
      <c r="I32" s="1078"/>
      <c r="J32" s="1077">
        <v>0</v>
      </c>
      <c r="K32" s="918"/>
    </row>
    <row r="33" spans="1:11" ht="15.75" customHeight="1" x14ac:dyDescent="0.25">
      <c r="A33" s="924" t="s">
        <v>888</v>
      </c>
      <c r="B33" s="1073">
        <v>25400</v>
      </c>
      <c r="C33" s="1055">
        <v>8467</v>
      </c>
      <c r="D33" s="1055">
        <v>8467</v>
      </c>
      <c r="E33" s="1055">
        <v>8467</v>
      </c>
      <c r="F33" s="1055"/>
      <c r="G33" s="1054">
        <f t="shared" si="1"/>
        <v>8467</v>
      </c>
      <c r="H33" s="1068">
        <v>13467</v>
      </c>
      <c r="I33" s="1067">
        <v>5000</v>
      </c>
      <c r="J33" s="1069">
        <v>5277</v>
      </c>
      <c r="K33" s="918"/>
    </row>
    <row r="34" spans="1:11" ht="14.25" customHeight="1" x14ac:dyDescent="0.25">
      <c r="A34" s="924" t="s">
        <v>887</v>
      </c>
      <c r="B34" s="1073">
        <v>10000</v>
      </c>
      <c r="C34" s="1055">
        <v>3334</v>
      </c>
      <c r="D34" s="1055">
        <v>15000</v>
      </c>
      <c r="E34" s="1055">
        <v>15000</v>
      </c>
      <c r="F34" s="1055">
        <f>-141-1499-694-224-1283</f>
        <v>-3841</v>
      </c>
      <c r="G34" s="1054">
        <f t="shared" si="1"/>
        <v>11159</v>
      </c>
      <c r="H34" s="1068">
        <v>1374</v>
      </c>
      <c r="I34" s="1067">
        <f>-(8763+1022)</f>
        <v>-9785</v>
      </c>
      <c r="J34" s="1069">
        <v>749</v>
      </c>
      <c r="K34" s="921">
        <f>SUM(K48:K73)</f>
        <v>10710</v>
      </c>
    </row>
    <row r="35" spans="1:11" ht="1.5" hidden="1" customHeight="1" x14ac:dyDescent="0.25">
      <c r="A35" s="924" t="s">
        <v>886</v>
      </c>
      <c r="B35" s="1073">
        <v>0</v>
      </c>
      <c r="C35" s="1055">
        <v>66667</v>
      </c>
      <c r="D35" s="1055">
        <v>0</v>
      </c>
      <c r="E35" s="1055">
        <v>0</v>
      </c>
      <c r="F35" s="1055"/>
      <c r="G35" s="1054">
        <f t="shared" si="1"/>
        <v>0</v>
      </c>
      <c r="H35" s="1053"/>
      <c r="I35" s="1052"/>
      <c r="J35" s="1069"/>
      <c r="K35" s="926">
        <v>0</v>
      </c>
    </row>
    <row r="36" spans="1:11" ht="25.5" hidden="1" customHeight="1" x14ac:dyDescent="0.25">
      <c r="A36" s="924" t="s">
        <v>885</v>
      </c>
      <c r="B36" s="1073">
        <v>0</v>
      </c>
      <c r="C36" s="1076">
        <v>83334</v>
      </c>
      <c r="D36" s="1076">
        <v>0</v>
      </c>
      <c r="E36" s="1076">
        <v>0</v>
      </c>
      <c r="F36" s="1076"/>
      <c r="G36" s="1054">
        <f t="shared" si="1"/>
        <v>0</v>
      </c>
      <c r="H36" s="1053"/>
      <c r="I36" s="1052"/>
      <c r="J36" s="1069"/>
      <c r="K36" s="926">
        <v>0</v>
      </c>
    </row>
    <row r="37" spans="1:11" ht="28.5" hidden="1" customHeight="1" x14ac:dyDescent="0.25">
      <c r="A37" s="924" t="s">
        <v>884</v>
      </c>
      <c r="B37" s="1073">
        <v>0</v>
      </c>
      <c r="C37" s="1055">
        <v>50000</v>
      </c>
      <c r="D37" s="1055">
        <v>0</v>
      </c>
      <c r="E37" s="1055">
        <v>0</v>
      </c>
      <c r="F37" s="1055"/>
      <c r="G37" s="1054">
        <f t="shared" si="1"/>
        <v>0</v>
      </c>
      <c r="H37" s="1053"/>
      <c r="I37" s="1052"/>
      <c r="J37" s="1069"/>
      <c r="K37" s="926">
        <v>0</v>
      </c>
    </row>
    <row r="38" spans="1:11" ht="39" hidden="1" customHeight="1" x14ac:dyDescent="0.25">
      <c r="A38" s="924" t="s">
        <v>883</v>
      </c>
      <c r="B38" s="1073">
        <v>0</v>
      </c>
      <c r="C38" s="1055">
        <v>86667</v>
      </c>
      <c r="D38" s="1055">
        <v>0</v>
      </c>
      <c r="E38" s="1055">
        <v>0</v>
      </c>
      <c r="F38" s="1055"/>
      <c r="G38" s="1054">
        <f t="shared" si="1"/>
        <v>0</v>
      </c>
      <c r="H38" s="1053"/>
      <c r="I38" s="1052"/>
      <c r="J38" s="1069"/>
      <c r="K38" s="925">
        <v>0</v>
      </c>
    </row>
    <row r="39" spans="1:11" ht="39.75" hidden="1" customHeight="1" x14ac:dyDescent="0.25">
      <c r="A39" s="924" t="s">
        <v>882</v>
      </c>
      <c r="B39" s="1073">
        <v>0</v>
      </c>
      <c r="C39" s="1055">
        <v>16667</v>
      </c>
      <c r="D39" s="1055">
        <v>16667</v>
      </c>
      <c r="E39" s="1055">
        <v>0</v>
      </c>
      <c r="F39" s="1055"/>
      <c r="G39" s="1054">
        <f t="shared" si="1"/>
        <v>0</v>
      </c>
      <c r="H39" s="1053"/>
      <c r="I39" s="1052"/>
      <c r="J39" s="1069"/>
      <c r="K39" s="925"/>
    </row>
    <row r="40" spans="1:11" ht="32.25" hidden="1" customHeight="1" x14ac:dyDescent="0.25">
      <c r="A40" s="924" t="s">
        <v>881</v>
      </c>
      <c r="B40" s="1073">
        <v>0</v>
      </c>
      <c r="C40" s="1055">
        <v>50000</v>
      </c>
      <c r="D40" s="1055">
        <v>0</v>
      </c>
      <c r="E40" s="1055">
        <v>0</v>
      </c>
      <c r="F40" s="1055"/>
      <c r="G40" s="1054">
        <f t="shared" si="1"/>
        <v>0</v>
      </c>
      <c r="H40" s="1053"/>
      <c r="I40" s="1052"/>
      <c r="J40" s="1069"/>
      <c r="K40" s="925"/>
    </row>
    <row r="41" spans="1:11" ht="31.5" hidden="1" customHeight="1" x14ac:dyDescent="0.25">
      <c r="A41" s="924" t="s">
        <v>880</v>
      </c>
      <c r="B41" s="1055">
        <v>0</v>
      </c>
      <c r="C41" s="1055">
        <v>10000</v>
      </c>
      <c r="D41" s="1055">
        <v>10000</v>
      </c>
      <c r="E41" s="1055">
        <v>0</v>
      </c>
      <c r="F41" s="1055"/>
      <c r="G41" s="1054">
        <f t="shared" si="1"/>
        <v>0</v>
      </c>
      <c r="H41" s="1053"/>
      <c r="I41" s="1052"/>
      <c r="J41" s="1069"/>
      <c r="K41" s="925"/>
    </row>
    <row r="42" spans="1:11" ht="35.25" hidden="1" customHeight="1" x14ac:dyDescent="0.25">
      <c r="A42" s="924" t="s">
        <v>879</v>
      </c>
      <c r="B42" s="1073">
        <v>0</v>
      </c>
      <c r="C42" s="1055">
        <v>40000</v>
      </c>
      <c r="D42" s="1055">
        <v>0</v>
      </c>
      <c r="E42" s="1055">
        <v>0</v>
      </c>
      <c r="F42" s="1055"/>
      <c r="G42" s="1054">
        <f t="shared" si="1"/>
        <v>0</v>
      </c>
      <c r="H42" s="1053"/>
      <c r="I42" s="1052"/>
      <c r="J42" s="1069"/>
      <c r="K42" s="925"/>
    </row>
    <row r="43" spans="1:11" ht="28.5" customHeight="1" x14ac:dyDescent="0.25">
      <c r="A43" s="1075" t="s">
        <v>878</v>
      </c>
      <c r="B43" s="1074">
        <v>15260</v>
      </c>
      <c r="C43" s="1055">
        <v>15260</v>
      </c>
      <c r="D43" s="1055">
        <v>15260</v>
      </c>
      <c r="E43" s="1055">
        <v>15260</v>
      </c>
      <c r="F43" s="1055"/>
      <c r="G43" s="1054">
        <f t="shared" si="1"/>
        <v>15260</v>
      </c>
      <c r="H43" s="1068">
        <v>16385</v>
      </c>
      <c r="I43" s="1067">
        <v>1125</v>
      </c>
      <c r="J43" s="1069">
        <v>16385</v>
      </c>
      <c r="K43" s="925"/>
    </row>
    <row r="44" spans="1:11" ht="0.75" customHeight="1" x14ac:dyDescent="0.25">
      <c r="A44" s="924" t="s">
        <v>877</v>
      </c>
      <c r="B44" s="1073">
        <v>15000</v>
      </c>
      <c r="C44" s="1055">
        <v>15000</v>
      </c>
      <c r="D44" s="1055">
        <v>0</v>
      </c>
      <c r="E44" s="1055">
        <v>0</v>
      </c>
      <c r="F44" s="1055"/>
      <c r="G44" s="1054">
        <f t="shared" si="1"/>
        <v>0</v>
      </c>
      <c r="H44" s="1068"/>
      <c r="I44" s="1067"/>
      <c r="J44" s="1069"/>
      <c r="K44" s="925"/>
    </row>
    <row r="45" spans="1:11" ht="29.25" hidden="1" customHeight="1" x14ac:dyDescent="0.25">
      <c r="A45" s="924" t="s">
        <v>509</v>
      </c>
      <c r="B45" s="1073">
        <v>60000</v>
      </c>
      <c r="C45" s="1055">
        <v>60000</v>
      </c>
      <c r="D45" s="1055">
        <v>60000</v>
      </c>
      <c r="E45" s="1055">
        <v>60000</v>
      </c>
      <c r="F45" s="1055">
        <v>-60000</v>
      </c>
      <c r="G45" s="1054">
        <f t="shared" si="1"/>
        <v>0</v>
      </c>
      <c r="H45" s="1068"/>
      <c r="I45" s="1067"/>
      <c r="J45" s="1069"/>
      <c r="K45" s="925"/>
    </row>
    <row r="46" spans="1:11" ht="28.5" customHeight="1" x14ac:dyDescent="0.25">
      <c r="A46" s="924" t="s">
        <v>876</v>
      </c>
      <c r="B46" s="1073">
        <v>10000</v>
      </c>
      <c r="C46" s="1055">
        <v>10000</v>
      </c>
      <c r="D46" s="1055">
        <v>10000</v>
      </c>
      <c r="E46" s="1055">
        <v>5000</v>
      </c>
      <c r="F46" s="1055"/>
      <c r="G46" s="1054">
        <f t="shared" si="1"/>
        <v>5000</v>
      </c>
      <c r="H46" s="1068">
        <v>2875</v>
      </c>
      <c r="I46" s="1067">
        <f>-(1125+1000)</f>
        <v>-2125</v>
      </c>
      <c r="J46" s="1069">
        <v>0</v>
      </c>
      <c r="K46" s="925"/>
    </row>
    <row r="47" spans="1:11" ht="27.75" hidden="1" customHeight="1" x14ac:dyDescent="0.25">
      <c r="A47" s="927" t="s">
        <v>875</v>
      </c>
      <c r="B47" s="1073">
        <v>6000</v>
      </c>
      <c r="C47" s="1055">
        <v>6000</v>
      </c>
      <c r="D47" s="1055">
        <v>0</v>
      </c>
      <c r="E47" s="1055">
        <v>0</v>
      </c>
      <c r="F47" s="1055"/>
      <c r="G47" s="1054">
        <f t="shared" si="1"/>
        <v>0</v>
      </c>
      <c r="H47" s="1053"/>
      <c r="I47" s="1052"/>
      <c r="J47" s="1069"/>
      <c r="K47" s="925"/>
    </row>
    <row r="48" spans="1:11" ht="15" x14ac:dyDescent="0.25">
      <c r="A48" s="1072" t="s">
        <v>874</v>
      </c>
      <c r="B48" s="1073">
        <v>835</v>
      </c>
      <c r="C48" s="1055">
        <v>835</v>
      </c>
      <c r="D48" s="1055">
        <v>835</v>
      </c>
      <c r="E48" s="1055">
        <v>835</v>
      </c>
      <c r="F48" s="1055">
        <v>-635</v>
      </c>
      <c r="G48" s="1054">
        <f t="shared" si="1"/>
        <v>200</v>
      </c>
      <c r="H48" s="1068">
        <v>68</v>
      </c>
      <c r="I48" s="1067">
        <v>-132</v>
      </c>
      <c r="J48" s="1069">
        <v>0</v>
      </c>
      <c r="K48" s="925">
        <v>0</v>
      </c>
    </row>
    <row r="49" spans="1:11" ht="17.25" customHeight="1" x14ac:dyDescent="0.25">
      <c r="A49" s="1072" t="s">
        <v>873</v>
      </c>
      <c r="B49" s="1073">
        <v>400</v>
      </c>
      <c r="C49" s="1055">
        <v>400</v>
      </c>
      <c r="D49" s="1055">
        <v>400</v>
      </c>
      <c r="E49" s="1055">
        <v>400</v>
      </c>
      <c r="F49" s="1055">
        <v>-200</v>
      </c>
      <c r="G49" s="1054">
        <f t="shared" si="1"/>
        <v>200</v>
      </c>
      <c r="H49" s="1053">
        <v>200</v>
      </c>
      <c r="I49" s="1052"/>
      <c r="J49" s="1069">
        <v>0</v>
      </c>
      <c r="K49" s="925">
        <v>0</v>
      </c>
    </row>
    <row r="50" spans="1:11" ht="22.5" hidden="1" customHeight="1" x14ac:dyDescent="0.25">
      <c r="A50" s="1072" t="s">
        <v>872</v>
      </c>
      <c r="B50" s="1063"/>
      <c r="C50" s="1048"/>
      <c r="D50" s="1048"/>
      <c r="E50" s="1055">
        <v>3000</v>
      </c>
      <c r="F50" s="1055">
        <v>-3000</v>
      </c>
      <c r="G50" s="1054">
        <f t="shared" si="1"/>
        <v>0</v>
      </c>
      <c r="H50" s="1053"/>
      <c r="I50" s="1052"/>
      <c r="J50" s="1069">
        <v>0</v>
      </c>
      <c r="K50" s="925">
        <v>1086</v>
      </c>
    </row>
    <row r="51" spans="1:11" ht="15" x14ac:dyDescent="0.25">
      <c r="A51" s="927" t="s">
        <v>871</v>
      </c>
      <c r="B51" s="1063"/>
      <c r="C51" s="1048"/>
      <c r="D51" s="1048"/>
      <c r="E51" s="1055">
        <v>0</v>
      </c>
      <c r="F51" s="1055">
        <v>141</v>
      </c>
      <c r="G51" s="1054">
        <f t="shared" si="1"/>
        <v>141</v>
      </c>
      <c r="H51" s="1053">
        <v>141</v>
      </c>
      <c r="I51" s="1052"/>
      <c r="J51" s="1069">
        <v>0</v>
      </c>
      <c r="K51" s="925">
        <v>0</v>
      </c>
    </row>
    <row r="52" spans="1:11" ht="15.75" customHeight="1" x14ac:dyDescent="0.25">
      <c r="A52" s="927" t="s">
        <v>870</v>
      </c>
      <c r="B52" s="1063"/>
      <c r="C52" s="1048"/>
      <c r="D52" s="1048"/>
      <c r="E52" s="1055">
        <v>0</v>
      </c>
      <c r="F52" s="1055"/>
      <c r="G52" s="1054">
        <v>0</v>
      </c>
      <c r="H52" s="1071">
        <v>6530</v>
      </c>
      <c r="I52" s="1070">
        <v>6530</v>
      </c>
      <c r="J52" s="1069">
        <v>6530</v>
      </c>
      <c r="K52" s="925">
        <v>0</v>
      </c>
    </row>
    <row r="53" spans="1:11" ht="15" customHeight="1" x14ac:dyDescent="0.25">
      <c r="A53" s="927" t="s">
        <v>869</v>
      </c>
      <c r="B53" s="1063"/>
      <c r="C53" s="1048"/>
      <c r="D53" s="1048"/>
      <c r="E53" s="1055">
        <v>0</v>
      </c>
      <c r="F53" s="1055"/>
      <c r="G53" s="1054">
        <v>0</v>
      </c>
      <c r="H53" s="1068">
        <v>607</v>
      </c>
      <c r="I53" s="1067">
        <v>607</v>
      </c>
      <c r="J53" s="1069">
        <v>607</v>
      </c>
      <c r="K53" s="925"/>
    </row>
    <row r="54" spans="1:11" ht="18.75" customHeight="1" x14ac:dyDescent="0.25">
      <c r="A54" s="927" t="s">
        <v>868</v>
      </c>
      <c r="B54" s="1063"/>
      <c r="C54" s="1048"/>
      <c r="D54" s="1048"/>
      <c r="E54" s="1055">
        <v>0</v>
      </c>
      <c r="F54" s="1055"/>
      <c r="G54" s="1054">
        <v>0</v>
      </c>
      <c r="H54" s="1071">
        <v>199</v>
      </c>
      <c r="I54" s="1070">
        <v>199</v>
      </c>
      <c r="J54" s="1069">
        <v>199</v>
      </c>
      <c r="K54" s="925"/>
    </row>
    <row r="55" spans="1:11" ht="27.75" customHeight="1" x14ac:dyDescent="0.25">
      <c r="A55" s="919" t="s">
        <v>867</v>
      </c>
      <c r="B55" s="1063"/>
      <c r="C55" s="1048"/>
      <c r="D55" s="1048"/>
      <c r="E55" s="1048">
        <v>0</v>
      </c>
      <c r="F55" s="1048"/>
      <c r="G55" s="1047">
        <v>0</v>
      </c>
      <c r="H55" s="1068">
        <v>2500</v>
      </c>
      <c r="I55" s="1067">
        <v>2500</v>
      </c>
      <c r="J55" s="1053"/>
      <c r="K55" s="925"/>
    </row>
    <row r="56" spans="1:11" ht="24.75" customHeight="1" x14ac:dyDescent="0.25">
      <c r="A56" s="919" t="s">
        <v>866</v>
      </c>
      <c r="B56" s="1063"/>
      <c r="C56" s="1048"/>
      <c r="D56" s="1048"/>
      <c r="E56" s="1048">
        <v>0</v>
      </c>
      <c r="F56" s="1048"/>
      <c r="G56" s="1047">
        <v>0</v>
      </c>
      <c r="H56" s="1068">
        <v>129754</v>
      </c>
      <c r="I56" s="1067">
        <v>129754</v>
      </c>
      <c r="J56" s="1053"/>
      <c r="K56" s="925"/>
    </row>
    <row r="57" spans="1:11" ht="17.25" customHeight="1" x14ac:dyDescent="0.25">
      <c r="A57" s="919"/>
      <c r="B57" s="1063"/>
      <c r="C57" s="1048"/>
      <c r="D57" s="1048"/>
      <c r="E57" s="1048"/>
      <c r="F57" s="1048"/>
      <c r="G57" s="1047"/>
      <c r="H57" s="1053"/>
      <c r="I57" s="1052"/>
      <c r="J57" s="1053"/>
      <c r="K57" s="925">
        <v>0</v>
      </c>
    </row>
    <row r="58" spans="1:11" ht="28.5" customHeight="1" x14ac:dyDescent="0.25">
      <c r="A58" s="922" t="s">
        <v>70</v>
      </c>
      <c r="B58" s="1066">
        <f t="shared" ref="B58:H58" si="2">SUM(B60)</f>
        <v>0</v>
      </c>
      <c r="C58" s="1066">
        <f t="shared" si="2"/>
        <v>0</v>
      </c>
      <c r="D58" s="1066">
        <f t="shared" si="2"/>
        <v>0</v>
      </c>
      <c r="E58" s="1066">
        <f t="shared" si="2"/>
        <v>0</v>
      </c>
      <c r="F58" s="1066">
        <f t="shared" si="2"/>
        <v>0</v>
      </c>
      <c r="G58" s="1064">
        <f t="shared" si="2"/>
        <v>0</v>
      </c>
      <c r="H58" s="1064">
        <f t="shared" si="2"/>
        <v>0</v>
      </c>
      <c r="I58" s="1065">
        <v>0</v>
      </c>
      <c r="J58" s="1064">
        <f>SUM(J60)</f>
        <v>0</v>
      </c>
      <c r="K58" s="925">
        <v>0</v>
      </c>
    </row>
    <row r="59" spans="1:11" ht="35.25" customHeight="1" x14ac:dyDescent="0.25">
      <c r="A59" s="919"/>
      <c r="B59" s="1063"/>
      <c r="C59" s="1048"/>
      <c r="D59" s="1048"/>
      <c r="E59" s="1048"/>
      <c r="F59" s="1048"/>
      <c r="G59" s="1047"/>
      <c r="H59" s="1046"/>
      <c r="I59" s="1045"/>
      <c r="J59" s="1053"/>
      <c r="K59" s="925">
        <v>0</v>
      </c>
    </row>
    <row r="60" spans="1:11" ht="15" x14ac:dyDescent="0.25">
      <c r="A60" s="923" t="s">
        <v>107</v>
      </c>
      <c r="B60" s="1062">
        <v>0</v>
      </c>
      <c r="C60" s="1048">
        <v>0</v>
      </c>
      <c r="D60" s="1048">
        <v>0</v>
      </c>
      <c r="E60" s="1048">
        <v>0</v>
      </c>
      <c r="F60" s="1048"/>
      <c r="G60" s="1047">
        <v>0</v>
      </c>
      <c r="H60" s="1046">
        <v>0</v>
      </c>
      <c r="I60" s="1045">
        <v>0</v>
      </c>
      <c r="J60" s="1053">
        <v>0</v>
      </c>
      <c r="K60" s="925">
        <v>215</v>
      </c>
    </row>
    <row r="61" spans="1:11" ht="18" customHeight="1" x14ac:dyDescent="0.25">
      <c r="A61" s="1061"/>
      <c r="B61" s="1060"/>
      <c r="C61" s="1048"/>
      <c r="D61" s="1048"/>
      <c r="E61" s="1048"/>
      <c r="F61" s="1048"/>
      <c r="G61" s="1047"/>
      <c r="H61" s="1046"/>
      <c r="I61" s="1045"/>
      <c r="J61" s="1053"/>
      <c r="K61" s="925">
        <v>0</v>
      </c>
    </row>
    <row r="62" spans="1:11" ht="16.5" customHeight="1" x14ac:dyDescent="0.25">
      <c r="A62" s="922" t="s">
        <v>109</v>
      </c>
      <c r="B62" s="1059">
        <f t="shared" ref="B62:H62" si="3">SUM(B63:B71)</f>
        <v>31677</v>
      </c>
      <c r="C62" s="1059">
        <f t="shared" si="3"/>
        <v>11677</v>
      </c>
      <c r="D62" s="1059">
        <f t="shared" si="3"/>
        <v>11677</v>
      </c>
      <c r="E62" s="1059">
        <f t="shared" si="3"/>
        <v>11677</v>
      </c>
      <c r="F62" s="1059">
        <f t="shared" si="3"/>
        <v>0</v>
      </c>
      <c r="G62" s="1058">
        <f t="shared" si="3"/>
        <v>11677</v>
      </c>
      <c r="H62" s="1056">
        <f t="shared" si="3"/>
        <v>12047</v>
      </c>
      <c r="I62" s="1057"/>
      <c r="J62" s="1056">
        <f>SUM(J63:J71)</f>
        <v>0</v>
      </c>
      <c r="K62" s="925">
        <v>0</v>
      </c>
    </row>
    <row r="63" spans="1:11" ht="14.25" customHeight="1" x14ac:dyDescent="0.25">
      <c r="A63" s="919" t="s">
        <v>865</v>
      </c>
      <c r="B63" s="1049">
        <v>600</v>
      </c>
      <c r="C63" s="1048">
        <v>600</v>
      </c>
      <c r="D63" s="1048">
        <v>600</v>
      </c>
      <c r="E63" s="1055">
        <v>600</v>
      </c>
      <c r="F63" s="1055"/>
      <c r="G63" s="1054">
        <f t="shared" ref="G63:G70" si="4">E63+F63</f>
        <v>600</v>
      </c>
      <c r="H63" s="1053">
        <v>600</v>
      </c>
      <c r="I63" s="1052"/>
      <c r="J63" s="1051">
        <v>0</v>
      </c>
      <c r="K63" s="925">
        <v>5000</v>
      </c>
    </row>
    <row r="64" spans="1:11" ht="17.25" customHeight="1" x14ac:dyDescent="0.25">
      <c r="A64" s="919" t="s">
        <v>864</v>
      </c>
      <c r="B64" s="1049">
        <v>1100</v>
      </c>
      <c r="C64" s="1048">
        <v>1100</v>
      </c>
      <c r="D64" s="1048">
        <v>1100</v>
      </c>
      <c r="E64" s="1055">
        <v>1100</v>
      </c>
      <c r="F64" s="1055"/>
      <c r="G64" s="1054">
        <f t="shared" si="4"/>
        <v>1100</v>
      </c>
      <c r="H64" s="1053">
        <v>1470</v>
      </c>
      <c r="I64" s="1052"/>
      <c r="J64" s="1051">
        <v>0</v>
      </c>
      <c r="K64" s="925">
        <v>0</v>
      </c>
    </row>
    <row r="65" spans="1:11" ht="18" customHeight="1" x14ac:dyDescent="0.25">
      <c r="A65" s="919" t="s">
        <v>863</v>
      </c>
      <c r="B65" s="1049">
        <v>500</v>
      </c>
      <c r="C65" s="1048">
        <v>500</v>
      </c>
      <c r="D65" s="1048">
        <v>500</v>
      </c>
      <c r="E65" s="1055">
        <v>500</v>
      </c>
      <c r="F65" s="1055"/>
      <c r="G65" s="1054">
        <f t="shared" si="4"/>
        <v>500</v>
      </c>
      <c r="H65" s="1053">
        <v>500</v>
      </c>
      <c r="I65" s="1052"/>
      <c r="J65" s="1051">
        <v>0</v>
      </c>
      <c r="K65" s="925">
        <v>0</v>
      </c>
    </row>
    <row r="66" spans="1:11" ht="16.5" customHeight="1" x14ac:dyDescent="0.25">
      <c r="A66" s="1050" t="s">
        <v>862</v>
      </c>
      <c r="B66" s="1049">
        <v>677</v>
      </c>
      <c r="C66" s="1048">
        <v>677</v>
      </c>
      <c r="D66" s="1048">
        <v>677</v>
      </c>
      <c r="E66" s="1055">
        <v>677</v>
      </c>
      <c r="F66" s="1055"/>
      <c r="G66" s="1054">
        <f t="shared" si="4"/>
        <v>677</v>
      </c>
      <c r="H66" s="1053">
        <v>677</v>
      </c>
      <c r="I66" s="1052"/>
      <c r="J66" s="1051">
        <v>0</v>
      </c>
      <c r="K66" s="925"/>
    </row>
    <row r="67" spans="1:11" ht="18" customHeight="1" x14ac:dyDescent="0.25">
      <c r="A67" s="1050" t="s">
        <v>861</v>
      </c>
      <c r="B67" s="1049">
        <v>1800</v>
      </c>
      <c r="C67" s="1048">
        <v>1800</v>
      </c>
      <c r="D67" s="1048">
        <v>1800</v>
      </c>
      <c r="E67" s="1055">
        <v>1800</v>
      </c>
      <c r="F67" s="1055"/>
      <c r="G67" s="1054">
        <f t="shared" si="4"/>
        <v>1800</v>
      </c>
      <c r="H67" s="1053">
        <v>1800</v>
      </c>
      <c r="I67" s="1052"/>
      <c r="J67" s="1051">
        <v>0</v>
      </c>
      <c r="K67" s="925"/>
    </row>
    <row r="68" spans="1:11" ht="15" x14ac:dyDescent="0.25">
      <c r="A68" s="1050" t="s">
        <v>860</v>
      </c>
      <c r="B68" s="1049">
        <v>2500</v>
      </c>
      <c r="C68" s="1048">
        <v>2500</v>
      </c>
      <c r="D68" s="1048">
        <v>2500</v>
      </c>
      <c r="E68" s="1055">
        <v>2500</v>
      </c>
      <c r="F68" s="1055"/>
      <c r="G68" s="1054">
        <f t="shared" si="4"/>
        <v>2500</v>
      </c>
      <c r="H68" s="1053">
        <v>2500</v>
      </c>
      <c r="I68" s="1052"/>
      <c r="J68" s="1051">
        <v>0</v>
      </c>
      <c r="K68" s="925">
        <v>4409</v>
      </c>
    </row>
    <row r="69" spans="1:11" ht="16.5" customHeight="1" x14ac:dyDescent="0.25">
      <c r="A69" s="1050" t="s">
        <v>859</v>
      </c>
      <c r="B69" s="1049">
        <v>2000</v>
      </c>
      <c r="C69" s="1048">
        <v>2000</v>
      </c>
      <c r="D69" s="1048">
        <v>2000</v>
      </c>
      <c r="E69" s="1055">
        <v>2000</v>
      </c>
      <c r="F69" s="1055"/>
      <c r="G69" s="1054">
        <f t="shared" si="4"/>
        <v>2000</v>
      </c>
      <c r="H69" s="1053">
        <v>2000</v>
      </c>
      <c r="I69" s="1052"/>
      <c r="J69" s="1051">
        <v>0</v>
      </c>
      <c r="K69" s="925"/>
    </row>
    <row r="70" spans="1:11" ht="15" x14ac:dyDescent="0.25">
      <c r="A70" s="1050" t="s">
        <v>858</v>
      </c>
      <c r="B70" s="1049">
        <v>2500</v>
      </c>
      <c r="C70" s="1048">
        <v>2500</v>
      </c>
      <c r="D70" s="1048">
        <v>2500</v>
      </c>
      <c r="E70" s="1055">
        <v>2500</v>
      </c>
      <c r="F70" s="1055"/>
      <c r="G70" s="1054">
        <f t="shared" si="4"/>
        <v>2500</v>
      </c>
      <c r="H70" s="1053">
        <v>2500</v>
      </c>
      <c r="I70" s="1052"/>
      <c r="J70" s="1051">
        <v>0</v>
      </c>
      <c r="K70" s="925">
        <v>0</v>
      </c>
    </row>
    <row r="71" spans="1:11" ht="15" x14ac:dyDescent="0.25">
      <c r="A71" s="1050" t="s">
        <v>857</v>
      </c>
      <c r="B71" s="1049">
        <v>20000</v>
      </c>
      <c r="C71" s="1048">
        <v>0</v>
      </c>
      <c r="D71" s="1048">
        <v>0</v>
      </c>
      <c r="E71" s="1048">
        <v>0</v>
      </c>
      <c r="F71" s="1048"/>
      <c r="G71" s="1047">
        <v>0</v>
      </c>
      <c r="H71" s="1046">
        <v>0</v>
      </c>
      <c r="I71" s="1045"/>
      <c r="J71" s="1051">
        <v>0</v>
      </c>
      <c r="K71" s="925">
        <v>0</v>
      </c>
    </row>
    <row r="72" spans="1:11" ht="15" x14ac:dyDescent="0.25">
      <c r="A72" s="919"/>
      <c r="B72" s="1049"/>
      <c r="C72" s="1048"/>
      <c r="D72" s="1048"/>
      <c r="E72" s="1048"/>
      <c r="F72" s="1048"/>
      <c r="G72" s="1047"/>
      <c r="H72" s="1046"/>
      <c r="I72" s="1045"/>
      <c r="J72" s="1051"/>
      <c r="K72" s="925">
        <v>0</v>
      </c>
    </row>
    <row r="73" spans="1:11" ht="15.75" thickBot="1" x14ac:dyDescent="0.3">
      <c r="A73" s="917" t="s">
        <v>104</v>
      </c>
      <c r="B73" s="916">
        <f>SUM(B6,B58,B62)</f>
        <v>578942</v>
      </c>
      <c r="C73" s="916">
        <f>SUM(C6,C58,C62)</f>
        <v>906513</v>
      </c>
      <c r="D73" s="916">
        <f>SUM(D6,D58,D62)</f>
        <v>347834</v>
      </c>
      <c r="E73" s="916">
        <f>SUM(E6,E58,E62)</f>
        <v>256799</v>
      </c>
      <c r="F73" s="916">
        <f>SUM(F6,F58,F62)</f>
        <v>-113529</v>
      </c>
      <c r="G73" s="915">
        <f>SUM(G6,J58,G62)</f>
        <v>143270</v>
      </c>
      <c r="H73" s="914">
        <f>SUM(H6,'[11]8. sz. melléklet'!K58,H62)</f>
        <v>327641</v>
      </c>
      <c r="I73" s="1044"/>
      <c r="J73" s="915">
        <f>SUM(J6,'[11]8. sz. melléklet'!K58,J62)</f>
        <v>31316</v>
      </c>
      <c r="K73" s="925">
        <v>0</v>
      </c>
    </row>
  </sheetData>
  <mergeCells count="2">
    <mergeCell ref="A1:J1"/>
    <mergeCell ref="A2:J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65" fitToHeight="0" orientation="portrait" r:id="rId1"/>
  <headerFooter>
    <oddHeader xml:space="preserve">&amp;L8. melléklet a 20/2017.(IX.29.) önkormányzati rendelethez
8. melléklet a 24/2016.(XII.16.)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18</vt:i4>
      </vt:variant>
    </vt:vector>
  </HeadingPairs>
  <TitlesOfParts>
    <vt:vector size="36" baseType="lpstr">
      <vt:lpstr>1. sz. melléklet</vt:lpstr>
      <vt:lpstr>2. sz. melléklet</vt:lpstr>
      <vt:lpstr>3. sz. melléklet</vt:lpstr>
      <vt:lpstr>4.sz. melléklet</vt:lpstr>
      <vt:lpstr>5.sz.melléklet Önkormányzat</vt:lpstr>
      <vt:lpstr>5.sz.melléklet Közös Hivatal</vt:lpstr>
      <vt:lpstr>6.sz.melléklet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</vt:lpstr>
      <vt:lpstr>15. sz. melléklet</vt:lpstr>
      <vt:lpstr>16. sz. melléklet</vt:lpstr>
      <vt:lpstr>'10. sz. melléklet'!Nyomtatási_cím</vt:lpstr>
      <vt:lpstr>'15. sz. melléklet'!Nyomtatási_cím</vt:lpstr>
      <vt:lpstr>'5.sz.melléklet Közös Hivatal'!Nyomtatási_cím</vt:lpstr>
      <vt:lpstr>'5.sz.melléklet Önkormányzat'!Nyomtatási_cím</vt:lpstr>
      <vt:lpstr>'7. sz. melléklet'!Nyomtatási_cím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 2. oldal'!Nyomtatási_terület</vt:lpstr>
      <vt:lpstr>'14. sz. melléklet'!Nyomtatási_terület</vt:lpstr>
      <vt:lpstr>'15. sz. melléklet'!Nyomtatási_terület</vt:lpstr>
      <vt:lpstr>'16. sz. melléklet'!Nyomtatási_terület</vt:lpstr>
      <vt:lpstr>'2. sz. melléklet'!Nyomtatási_terület</vt:lpstr>
      <vt:lpstr>'3. sz. melléklet'!Nyomtatási_terület</vt:lpstr>
      <vt:lpstr>'4.sz. melléklet'!Nyomtatási_terület</vt:lpstr>
      <vt:lpstr>'7.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zomborimonika</cp:lastModifiedBy>
  <cp:lastPrinted>2017-09-27T12:39:45Z</cp:lastPrinted>
  <dcterms:created xsi:type="dcterms:W3CDTF">2016-03-22T13:59:53Z</dcterms:created>
  <dcterms:modified xsi:type="dcterms:W3CDTF">2017-09-27T12:48:08Z</dcterms:modified>
  <cp:contentStatus/>
</cp:coreProperties>
</file>