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65506" windowWidth="10725" windowHeight="8820" tabRatio="903" firstSheet="5" activeTab="6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 " sheetId="6" r:id="rId6"/>
    <sheet name="6. melléklet" sheetId="7" r:id="rId7"/>
    <sheet name="7. melléklet" sheetId="8" r:id="rId8"/>
    <sheet name="8. melléklet" sheetId="9" r:id="rId9"/>
  </sheets>
  <definedNames>
    <definedName name="_xlnm.Print_Titles" localSheetId="2">'2. melléklet'!$1:$4</definedName>
    <definedName name="_xlnm.Print_Titles" localSheetId="3">'3. melléklet '!$A:$A</definedName>
    <definedName name="_xlnm.Print_Area" localSheetId="3">'3. melléklet '!$A$1:$W$55</definedName>
  </definedNames>
  <calcPr fullCalcOnLoad="1" refMode="R1C1"/>
</workbook>
</file>

<file path=xl/sharedStrings.xml><?xml version="1.0" encoding="utf-8"?>
<sst xmlns="http://schemas.openxmlformats.org/spreadsheetml/2006/main" count="483" uniqueCount="338">
  <si>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</si>
  <si>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</si>
  <si>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</si>
  <si>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</si>
  <si>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</si>
  <si>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</si>
  <si>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</si>
  <si>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</si>
  <si>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</si>
  <si>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</si>
  <si>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</si>
  <si>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</si>
  <si>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</si>
  <si>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</si>
  <si>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</si>
  <si>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</si>
  <si>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</si>
  <si>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</si>
  <si>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</si>
  <si>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</si>
  <si>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</si>
  <si>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</si>
  <si>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</si>
  <si>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</si>
  <si>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</si>
  <si>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</si>
  <si>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</si>
  <si>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</si>
  <si>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</si>
  <si>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</si>
  <si>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Saját bevétel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</si>
  <si>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</si>
  <si>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</si>
  <si>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</si>
  <si>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</si>
  <si>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</si>
  <si>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</si>
  <si>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</si>
  <si>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</si>
  <si>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</si>
  <si>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</si>
  <si>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</si>
  <si>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</si>
  <si>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</si>
  <si>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</si>
  <si>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</si>
  <si>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</si>
  <si>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</si>
  <si>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</si>
  <si>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</si>
  <si>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 xml:space="preserve">Helyi önkormányzatok által felhasználható központosított előirányzatok összesen: 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</si>
  <si>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</si>
  <si>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</si>
  <si>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</si>
  <si>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</si>
  <si>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</si>
  <si>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</si>
  <si>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</si>
  <si>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</si>
  <si>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</si>
  <si>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</si>
  <si>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</si>
  <si>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</si>
  <si>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</si>
  <si>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</si>
  <si>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</si>
  <si>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</si>
  <si>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</si>
  <si>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</si>
  <si>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</si>
  <si>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</si>
  <si>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</si>
  <si>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</si>
  <si>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</si>
  <si>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</si>
  <si>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</si>
  <si>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</si>
  <si>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</si>
  <si>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</si>
  <si>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</si>
  <si>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</si>
  <si>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</si>
  <si>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</si>
  <si>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</si>
  <si>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</si>
  <si>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</si>
  <si>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</si>
  <si>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</si>
  <si>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</si>
  <si>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</si>
  <si>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</si>
  <si>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</si>
  <si>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</si>
  <si>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</si>
  <si>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</si>
  <si>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</si>
  <si>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</si>
  <si>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</si>
  <si>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</si>
  <si>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</si>
  <si>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Fizetési kötelezettségek</t>
  </si>
  <si>
    <t>Kötvény törlesztések</t>
  </si>
  <si>
    <t>Adósságot keletkeztető ügyletek értéke (Stabilitási tv. 3.§)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</si>
  <si>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</si>
  <si>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</si>
  <si>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</si>
  <si>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</si>
  <si>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</si>
  <si>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</si>
  <si>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</si>
  <si>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</si>
  <si>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</si>
  <si>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</si>
  <si>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</si>
  <si>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</si>
  <si>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</si>
  <si>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</si>
  <si>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</si>
  <si>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</si>
  <si>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</si>
  <si>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</si>
  <si>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</si>
  <si>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</si>
  <si>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</si>
  <si>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</si>
  <si>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</si>
  <si>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</si>
  <si>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Helyi adóból származó bevétel</t>
  </si>
  <si>
    <t>tárgyi eszköz és imm j, részvény, részesedés értékesítés bevétele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</si>
  <si>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</si>
  <si>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</si>
  <si>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</si>
  <si>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</si>
  <si>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</si>
  <si>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</si>
  <si>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</si>
  <si>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</si>
  <si>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</si>
  <si>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</si>
  <si>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</si>
  <si>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</si>
  <si>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</si>
  <si>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</si>
  <si>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</si>
  <si>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</si>
  <si>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</si>
  <si>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</si>
  <si>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</si>
  <si>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</si>
  <si>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Középtávú terv 2019.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</si>
  <si>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</si>
  <si>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</si>
  <si>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</si>
  <si>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</si>
  <si>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</si>
  <si>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</si>
  <si>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</si>
  <si>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</si>
  <si>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</si>
  <si>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</si>
  <si>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</si>
  <si>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</si>
  <si>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</si>
  <si>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</si>
  <si>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</si>
  <si>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</si>
  <si>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Középtávú terv 2020.</t>
  </si>
  <si>
    <t>Eszterházy oltár restraurálására kapott támogatás maradványa</t>
  </si>
  <si>
    <t>Kőszegi tűzoltóság áthelyezése (állami támogatásból)</t>
  </si>
  <si>
    <t>Jurisics-vár Művelődési Központ és Várszínház érdekeltségnövelő pályázat saját erő</t>
  </si>
  <si>
    <t>Kőszegi Közös Önkormányzati Hivatal kisértékű tárgyi eszköz beszerzés</t>
  </si>
  <si>
    <t>Eszterházy oltár restraurálása</t>
  </si>
  <si>
    <t>Munkás u. betonjárda építés</t>
  </si>
  <si>
    <t>Strandsétány u. betonjárda építése</t>
  </si>
  <si>
    <t>Városüzemeltető Kft részére 1 db  nagyteljesítményű fűnyíró traktor</t>
  </si>
  <si>
    <t>MEGNEVEZÉS</t>
  </si>
  <si>
    <t xml:space="preserve">Költségvetési engedélyezett létszámkeret (álláshely) 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</si>
  <si>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</si>
  <si>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</si>
  <si>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</si>
  <si>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</si>
  <si>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</si>
  <si>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</si>
  <si>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</si>
  <si>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</si>
  <si>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</si>
  <si>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Alpannónia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</si>
  <si>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</si>
  <si>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</si>
  <si>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</si>
  <si>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</si>
  <si>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</si>
  <si>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</si>
  <si>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</si>
  <si>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Alpannónai pályázat</t>
  </si>
  <si>
    <t>TOP-5.2..1 Helyi foglalkoztatási együttműködés pályázat (Foglalkoztatási paktum)</t>
  </si>
  <si>
    <t xml:space="preserve">Egyéb kiadás/ tartalék </t>
  </si>
  <si>
    <t>Kőszeg Város Önkor-mányzata</t>
  </si>
  <si>
    <t>foglalkoztatottak létszáma (fő)</t>
  </si>
  <si>
    <t>Kőszeg Város Önkormányzatának központilag szabályozott bevételei 2018. évben</t>
  </si>
  <si>
    <t>Támogatás összege 2018. 01. 01.             ( Ft)</t>
  </si>
  <si>
    <t xml:space="preserve">A helyi önkormányzatok általános müködésének és ágazati feladatainak támogatása (2017. évi C. törvény 2. melléklete szerint)  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</si>
  <si>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</si>
  <si>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</si>
  <si>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</si>
  <si>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</si>
  <si>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</si>
  <si>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</si>
  <si>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Központi támogatások összesen (2017. évi C. törvény 2. és 3. melléklete szerint):</t>
  </si>
  <si>
    <t xml:space="preserve">Helyi önkormányzatok által felhasználható központosított előirányzatok (2017. évi C. törvény 3. melléklete szerint) </t>
  </si>
  <si>
    <t>Kőszegi Közös Önkormányzati Hivatal</t>
  </si>
  <si>
    <t>2018. évben</t>
  </si>
  <si>
    <t>2018. évi eredeti előirányzat</t>
  </si>
  <si>
    <t>Bevételi előirányzatok (Ft-ban)</t>
  </si>
  <si>
    <t>Kiadási előirányzatok (Ft-ban)</t>
  </si>
  <si>
    <t>Központi Óvoda-Bölcsőde</t>
  </si>
  <si>
    <t>Központi Óvoda-Felsővárosi Tagóvoda</t>
  </si>
  <si>
    <t>Központi Óvoda-Horvátzsidányi tagóvoda</t>
  </si>
  <si>
    <t>Központi Óvoda-Peresznyei Tagóvoda</t>
  </si>
  <si>
    <t>Központi Óvoda Összesen</t>
  </si>
  <si>
    <t>Újvárosi Óvoda Székhely Kőszeg</t>
  </si>
  <si>
    <t>Újvárosi Óvoda-Kőszegfalvi Tagóvodája</t>
  </si>
  <si>
    <t>Újvárosi Óvoda-Velemi Tagóvodája</t>
  </si>
  <si>
    <t>Újvárosi Óvoda Összesen</t>
  </si>
  <si>
    <t>Központi Óvoda Székhely Kőszeg</t>
  </si>
  <si>
    <t>Bevételi előirányzatok ( Ft-ban)</t>
  </si>
  <si>
    <t>Kiadási előirányzatok ( Ft-ban)</t>
  </si>
  <si>
    <t>Kőszeg Város Önkormányzata és intézményei bevételei és kiadásai 2018. évben</t>
  </si>
  <si>
    <t xml:space="preserve">          2018. évi felhalmozási célú bevételek </t>
  </si>
  <si>
    <t xml:space="preserve">          ( Ft)</t>
  </si>
  <si>
    <t>2018. évi felhalmozási  kiadások ( Ft)</t>
  </si>
  <si>
    <t>Kőszeg Város Ökormányzata saját bevételeinek összege és adósságot keletkeztető ügyleteinek értéke 2018-2021. években ( Ft)</t>
  </si>
  <si>
    <t>Kőszeg Város Önkormányzata 2018. évi költségvetésében európai uniós forrásból megvalósítandó projektek, fejlesztések:</t>
  </si>
  <si>
    <t>2018.</t>
  </si>
  <si>
    <t>Kőszeg Város Önkormányzata és intézményei 2018. évi költségvetésében szereplő</t>
  </si>
  <si>
    <t>Központi Óvoda székhely intézménye</t>
  </si>
  <si>
    <t>Központi Óvoda Bölcsőde</t>
  </si>
  <si>
    <t>Központi Óvoda Felsővárosi tagóvodája</t>
  </si>
  <si>
    <t>Központi Óvoda Horvátzsidányi tagóvodája</t>
  </si>
  <si>
    <t>Központi Óvoda Peresznyei tagóvodája</t>
  </si>
  <si>
    <t>Központi Óvoda összesen</t>
  </si>
  <si>
    <t>Újvárosi Óvoda székhely intézménye</t>
  </si>
  <si>
    <t>Újvárosi Óvoda Kőszegfalvi tagóvodája</t>
  </si>
  <si>
    <t>Újvárosi Óvoda Velemi tagóvodája</t>
  </si>
  <si>
    <t>Újvárosi Óvoda összesen</t>
  </si>
  <si>
    <t>ÖBB vasútpálya megvásárlásával együtt (26000EUR)</t>
  </si>
  <si>
    <t>Kőszegfalvi Sportegyesület fejlesztéseihez hozzájárulás</t>
  </si>
  <si>
    <t>Várkör 53. pincebeázás megoldása</t>
  </si>
  <si>
    <t>Mély utca folyóka építés</t>
  </si>
  <si>
    <t>Balog Iskola parkoló építése, csapadékvíz evezetése</t>
  </si>
  <si>
    <t>Petőfi tér 15. volt vágóhíd bontása</t>
  </si>
  <si>
    <t>Utcanévtáblák kihelyezése</t>
  </si>
  <si>
    <t>Buszpályaudvar nyilvános WC felújítása</t>
  </si>
  <si>
    <t>Zártkerti mintaprogram pályázat sajá erő</t>
  </si>
  <si>
    <t>Egészségház klímaberendezés várótermekben</t>
  </si>
  <si>
    <t>Várkör-Rajnis-Pék utca gyalogos átkelő kiépítése közvilágítással</t>
  </si>
  <si>
    <t>Vagyonhasznosító bevétele (Napelempark )</t>
  </si>
  <si>
    <t>Vagyonhasznosító bevétele (Rákóczi utca 1. üzlethelyiség eladása )</t>
  </si>
  <si>
    <t xml:space="preserve">               -ebből állami támogatás</t>
  </si>
  <si>
    <t xml:space="preserve">9 fős Mikrobusz végszámla </t>
  </si>
  <si>
    <t>Posztó utcai parkoló kialakítása (pályázati pénzből)</t>
  </si>
  <si>
    <t>Károlyi M. utca Bercsényi utcáig tartó szakaszán járda és csapadékvíz + műszaki ellenőr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</si>
  <si>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</si>
  <si>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</si>
  <si>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</si>
  <si>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</si>
  <si>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</si>
  <si>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</si>
  <si>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</si>
  <si>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</si>
  <si>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Alpannónia pályázat keretén belül-  Tanulmányút az alpannónia túraúton</t>
  </si>
  <si>
    <t>Alpannónia pályázat keretén belül-   Térségi nagyrendezvényeken történá részvétel</t>
  </si>
  <si>
    <t>Csapadékvíz elvezető rendszer Kraft forrás megelőlegezés (Tamás árok hordalékfogó)</t>
  </si>
  <si>
    <t>Kőszegi Szociális Gondozási Központ Hajléktalan szálló vizesblokk műszaki felmérés alapján adott árajánlat</t>
  </si>
  <si>
    <t xml:space="preserve">"Sgraffitós ház felújítása" </t>
  </si>
  <si>
    <t>Kőszegi Városüzemeltető Kft. (játszótéri eszközök cseréjére)</t>
  </si>
  <si>
    <t>Chrenel u. 12. csapadékvíz elvezetés</t>
  </si>
  <si>
    <t>Károlyi garázssor útfelújítás + műszaki ellenőr</t>
  </si>
  <si>
    <t>Szippantó felépítmény</t>
  </si>
  <si>
    <t>Bionemezgyárnál zsilip megközelítésére szolgáló terület kitisztítása</t>
  </si>
  <si>
    <t>1818/2016. (XII.22.) Korm. hat. kapott támogatás (Tűzoltóság)</t>
  </si>
  <si>
    <t>1717/2017. (X.3.) Korm. hat. kapott támogatás (Posztó utcai parkoló)</t>
  </si>
  <si>
    <t>1115/2017. (III. 7.) Korm. hat. kapott támogatás maradványa (Sgraffitós ház)</t>
  </si>
  <si>
    <t>Jurisics-vár Művelődési Központ és Várszínház fényképező gép Kőszeg és Vidéke Újsághoz</t>
  </si>
  <si>
    <t>Lakástámogatás visszatérítés</t>
  </si>
  <si>
    <t>Kőszegi tűzoltóság áthelyezése II.ütem (önerőből)</t>
  </si>
  <si>
    <t xml:space="preserve">Vagyonhasznosító bevétele </t>
  </si>
  <si>
    <t>Liszt Ferenc utca felújítás (Kőszegi tűzoltóság megközelíthetősége önerőből)</t>
  </si>
  <si>
    <t xml:space="preserve">Űrhajósok u. útpálya rekonstrukció és járda megépítése </t>
  </si>
  <si>
    <t>Missziós ház kerítés áthelyezése</t>
  </si>
  <si>
    <t>Szent György utca és Postásrét  utca szennyvízcsatorna kiépítése</t>
  </si>
  <si>
    <t>Hulladékgazdálkodási társulási beruházásokhoz átadás (2017.évi hátralék)</t>
  </si>
  <si>
    <t>VASIVÍZ Zrt. Kompenzációs számlák</t>
  </si>
  <si>
    <t>TOP előkészítő keret 2017. évi maradványa</t>
  </si>
  <si>
    <t>TOP előkészítő keret terhére2017-ben szerződőtt</t>
  </si>
  <si>
    <t xml:space="preserve">VELOREGIO projekt forrás megelőlegezés </t>
  </si>
  <si>
    <t xml:space="preserve">TOP projektek 2018.évi előkészítési költségei 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</si>
  <si>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</si>
  <si>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</si>
  <si>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</si>
  <si>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</si>
  <si>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</si>
  <si>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</si>
  <si>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</si>
  <si>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</si>
  <si>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KÖZFOGLALKOZTATOTTAK létszáma (tájékoztató jellegű)</t>
  </si>
  <si>
    <t>Jurisics Vár TOP projekthez</t>
  </si>
  <si>
    <t>Jurisics Vár TOP projekt keretében beszerzendő eszközök</t>
  </si>
  <si>
    <t xml:space="preserve">               -ebből államin felüli  működési támogatás</t>
  </si>
  <si>
    <t xml:space="preserve">               -ebből államin felüli felhalmozási támogatás</t>
  </si>
  <si>
    <t>VIS MAIOR 2017-ről önerő bíztosítása</t>
  </si>
  <si>
    <t>Középtávú terv 2021.</t>
  </si>
  <si>
    <t>2018. évi költségvetési rendelet</t>
  </si>
  <si>
    <t>Középtávú terv 2018. (2017-ben prognosztizált adatok)</t>
  </si>
  <si>
    <t>Vízmű utcai ívóvízhálózat kiépítése + műszaki ellenőr</t>
  </si>
  <si>
    <t>Szulejmán kilátó és csónakázó tó lépcső helyreállítása</t>
  </si>
  <si>
    <t>Egészségház melleti fejlesztési terület közművesítés és útépítés</t>
  </si>
  <si>
    <t>Szent Imre herceg utcában a temető falának megerősítése</t>
  </si>
  <si>
    <t>Hirdetőtáblák cseréje (testületi döntés alapján)</t>
  </si>
  <si>
    <t>Kiskakas vendéglőnél parkoló bővítése</t>
  </si>
  <si>
    <t>Az európai uniós támogatással megvalósuló programok, projektek bevételeiről és kiadásairól, valamint az önkormányzaton kívüli ilyen projektekhez való hozzájárulásról 2018. évben (adatok Ft-ban)</t>
  </si>
  <si>
    <t>I.) Települési önkrományzatok működésének támogatása</t>
  </si>
  <si>
    <t xml:space="preserve">Kőszegi futball Club telephely korszerűsítése pályázat önerő hozzájárulása 168/2017.(IX.28.) Képviselő-testületi határozat alapján </t>
  </si>
  <si>
    <t>Központi Orvosi Ügyelet ügyeleti autó cseréje</t>
  </si>
  <si>
    <t xml:space="preserve">Jurisics Vár- Kőszegfalvi klub asztallapok cseréje </t>
  </si>
  <si>
    <t>Kőszegi Városi Múzeum - radátor csere a Rákóczi utca 3-ban</t>
  </si>
  <si>
    <t>Újvárosi Óvoda Kőszegfalvi tagóvodája - konyhai ablak cseréje</t>
  </si>
  <si>
    <t>felhalmozási pénzmaradvány</t>
  </si>
  <si>
    <t>Vagyonhasznosító bevétele (Ciao Amigo eladása)</t>
  </si>
  <si>
    <t>Központi Óvoda és Újvárosi Óvoda Kraft forrás megelőlegezés</t>
  </si>
  <si>
    <t>6. melléklet a a 2/2018. (II. 16.) önkormányzati rendelethez</t>
  </si>
  <si>
    <t xml:space="preserve"> 1. melléklet a 2/2018. (II. 16.) önkormányzati rendelethez</t>
  </si>
  <si>
    <t xml:space="preserve"> 2. melléklet a 2/2018. (II. 16.) önkormányzati rendelethez</t>
  </si>
  <si>
    <t xml:space="preserve"> 3. melléklet a 2/2018. (II. 16.) önkormányzati rendelethez</t>
  </si>
  <si>
    <t>4. melléklet a 2/2018. (II. 16.) önkormányzati rendelethez</t>
  </si>
  <si>
    <t>5. melléklet a 2/2018. (II. 16.) önkormányzati rendelethez</t>
  </si>
  <si>
    <t>7. melléklet a 2/2018. (II. 16.) önkormányzati rendelethez</t>
  </si>
  <si>
    <t>8. melléklet a 2/2018. (II. 16.)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</si>
</sst>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 CE"/>
      <family val="0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101" applyFont="1" applyFill="1" applyAlignment="1">
      <alignment horizontal="left" vertical="top"/>
      <protection/>
    </xf>
    <xf numFmtId="3" fontId="5" fillId="4" borderId="0" xfId="0" applyNumberFormat="1" applyFont="1" applyFill="1" applyAlignment="1">
      <alignment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7" fillId="0" borderId="0" xfId="99" applyNumberFormat="1" applyFont="1" applyFill="1" applyAlignment="1">
      <alignment horizontal="center" wrapText="1"/>
      <protection/>
    </xf>
    <xf numFmtId="0" fontId="12" fillId="0" borderId="0" xfId="99" applyFont="1" applyFill="1">
      <alignment/>
      <protection/>
    </xf>
    <xf numFmtId="0" fontId="5" fillId="0" borderId="0" xfId="99" applyFont="1" applyFill="1">
      <alignment/>
      <protection/>
    </xf>
    <xf numFmtId="3" fontId="5" fillId="0" borderId="0" xfId="99" applyNumberFormat="1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3" fillId="0" borderId="0" xfId="99" applyFont="1" applyFill="1" applyBorder="1" applyAlignment="1">
      <alignment wrapText="1"/>
      <protection/>
    </xf>
    <xf numFmtId="0" fontId="8" fillId="0" borderId="0" xfId="99" applyFont="1" applyFill="1">
      <alignment/>
      <protection/>
    </xf>
    <xf numFmtId="0" fontId="7" fillId="0" borderId="0" xfId="99" applyFont="1" applyFill="1" applyAlignment="1">
      <alignment horizontal="right"/>
      <protection/>
    </xf>
    <xf numFmtId="0" fontId="8" fillId="0" borderId="0" xfId="99" applyFont="1" applyFill="1" applyAlignment="1">
      <alignment horizontal="right"/>
      <protection/>
    </xf>
    <xf numFmtId="0" fontId="13" fillId="0" borderId="0" xfId="99" applyFont="1" applyFill="1">
      <alignment/>
      <protection/>
    </xf>
    <xf numFmtId="0" fontId="35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3" fillId="23" borderId="0" xfId="99" applyFont="1" applyFill="1" applyBorder="1">
      <alignment/>
      <protection/>
    </xf>
    <xf numFmtId="3" fontId="13" fillId="23" borderId="0" xfId="99" applyNumberFormat="1" applyFont="1" applyFill="1">
      <alignment/>
      <protection/>
    </xf>
    <xf numFmtId="0" fontId="13" fillId="23" borderId="0" xfId="99" applyFont="1" applyFill="1" applyBorder="1" applyAlignment="1">
      <alignment wrapText="1"/>
      <protection/>
    </xf>
    <xf numFmtId="3" fontId="13" fillId="23" borderId="0" xfId="99" applyNumberFormat="1" applyFont="1" applyFill="1" applyBorder="1" applyAlignment="1">
      <alignment wrapText="1"/>
      <protection/>
    </xf>
    <xf numFmtId="0" fontId="12" fillId="4" borderId="0" xfId="99" applyFont="1" applyFill="1">
      <alignment/>
      <protection/>
    </xf>
    <xf numFmtId="3" fontId="12" fillId="4" borderId="0" xfId="99" applyNumberFormat="1" applyFont="1" applyFill="1">
      <alignment/>
      <protection/>
    </xf>
    <xf numFmtId="0" fontId="16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/>
    </xf>
    <xf numFmtId="0" fontId="5" fillId="0" borderId="0" xfId="99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3" fontId="36" fillId="0" borderId="30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36" fillId="0" borderId="23" xfId="0" applyFont="1" applyFill="1" applyBorder="1" applyAlignment="1">
      <alignment horizontal="left" wrapText="1" indent="2"/>
    </xf>
    <xf numFmtId="0" fontId="36" fillId="0" borderId="23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3" fontId="4" fillId="23" borderId="0" xfId="0" applyNumberFormat="1" applyFont="1" applyFill="1" applyAlignment="1">
      <alignment/>
    </xf>
    <xf numFmtId="3" fontId="5" fillId="23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3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102" applyFont="1" applyFill="1" applyBorder="1" applyAlignment="1">
      <alignment horizontal="left"/>
      <protection/>
    </xf>
    <xf numFmtId="0" fontId="5" fillId="0" borderId="31" xfId="0" applyFont="1" applyBorder="1" applyAlignment="1">
      <alignment wrapText="1"/>
    </xf>
    <xf numFmtId="0" fontId="16" fillId="0" borderId="3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Fill="1" applyAlignment="1">
      <alignment wrapText="1"/>
    </xf>
    <xf numFmtId="0" fontId="16" fillId="0" borderId="27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36" fillId="0" borderId="25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4" fillId="4" borderId="0" xfId="0" applyNumberFormat="1" applyFont="1" applyFill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center" vertical="top"/>
    </xf>
    <xf numFmtId="3" fontId="4" fillId="4" borderId="0" xfId="0" applyNumberFormat="1" applyFont="1" applyFill="1" applyAlignment="1">
      <alignment horizontal="right" vertical="top"/>
    </xf>
    <xf numFmtId="0" fontId="16" fillId="0" borderId="34" xfId="0" applyFont="1" applyBorder="1" applyAlignment="1">
      <alignment horizontal="left" wrapText="1"/>
    </xf>
    <xf numFmtId="0" fontId="15" fillId="0" borderId="32" xfId="0" applyFont="1" applyFill="1" applyBorder="1" applyAlignment="1">
      <alignment wrapText="1"/>
    </xf>
    <xf numFmtId="0" fontId="15" fillId="0" borderId="31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36" fillId="0" borderId="38" xfId="0" applyNumberFormat="1" applyFont="1" applyFill="1" applyBorder="1" applyAlignment="1">
      <alignment/>
    </xf>
    <xf numFmtId="3" fontId="36" fillId="0" borderId="39" xfId="0" applyNumberFormat="1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36" fillId="0" borderId="42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0" fontId="16" fillId="0" borderId="45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46" xfId="0" applyNumberFormat="1" applyFont="1" applyFill="1" applyBorder="1" applyAlignment="1">
      <alignment horizontal="center"/>
    </xf>
    <xf numFmtId="3" fontId="16" fillId="0" borderId="47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24" borderId="31" xfId="0" applyFont="1" applyFill="1" applyBorder="1" applyAlignment="1">
      <alignment wrapText="1"/>
    </xf>
    <xf numFmtId="3" fontId="14" fillId="24" borderId="21" xfId="0" applyNumberFormat="1" applyFont="1" applyFill="1" applyBorder="1" applyAlignment="1">
      <alignment/>
    </xf>
    <xf numFmtId="3" fontId="14" fillId="24" borderId="11" xfId="0" applyNumberFormat="1" applyFont="1" applyFill="1" applyBorder="1" applyAlignment="1">
      <alignment/>
    </xf>
    <xf numFmtId="3" fontId="14" fillId="24" borderId="13" xfId="0" applyNumberFormat="1" applyFont="1" applyFill="1" applyBorder="1" applyAlignment="1">
      <alignment/>
    </xf>
    <xf numFmtId="3" fontId="14" fillId="24" borderId="10" xfId="0" applyNumberFormat="1" applyFont="1" applyFill="1" applyBorder="1" applyAlignment="1">
      <alignment/>
    </xf>
    <xf numFmtId="3" fontId="14" fillId="24" borderId="28" xfId="0" applyNumberFormat="1" applyFont="1" applyFill="1" applyBorder="1" applyAlignment="1">
      <alignment/>
    </xf>
    <xf numFmtId="3" fontId="14" fillId="24" borderId="24" xfId="0" applyNumberFormat="1" applyFont="1" applyFill="1" applyBorder="1" applyAlignment="1">
      <alignment/>
    </xf>
    <xf numFmtId="3" fontId="14" fillId="24" borderId="12" xfId="0" applyNumberFormat="1" applyFont="1" applyFill="1" applyBorder="1" applyAlignment="1">
      <alignment/>
    </xf>
    <xf numFmtId="3" fontId="14" fillId="24" borderId="14" xfId="0" applyNumberFormat="1" applyFont="1" applyFill="1" applyBorder="1" applyAlignment="1">
      <alignment/>
    </xf>
    <xf numFmtId="0" fontId="38" fillId="24" borderId="0" xfId="0" applyFont="1" applyFill="1" applyAlignment="1">
      <alignment/>
    </xf>
    <xf numFmtId="0" fontId="16" fillId="24" borderId="13" xfId="0" applyFont="1" applyFill="1" applyBorder="1" applyAlignment="1">
      <alignment horizontal="left" wrapText="1"/>
    </xf>
    <xf numFmtId="3" fontId="16" fillId="24" borderId="21" xfId="0" applyNumberFormat="1" applyFont="1" applyFill="1" applyBorder="1" applyAlignment="1">
      <alignment/>
    </xf>
    <xf numFmtId="3" fontId="16" fillId="24" borderId="11" xfId="0" applyNumberFormat="1" applyFont="1" applyFill="1" applyBorder="1" applyAlignment="1">
      <alignment/>
    </xf>
    <xf numFmtId="3" fontId="16" fillId="24" borderId="24" xfId="0" applyNumberFormat="1" applyFont="1" applyFill="1" applyBorder="1" applyAlignment="1">
      <alignment/>
    </xf>
    <xf numFmtId="3" fontId="16" fillId="24" borderId="13" xfId="0" applyNumberFormat="1" applyFont="1" applyFill="1" applyBorder="1" applyAlignment="1">
      <alignment/>
    </xf>
    <xf numFmtId="3" fontId="16" fillId="24" borderId="10" xfId="0" applyNumberFormat="1" applyFont="1" applyFill="1" applyBorder="1" applyAlignment="1">
      <alignment/>
    </xf>
    <xf numFmtId="3" fontId="16" fillId="24" borderId="28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/>
    </xf>
    <xf numFmtId="3" fontId="16" fillId="24" borderId="14" xfId="0" applyNumberFormat="1" applyFont="1" applyFill="1" applyBorder="1" applyAlignment="1">
      <alignment/>
    </xf>
    <xf numFmtId="0" fontId="16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16" fillId="0" borderId="27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 horizontal="left" wrapText="1"/>
    </xf>
    <xf numFmtId="0" fontId="4" fillId="9" borderId="0" xfId="101" applyFont="1" applyFill="1" applyAlignment="1">
      <alignment horizontal="left" vertical="top"/>
      <protection/>
    </xf>
    <xf numFmtId="0" fontId="4" fillId="9" borderId="0" xfId="0" applyFont="1" applyFill="1" applyAlignment="1">
      <alignment vertical="top" wrapText="1"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0" fontId="4" fillId="9" borderId="0" xfId="101" applyFont="1" applyFill="1" applyBorder="1" applyAlignment="1">
      <alignment vertical="top"/>
      <protection/>
    </xf>
    <xf numFmtId="3" fontId="4" fillId="9" borderId="0" xfId="101" applyNumberFormat="1" applyFont="1" applyFill="1" applyBorder="1" applyAlignment="1">
      <alignment horizontal="right" vertical="top"/>
      <protection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4" fillId="10" borderId="0" xfId="101" applyFont="1" applyFill="1" applyAlignment="1">
      <alignment horizontal="left" vertical="top"/>
      <protection/>
    </xf>
    <xf numFmtId="0" fontId="4" fillId="10" borderId="0" xfId="101" applyFont="1" applyFill="1" applyBorder="1" applyAlignment="1">
      <alignment vertical="top" wrapText="1"/>
      <protection/>
    </xf>
    <xf numFmtId="3" fontId="4" fillId="10" borderId="0" xfId="101" applyNumberFormat="1" applyFont="1" applyFill="1" applyBorder="1" applyAlignment="1">
      <alignment horizontal="right" vertical="top"/>
      <protection/>
    </xf>
    <xf numFmtId="0" fontId="4" fillId="10" borderId="0" xfId="0" applyFont="1" applyFill="1" applyAlignment="1">
      <alignment vertical="top" wrapText="1"/>
    </xf>
    <xf numFmtId="3" fontId="4" fillId="10" borderId="0" xfId="0" applyNumberFormat="1" applyFont="1" applyFill="1" applyAlignment="1">
      <alignment vertical="top"/>
    </xf>
    <xf numFmtId="0" fontId="4" fillId="10" borderId="0" xfId="0" applyFont="1" applyFill="1" applyBorder="1" applyAlignment="1">
      <alignment vertical="top" wrapText="1"/>
    </xf>
    <xf numFmtId="3" fontId="4" fillId="10" borderId="0" xfId="0" applyNumberFormat="1" applyFont="1" applyFill="1" applyBorder="1" applyAlignment="1">
      <alignment horizontal="right" vertical="top"/>
    </xf>
    <xf numFmtId="0" fontId="4" fillId="10" borderId="0" xfId="0" applyFont="1" applyFill="1" applyAlignment="1">
      <alignment vertical="top"/>
    </xf>
    <xf numFmtId="3" fontId="4" fillId="10" borderId="0" xfId="0" applyNumberFormat="1" applyFont="1" applyFill="1" applyBorder="1" applyAlignment="1">
      <alignment vertical="top"/>
    </xf>
    <xf numFmtId="0" fontId="4" fillId="10" borderId="0" xfId="0" applyFont="1" applyFill="1" applyBorder="1" applyAlignment="1">
      <alignment vertical="top"/>
    </xf>
    <xf numFmtId="0" fontId="5" fillId="10" borderId="0" xfId="0" applyFont="1" applyFill="1" applyAlignment="1">
      <alignment vertical="top"/>
    </xf>
    <xf numFmtId="3" fontId="5" fillId="10" borderId="0" xfId="0" applyNumberFormat="1" applyFont="1" applyFill="1" applyAlignment="1">
      <alignment vertical="top"/>
    </xf>
    <xf numFmtId="4" fontId="16" fillId="24" borderId="16" xfId="0" applyNumberFormat="1" applyFont="1" applyFill="1" applyBorder="1" applyAlignment="1">
      <alignment/>
    </xf>
    <xf numFmtId="4" fontId="15" fillId="24" borderId="23" xfId="0" applyNumberFormat="1" applyFont="1" applyFill="1" applyBorder="1" applyAlignment="1">
      <alignment/>
    </xf>
    <xf numFmtId="4" fontId="16" fillId="24" borderId="33" xfId="0" applyNumberFormat="1" applyFont="1" applyFill="1" applyBorder="1" applyAlignment="1">
      <alignment/>
    </xf>
    <xf numFmtId="0" fontId="5" fillId="0" borderId="23" xfId="100" applyFont="1" applyFill="1" applyBorder="1" applyAlignment="1">
      <alignment horizontal="left" vertical="center" wrapText="1"/>
      <protection/>
    </xf>
    <xf numFmtId="0" fontId="4" fillId="0" borderId="23" xfId="100" applyFont="1" applyFill="1" applyBorder="1" applyAlignment="1">
      <alignment horizontal="left" vertical="center" wrapText="1"/>
      <protection/>
    </xf>
    <xf numFmtId="0" fontId="5" fillId="0" borderId="33" xfId="100" applyFont="1" applyFill="1" applyBorder="1" applyAlignment="1">
      <alignment horizontal="left" vertical="center" wrapText="1"/>
      <protection/>
    </xf>
    <xf numFmtId="0" fontId="5" fillId="0" borderId="29" xfId="100" applyFont="1" applyFill="1" applyBorder="1" applyAlignment="1">
      <alignment horizontal="left" vertical="center" wrapText="1"/>
      <protection/>
    </xf>
    <xf numFmtId="0" fontId="5" fillId="0" borderId="25" xfId="100" applyFont="1" applyFill="1" applyBorder="1" applyAlignment="1">
      <alignment horizontal="left" vertical="center" wrapText="1"/>
      <protection/>
    </xf>
    <xf numFmtId="0" fontId="5" fillId="0" borderId="27" xfId="100" applyFont="1" applyFill="1" applyBorder="1" applyAlignment="1">
      <alignment horizontal="left" vertical="center" wrapText="1"/>
      <protection/>
    </xf>
    <xf numFmtId="0" fontId="4" fillId="0" borderId="16" xfId="100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/>
    </xf>
    <xf numFmtId="0" fontId="42" fillId="0" borderId="23" xfId="0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2" fillId="0" borderId="23" xfId="0" applyFont="1" applyFill="1" applyBorder="1" applyAlignment="1">
      <alignment horizontal="left" wrapText="1" indent="2"/>
    </xf>
    <xf numFmtId="0" fontId="42" fillId="0" borderId="23" xfId="0" applyFont="1" applyFill="1" applyBorder="1" applyAlignment="1">
      <alignment horizontal="left" indent="2"/>
    </xf>
    <xf numFmtId="0" fontId="16" fillId="25" borderId="31" xfId="0" applyFont="1" applyFill="1" applyBorder="1" applyAlignment="1">
      <alignment horizontal="left" wrapText="1"/>
    </xf>
    <xf numFmtId="0" fontId="16" fillId="26" borderId="31" xfId="0" applyFont="1" applyFill="1" applyBorder="1" applyAlignment="1">
      <alignment horizontal="left" wrapText="1"/>
    </xf>
    <xf numFmtId="4" fontId="16" fillId="0" borderId="45" xfId="0" applyNumberFormat="1" applyFont="1" applyFill="1" applyBorder="1" applyAlignment="1">
      <alignment/>
    </xf>
    <xf numFmtId="4" fontId="15" fillId="0" borderId="46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6" fillId="0" borderId="33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6" fillId="0" borderId="50" xfId="0" applyNumberFormat="1" applyFont="1" applyFill="1" applyBorder="1" applyAlignment="1">
      <alignment/>
    </xf>
    <xf numFmtId="4" fontId="16" fillId="24" borderId="51" xfId="0" applyNumberFormat="1" applyFont="1" applyFill="1" applyBorder="1" applyAlignment="1">
      <alignment/>
    </xf>
    <xf numFmtId="4" fontId="15" fillId="24" borderId="52" xfId="0" applyNumberFormat="1" applyFont="1" applyFill="1" applyBorder="1" applyAlignment="1">
      <alignment/>
    </xf>
    <xf numFmtId="4" fontId="16" fillId="24" borderId="53" xfId="0" applyNumberFormat="1" applyFont="1" applyFill="1" applyBorder="1" applyAlignment="1">
      <alignment/>
    </xf>
    <xf numFmtId="3" fontId="15" fillId="25" borderId="21" xfId="0" applyNumberFormat="1" applyFont="1" applyFill="1" applyBorder="1" applyAlignment="1">
      <alignment/>
    </xf>
    <xf numFmtId="3" fontId="36" fillId="25" borderId="11" xfId="0" applyNumberFormat="1" applyFont="1" applyFill="1" applyBorder="1" applyAlignment="1">
      <alignment/>
    </xf>
    <xf numFmtId="3" fontId="15" fillId="25" borderId="11" xfId="0" applyNumberFormat="1" applyFont="1" applyFill="1" applyBorder="1" applyAlignment="1">
      <alignment/>
    </xf>
    <xf numFmtId="3" fontId="15" fillId="25" borderId="24" xfId="0" applyNumberFormat="1" applyFont="1" applyFill="1" applyBorder="1" applyAlignment="1">
      <alignment/>
    </xf>
    <xf numFmtId="3" fontId="16" fillId="25" borderId="13" xfId="0" applyNumberFormat="1" applyFont="1" applyFill="1" applyBorder="1" applyAlignment="1">
      <alignment/>
    </xf>
    <xf numFmtId="3" fontId="15" fillId="25" borderId="10" xfId="0" applyNumberFormat="1" applyFont="1" applyFill="1" applyBorder="1" applyAlignment="1">
      <alignment/>
    </xf>
    <xf numFmtId="3" fontId="36" fillId="25" borderId="10" xfId="0" applyNumberFormat="1" applyFont="1" applyFill="1" applyBorder="1" applyAlignment="1">
      <alignment/>
    </xf>
    <xf numFmtId="3" fontId="36" fillId="25" borderId="24" xfId="0" applyNumberFormat="1" applyFont="1" applyFill="1" applyBorder="1" applyAlignment="1">
      <alignment/>
    </xf>
    <xf numFmtId="3" fontId="16" fillId="25" borderId="28" xfId="0" applyNumberFormat="1" applyFont="1" applyFill="1" applyBorder="1" applyAlignment="1">
      <alignment/>
    </xf>
    <xf numFmtId="3" fontId="15" fillId="25" borderId="12" xfId="0" applyNumberFormat="1" applyFont="1" applyFill="1" applyBorder="1" applyAlignment="1">
      <alignment/>
    </xf>
    <xf numFmtId="3" fontId="16" fillId="25" borderId="14" xfId="0" applyNumberFormat="1" applyFont="1" applyFill="1" applyBorder="1" applyAlignment="1">
      <alignment/>
    </xf>
    <xf numFmtId="3" fontId="36" fillId="25" borderId="12" xfId="0" applyNumberFormat="1" applyFont="1" applyFill="1" applyBorder="1" applyAlignment="1">
      <alignment/>
    </xf>
    <xf numFmtId="3" fontId="16" fillId="25" borderId="13" xfId="0" applyNumberFormat="1" applyFont="1" applyFill="1" applyBorder="1" applyAlignment="1">
      <alignment/>
    </xf>
    <xf numFmtId="4" fontId="16" fillId="25" borderId="48" xfId="0" applyNumberFormat="1" applyFont="1" applyFill="1" applyBorder="1" applyAlignment="1">
      <alignment/>
    </xf>
    <xf numFmtId="4" fontId="15" fillId="25" borderId="49" xfId="0" applyNumberFormat="1" applyFont="1" applyFill="1" applyBorder="1" applyAlignment="1">
      <alignment/>
    </xf>
    <xf numFmtId="4" fontId="16" fillId="25" borderId="50" xfId="0" applyNumberFormat="1" applyFont="1" applyFill="1" applyBorder="1" applyAlignment="1">
      <alignment/>
    </xf>
    <xf numFmtId="3" fontId="15" fillId="26" borderId="21" xfId="0" applyNumberFormat="1" applyFont="1" applyFill="1" applyBorder="1" applyAlignment="1">
      <alignment/>
    </xf>
    <xf numFmtId="3" fontId="36" fillId="26" borderId="11" xfId="0" applyNumberFormat="1" applyFont="1" applyFill="1" applyBorder="1" applyAlignment="1">
      <alignment/>
    </xf>
    <xf numFmtId="3" fontId="15" fillId="26" borderId="11" xfId="0" applyNumberFormat="1" applyFont="1" applyFill="1" applyBorder="1" applyAlignment="1">
      <alignment/>
    </xf>
    <xf numFmtId="3" fontId="15" fillId="26" borderId="24" xfId="0" applyNumberFormat="1" applyFont="1" applyFill="1" applyBorder="1" applyAlignment="1">
      <alignment/>
    </xf>
    <xf numFmtId="3" fontId="16" fillId="26" borderId="13" xfId="0" applyNumberFormat="1" applyFont="1" applyFill="1" applyBorder="1" applyAlignment="1">
      <alignment/>
    </xf>
    <xf numFmtId="3" fontId="15" fillId="26" borderId="10" xfId="0" applyNumberFormat="1" applyFont="1" applyFill="1" applyBorder="1" applyAlignment="1">
      <alignment/>
    </xf>
    <xf numFmtId="3" fontId="36" fillId="26" borderId="10" xfId="0" applyNumberFormat="1" applyFont="1" applyFill="1" applyBorder="1" applyAlignment="1">
      <alignment/>
    </xf>
    <xf numFmtId="3" fontId="36" fillId="26" borderId="24" xfId="0" applyNumberFormat="1" applyFont="1" applyFill="1" applyBorder="1" applyAlignment="1">
      <alignment/>
    </xf>
    <xf numFmtId="3" fontId="16" fillId="26" borderId="28" xfId="0" applyNumberFormat="1" applyFont="1" applyFill="1" applyBorder="1" applyAlignment="1">
      <alignment/>
    </xf>
    <xf numFmtId="3" fontId="15" fillId="26" borderId="12" xfId="0" applyNumberFormat="1" applyFont="1" applyFill="1" applyBorder="1" applyAlignment="1">
      <alignment/>
    </xf>
    <xf numFmtId="3" fontId="16" fillId="26" borderId="14" xfId="0" applyNumberFormat="1" applyFont="1" applyFill="1" applyBorder="1" applyAlignment="1">
      <alignment/>
    </xf>
    <xf numFmtId="3" fontId="36" fillId="26" borderId="12" xfId="0" applyNumberFormat="1" applyFont="1" applyFill="1" applyBorder="1" applyAlignment="1">
      <alignment/>
    </xf>
    <xf numFmtId="3" fontId="16" fillId="26" borderId="13" xfId="0" applyNumberFormat="1" applyFont="1" applyFill="1" applyBorder="1" applyAlignment="1">
      <alignment/>
    </xf>
    <xf numFmtId="4" fontId="16" fillId="26" borderId="48" xfId="0" applyNumberFormat="1" applyFont="1" applyFill="1" applyBorder="1" applyAlignment="1">
      <alignment/>
    </xf>
    <xf numFmtId="4" fontId="15" fillId="26" borderId="49" xfId="0" applyNumberFormat="1" applyFont="1" applyFill="1" applyBorder="1" applyAlignment="1">
      <alignment/>
    </xf>
    <xf numFmtId="4" fontId="16" fillId="26" borderId="50" xfId="0" applyNumberFormat="1" applyFont="1" applyFill="1" applyBorder="1" applyAlignment="1">
      <alignment/>
    </xf>
    <xf numFmtId="0" fontId="40" fillId="0" borderId="0" xfId="97" applyFont="1">
      <alignment/>
      <protection/>
    </xf>
    <xf numFmtId="0" fontId="40" fillId="0" borderId="0" xfId="97" applyFont="1" applyAlignment="1">
      <alignment/>
      <protection/>
    </xf>
    <xf numFmtId="0" fontId="40" fillId="0" borderId="0" xfId="97" applyFont="1" applyBorder="1" applyAlignment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25" borderId="54" xfId="100" applyFont="1" applyFill="1" applyBorder="1" applyAlignment="1">
      <alignment horizontal="center" vertical="center" wrapText="1"/>
      <protection/>
    </xf>
    <xf numFmtId="0" fontId="5" fillId="25" borderId="31" xfId="100" applyFont="1" applyFill="1" applyBorder="1" applyAlignment="1">
      <alignment horizontal="center" vertical="center" wrapText="1"/>
      <protection/>
    </xf>
    <xf numFmtId="0" fontId="5" fillId="25" borderId="34" xfId="100" applyFont="1" applyFill="1" applyBorder="1" applyAlignment="1">
      <alignment horizontal="center" vertical="center" wrapText="1"/>
      <protection/>
    </xf>
    <xf numFmtId="0" fontId="5" fillId="0" borderId="55" xfId="0" applyFont="1" applyFill="1" applyBorder="1" applyAlignment="1">
      <alignment horizontal="center" vertical="center" wrapText="1"/>
    </xf>
    <xf numFmtId="0" fontId="41" fillId="0" borderId="27" xfId="97" applyFont="1" applyBorder="1" applyAlignment="1">
      <alignment horizontal="center" vertical="center" wrapText="1"/>
      <protection/>
    </xf>
    <xf numFmtId="4" fontId="4" fillId="0" borderId="29" xfId="97" applyNumberFormat="1" applyFont="1" applyFill="1" applyBorder="1" applyAlignment="1">
      <alignment horizontal="center" vertical="center" wrapText="1"/>
      <protection/>
    </xf>
    <xf numFmtId="4" fontId="4" fillId="0" borderId="56" xfId="97" applyNumberFormat="1" applyFont="1" applyFill="1" applyBorder="1" applyAlignment="1">
      <alignment horizontal="center" vertical="center" wrapText="1"/>
      <protection/>
    </xf>
    <xf numFmtId="4" fontId="4" fillId="0" borderId="39" xfId="97" applyNumberFormat="1" applyFont="1" applyFill="1" applyBorder="1" applyAlignment="1">
      <alignment horizontal="center" vertical="center" wrapText="1"/>
      <protection/>
    </xf>
    <xf numFmtId="4" fontId="4" fillId="0" borderId="57" xfId="97" applyNumberFormat="1" applyFont="1" applyFill="1" applyBorder="1" applyAlignment="1">
      <alignment horizontal="center" vertical="center" wrapText="1"/>
      <protection/>
    </xf>
    <xf numFmtId="4" fontId="4" fillId="25" borderId="29" xfId="97" applyNumberFormat="1" applyFont="1" applyFill="1" applyBorder="1" applyAlignment="1">
      <alignment horizontal="center" vertical="center" wrapText="1"/>
      <protection/>
    </xf>
    <xf numFmtId="4" fontId="4" fillId="0" borderId="58" xfId="97" applyNumberFormat="1" applyFont="1" applyFill="1" applyBorder="1" applyAlignment="1">
      <alignment horizontal="center" vertical="center" wrapText="1"/>
      <protection/>
    </xf>
    <xf numFmtId="4" fontId="4" fillId="0" borderId="23" xfId="97" applyNumberFormat="1" applyFont="1" applyFill="1" applyBorder="1" applyAlignment="1">
      <alignment horizontal="center" vertical="center" wrapText="1"/>
      <protection/>
    </xf>
    <xf numFmtId="4" fontId="4" fillId="0" borderId="59" xfId="97" applyNumberFormat="1" applyFont="1" applyFill="1" applyBorder="1" applyAlignment="1">
      <alignment horizontal="center" vertical="center" wrapText="1"/>
      <protection/>
    </xf>
    <xf numFmtId="4" fontId="4" fillId="0" borderId="19" xfId="97" applyNumberFormat="1" applyFont="1" applyFill="1" applyBorder="1" applyAlignment="1">
      <alignment horizontal="center" vertical="center" wrapText="1"/>
      <protection/>
    </xf>
    <xf numFmtId="4" fontId="4" fillId="0" borderId="60" xfId="97" applyNumberFormat="1" applyFont="1" applyFill="1" applyBorder="1" applyAlignment="1">
      <alignment horizontal="center" vertical="center" wrapText="1"/>
      <protection/>
    </xf>
    <xf numFmtId="4" fontId="4" fillId="25" borderId="23" xfId="97" applyNumberFormat="1" applyFont="1" applyFill="1" applyBorder="1" applyAlignment="1">
      <alignment horizontal="center" vertical="center" wrapText="1"/>
      <protection/>
    </xf>
    <xf numFmtId="4" fontId="4" fillId="0" borderId="49" xfId="97" applyNumberFormat="1" applyFont="1" applyFill="1" applyBorder="1" applyAlignment="1">
      <alignment horizontal="center" vertical="center" wrapText="1"/>
      <protection/>
    </xf>
    <xf numFmtId="4" fontId="4" fillId="0" borderId="25" xfId="97" applyNumberFormat="1" applyFont="1" applyFill="1" applyBorder="1" applyAlignment="1">
      <alignment horizontal="center" vertical="center" wrapText="1"/>
      <protection/>
    </xf>
    <xf numFmtId="4" fontId="4" fillId="0" borderId="61" xfId="97" applyNumberFormat="1" applyFont="1" applyFill="1" applyBorder="1" applyAlignment="1">
      <alignment horizontal="center" vertical="center" wrapText="1"/>
      <protection/>
    </xf>
    <xf numFmtId="4" fontId="4" fillId="0" borderId="26" xfId="97" applyNumberFormat="1" applyFont="1" applyFill="1" applyBorder="1" applyAlignment="1">
      <alignment horizontal="center" vertical="center" wrapText="1"/>
      <protection/>
    </xf>
    <xf numFmtId="4" fontId="4" fillId="0" borderId="62" xfId="97" applyNumberFormat="1" applyFont="1" applyFill="1" applyBorder="1" applyAlignment="1">
      <alignment horizontal="center" vertical="center" wrapText="1"/>
      <protection/>
    </xf>
    <xf numFmtId="4" fontId="4" fillId="25" borderId="25" xfId="97" applyNumberFormat="1" applyFont="1" applyFill="1" applyBorder="1" applyAlignment="1">
      <alignment horizontal="center" vertical="center" wrapText="1"/>
      <protection/>
    </xf>
    <xf numFmtId="4" fontId="4" fillId="0" borderId="63" xfId="97" applyNumberFormat="1" applyFont="1" applyFill="1" applyBorder="1" applyAlignment="1">
      <alignment horizontal="center" vertical="center" wrapText="1"/>
      <protection/>
    </xf>
    <xf numFmtId="4" fontId="4" fillId="0" borderId="16" xfId="97" applyNumberFormat="1" applyFont="1" applyFill="1" applyBorder="1" applyAlignment="1">
      <alignment horizontal="center" vertical="center" wrapText="1"/>
      <protection/>
    </xf>
    <xf numFmtId="4" fontId="4" fillId="0" borderId="64" xfId="97" applyNumberFormat="1" applyFont="1" applyFill="1" applyBorder="1" applyAlignment="1">
      <alignment horizontal="center" vertical="center" wrapText="1"/>
      <protection/>
    </xf>
    <xf numFmtId="4" fontId="4" fillId="0" borderId="20" xfId="97" applyNumberFormat="1" applyFont="1" applyFill="1" applyBorder="1" applyAlignment="1">
      <alignment horizontal="center" vertical="center" wrapText="1"/>
      <protection/>
    </xf>
    <xf numFmtId="4" fontId="4" fillId="0" borderId="65" xfId="97" applyNumberFormat="1" applyFont="1" applyFill="1" applyBorder="1" applyAlignment="1">
      <alignment horizontal="center" vertical="center" wrapText="1"/>
      <protection/>
    </xf>
    <xf numFmtId="4" fontId="4" fillId="25" borderId="16" xfId="97" applyNumberFormat="1" applyFont="1" applyFill="1" applyBorder="1" applyAlignment="1">
      <alignment horizontal="center" vertical="center" wrapText="1"/>
      <protection/>
    </xf>
    <xf numFmtId="4" fontId="4" fillId="0" borderId="48" xfId="97" applyNumberFormat="1" applyFont="1" applyFill="1" applyBorder="1" applyAlignment="1">
      <alignment horizontal="center" vertical="center" wrapText="1"/>
      <protection/>
    </xf>
    <xf numFmtId="4" fontId="4" fillId="0" borderId="33" xfId="97" applyNumberFormat="1" applyFont="1" applyFill="1" applyBorder="1" applyAlignment="1">
      <alignment horizontal="center" vertical="center" wrapText="1"/>
      <protection/>
    </xf>
    <xf numFmtId="4" fontId="4" fillId="0" borderId="66" xfId="97" applyNumberFormat="1" applyFont="1" applyFill="1" applyBorder="1" applyAlignment="1">
      <alignment horizontal="center" vertical="center" wrapText="1"/>
      <protection/>
    </xf>
    <xf numFmtId="4" fontId="4" fillId="0" borderId="30" xfId="97" applyNumberFormat="1" applyFont="1" applyFill="1" applyBorder="1" applyAlignment="1">
      <alignment horizontal="center" vertical="center" wrapText="1"/>
      <protection/>
    </xf>
    <xf numFmtId="4" fontId="4" fillId="0" borderId="67" xfId="97" applyNumberFormat="1" applyFont="1" applyFill="1" applyBorder="1" applyAlignment="1">
      <alignment horizontal="center" vertical="center" wrapText="1"/>
      <protection/>
    </xf>
    <xf numFmtId="4" fontId="4" fillId="25" borderId="33" xfId="97" applyNumberFormat="1" applyFont="1" applyFill="1" applyBorder="1" applyAlignment="1">
      <alignment horizontal="center" vertical="center" wrapText="1"/>
      <protection/>
    </xf>
    <xf numFmtId="4" fontId="4" fillId="0" borderId="50" xfId="97" applyNumberFormat="1" applyFont="1" applyFill="1" applyBorder="1" applyAlignment="1">
      <alignment horizontal="center" vertical="center" wrapText="1"/>
      <protection/>
    </xf>
    <xf numFmtId="4" fontId="40" fillId="0" borderId="27" xfId="97" applyNumberFormat="1" applyFont="1" applyFill="1" applyBorder="1" applyAlignment="1">
      <alignment horizontal="center" vertical="center" wrapText="1"/>
      <protection/>
    </xf>
    <xf numFmtId="4" fontId="40" fillId="0" borderId="54" xfId="97" applyNumberFormat="1" applyFont="1" applyFill="1" applyBorder="1" applyAlignment="1">
      <alignment horizontal="center" vertical="center" wrapText="1"/>
      <protection/>
    </xf>
    <xf numFmtId="4" fontId="40" fillId="0" borderId="31" xfId="97" applyNumberFormat="1" applyFont="1" applyFill="1" applyBorder="1" applyAlignment="1">
      <alignment horizontal="center" vertical="center" wrapText="1"/>
      <protection/>
    </xf>
    <xf numFmtId="4" fontId="40" fillId="0" borderId="34" xfId="97" applyNumberFormat="1" applyFont="1" applyFill="1" applyBorder="1" applyAlignment="1">
      <alignment horizontal="center" vertical="center" wrapText="1"/>
      <protection/>
    </xf>
    <xf numFmtId="4" fontId="40" fillId="25" borderId="27" xfId="97" applyNumberFormat="1" applyFont="1" applyFill="1" applyBorder="1" applyAlignment="1">
      <alignment horizontal="center" vertical="center" wrapText="1"/>
      <protection/>
    </xf>
    <xf numFmtId="4" fontId="40" fillId="0" borderId="68" xfId="97" applyNumberFormat="1" applyFont="1" applyFill="1" applyBorder="1" applyAlignment="1">
      <alignment horizontal="center" vertical="center" wrapText="1"/>
      <protection/>
    </xf>
    <xf numFmtId="4" fontId="4" fillId="0" borderId="27" xfId="97" applyNumberFormat="1" applyFont="1" applyFill="1" applyBorder="1" applyAlignment="1">
      <alignment horizontal="center" vertical="center" wrapText="1"/>
      <protection/>
    </xf>
    <xf numFmtId="0" fontId="5" fillId="25" borderId="27" xfId="100" applyFont="1" applyFill="1" applyBorder="1" applyAlignment="1">
      <alignment horizontal="center" vertical="center" wrapText="1"/>
      <protection/>
    </xf>
    <xf numFmtId="0" fontId="5" fillId="26" borderId="54" xfId="100" applyFont="1" applyFill="1" applyBorder="1" applyAlignment="1">
      <alignment horizontal="center" vertical="center" wrapText="1"/>
      <protection/>
    </xf>
    <xf numFmtId="0" fontId="5" fillId="26" borderId="31" xfId="100" applyFont="1" applyFill="1" applyBorder="1" applyAlignment="1">
      <alignment horizontal="center" vertical="center" wrapText="1"/>
      <protection/>
    </xf>
    <xf numFmtId="0" fontId="5" fillId="26" borderId="34" xfId="100" applyFont="1" applyFill="1" applyBorder="1" applyAlignment="1">
      <alignment horizontal="center" vertical="center" wrapText="1"/>
      <protection/>
    </xf>
    <xf numFmtId="0" fontId="5" fillId="26" borderId="27" xfId="100" applyFont="1" applyFill="1" applyBorder="1" applyAlignment="1">
      <alignment horizontal="center" vertical="center" wrapText="1"/>
      <protection/>
    </xf>
    <xf numFmtId="4" fontId="4" fillId="26" borderId="29" xfId="97" applyNumberFormat="1" applyFont="1" applyFill="1" applyBorder="1" applyAlignment="1">
      <alignment horizontal="center" vertical="center" wrapText="1"/>
      <protection/>
    </xf>
    <xf numFmtId="4" fontId="4" fillId="26" borderId="23" xfId="97" applyNumberFormat="1" applyFont="1" applyFill="1" applyBorder="1" applyAlignment="1">
      <alignment horizontal="center" vertical="center" wrapText="1"/>
      <protection/>
    </xf>
    <xf numFmtId="4" fontId="4" fillId="26" borderId="25" xfId="97" applyNumberFormat="1" applyFont="1" applyFill="1" applyBorder="1" applyAlignment="1">
      <alignment horizontal="center" vertical="center" wrapText="1"/>
      <protection/>
    </xf>
    <xf numFmtId="4" fontId="4" fillId="26" borderId="16" xfId="97" applyNumberFormat="1" applyFont="1" applyFill="1" applyBorder="1" applyAlignment="1">
      <alignment horizontal="center" vertical="center" wrapText="1"/>
      <protection/>
    </xf>
    <xf numFmtId="4" fontId="4" fillId="26" borderId="33" xfId="97" applyNumberFormat="1" applyFont="1" applyFill="1" applyBorder="1" applyAlignment="1">
      <alignment horizontal="center" vertical="center" wrapText="1"/>
      <protection/>
    </xf>
    <xf numFmtId="4" fontId="40" fillId="26" borderId="27" xfId="97" applyNumberFormat="1" applyFont="1" applyFill="1" applyBorder="1" applyAlignment="1">
      <alignment horizontal="center" vertical="center" wrapText="1"/>
      <protection/>
    </xf>
    <xf numFmtId="0" fontId="4" fillId="27" borderId="0" xfId="0" applyFont="1" applyFill="1" applyBorder="1" applyAlignment="1">
      <alignment horizontal="left" vertical="top" wrapText="1"/>
    </xf>
    <xf numFmtId="3" fontId="15" fillId="0" borderId="14" xfId="0" applyNumberFormat="1" applyFont="1" applyFill="1" applyBorder="1" applyAlignment="1">
      <alignment/>
    </xf>
    <xf numFmtId="3" fontId="15" fillId="25" borderId="14" xfId="0" applyNumberFormat="1" applyFont="1" applyFill="1" applyBorder="1" applyAlignment="1">
      <alignment/>
    </xf>
    <xf numFmtId="3" fontId="15" fillId="26" borderId="14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4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4" fontId="15" fillId="28" borderId="23" xfId="0" applyNumberFormat="1" applyFont="1" applyFill="1" applyBorder="1" applyAlignment="1">
      <alignment/>
    </xf>
    <xf numFmtId="3" fontId="4" fillId="27" borderId="0" xfId="0" applyNumberFormat="1" applyFont="1" applyFill="1" applyAlignment="1">
      <alignment vertical="top"/>
    </xf>
    <xf numFmtId="0" fontId="4" fillId="27" borderId="0" xfId="0" applyFont="1" applyFill="1" applyAlignment="1">
      <alignment vertical="top" wrapText="1"/>
    </xf>
    <xf numFmtId="0" fontId="4" fillId="29" borderId="0" xfId="101" applyFont="1" applyFill="1" applyAlignment="1">
      <alignment horizontal="left" vertical="top"/>
      <protection/>
    </xf>
    <xf numFmtId="0" fontId="4" fillId="29" borderId="0" xfId="101" applyFont="1" applyFill="1" applyBorder="1" applyAlignment="1">
      <alignment vertical="top" wrapText="1"/>
      <protection/>
    </xf>
    <xf numFmtId="3" fontId="4" fillId="29" borderId="0" xfId="101" applyNumberFormat="1" applyFont="1" applyFill="1" applyBorder="1" applyAlignment="1">
      <alignment horizontal="right" vertical="top"/>
      <protection/>
    </xf>
    <xf numFmtId="0" fontId="4" fillId="9" borderId="0" xfId="0" applyFont="1" applyFill="1" applyAlignment="1">
      <alignment horizontal="left" vertical="top"/>
    </xf>
    <xf numFmtId="0" fontId="4" fillId="10" borderId="0" xfId="0" applyFont="1" applyFill="1" applyAlignment="1">
      <alignment horizontal="left" vertical="top"/>
    </xf>
    <xf numFmtId="0" fontId="44" fillId="30" borderId="0" xfId="0" applyFont="1" applyFill="1" applyAlignment="1">
      <alignment vertical="top"/>
    </xf>
    <xf numFmtId="3" fontId="4" fillId="30" borderId="0" xfId="0" applyNumberFormat="1" applyFont="1" applyFill="1" applyAlignment="1">
      <alignment vertical="top"/>
    </xf>
    <xf numFmtId="0" fontId="4" fillId="29" borderId="0" xfId="0" applyFont="1" applyFill="1" applyAlignment="1">
      <alignment vertical="top"/>
    </xf>
    <xf numFmtId="3" fontId="4" fillId="29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1" fontId="4" fillId="10" borderId="0" xfId="101" applyNumberFormat="1" applyFont="1" applyFill="1" applyAlignment="1">
      <alignment horizontal="left" vertical="top"/>
      <protection/>
    </xf>
    <xf numFmtId="4" fontId="16" fillId="0" borderId="47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/>
    </xf>
    <xf numFmtId="0" fontId="4" fillId="9" borderId="0" xfId="0" applyFont="1" applyFill="1" applyBorder="1" applyAlignment="1">
      <alignment vertical="top" wrapText="1"/>
    </xf>
    <xf numFmtId="0" fontId="4" fillId="27" borderId="0" xfId="0" applyFont="1" applyFill="1" applyAlignment="1">
      <alignment vertical="top"/>
    </xf>
    <xf numFmtId="0" fontId="4" fillId="29" borderId="0" xfId="101" applyFont="1" applyFill="1" applyBorder="1" applyAlignment="1">
      <alignment horizontal="center" vertical="top"/>
      <protection/>
    </xf>
    <xf numFmtId="3" fontId="15" fillId="0" borderId="69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5" fillId="0" borderId="0" xfId="99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4" fillId="0" borderId="0" xfId="97" applyFont="1" applyFill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left" vertical="center" wrapText="1"/>
      <protection/>
    </xf>
    <xf numFmtId="0" fontId="41" fillId="0" borderId="0" xfId="97" applyFont="1" applyBorder="1" applyAlignment="1">
      <alignment horizontal="center" wrapText="1"/>
      <protection/>
    </xf>
    <xf numFmtId="0" fontId="41" fillId="0" borderId="0" xfId="97" applyFont="1" applyAlignment="1">
      <alignment horizontal="center" wrapText="1"/>
      <protection/>
    </xf>
    <xf numFmtId="0" fontId="40" fillId="0" borderId="0" xfId="97" applyFont="1" applyBorder="1" applyAlignment="1">
      <alignment horizontal="right"/>
      <protection/>
    </xf>
    <xf numFmtId="0" fontId="5" fillId="0" borderId="22" xfId="100" applyFont="1" applyFill="1" applyBorder="1" applyAlignment="1">
      <alignment horizontal="center" vertical="center" wrapText="1"/>
      <protection/>
    </xf>
    <xf numFmtId="0" fontId="5" fillId="0" borderId="15" xfId="100" applyFont="1" applyFill="1" applyBorder="1" applyAlignment="1">
      <alignment horizontal="center" vertical="center" wrapText="1"/>
      <protection/>
    </xf>
    <xf numFmtId="0" fontId="5" fillId="0" borderId="71" xfId="100" applyFont="1" applyFill="1" applyBorder="1" applyAlignment="1">
      <alignment horizontal="center" vertical="center" wrapText="1"/>
      <protection/>
    </xf>
    <xf numFmtId="0" fontId="5" fillId="0" borderId="72" xfId="100" applyFont="1" applyFill="1" applyBorder="1" applyAlignment="1">
      <alignment horizontal="center" vertical="center" wrapText="1"/>
      <protection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9" customWidth="1"/>
    <col min="2" max="2" width="12.25390625" style="9" customWidth="1"/>
    <col min="3" max="3" width="6.00390625" style="7" customWidth="1"/>
    <col min="4" max="4" width="37.125" style="7" customWidth="1"/>
    <col min="5" max="16384" width="9.125" style="7" customWidth="1"/>
  </cols>
  <sheetData>
    <row r="1" ht="18.75" customHeight="1"/>
    <row r="2" spans="1:8" ht="15.75">
      <c r="A2" s="401" t="s">
        <v>31</v>
      </c>
      <c r="B2" s="401"/>
      <c r="C2" s="401"/>
      <c r="D2" s="401"/>
      <c r="E2" s="401"/>
      <c r="F2" s="401"/>
      <c r="G2" s="14"/>
      <c r="H2" s="14"/>
    </row>
    <row r="3" spans="1:6" ht="12.75">
      <c r="A3" s="13"/>
      <c r="B3" s="13"/>
      <c r="C3" s="11"/>
      <c r="D3" s="11"/>
      <c r="E3" s="11"/>
      <c r="F3" s="11"/>
    </row>
    <row r="4" spans="1:6" ht="27.75" customHeight="1">
      <c r="A4" s="13"/>
      <c r="B4" s="13"/>
      <c r="C4" s="11"/>
      <c r="D4" s="11"/>
      <c r="E4" s="11"/>
      <c r="F4" s="11"/>
    </row>
    <row r="5" spans="1:6" ht="12.75">
      <c r="A5" s="15" t="s">
        <v>32</v>
      </c>
      <c r="B5" s="15"/>
      <c r="C5" s="11"/>
      <c r="D5" s="11"/>
      <c r="E5" s="11"/>
      <c r="F5" s="11"/>
    </row>
    <row r="6" spans="1:6" ht="12.75">
      <c r="A6" s="15"/>
      <c r="B6" s="15" t="s">
        <v>33</v>
      </c>
      <c r="C6" s="11"/>
      <c r="D6" s="11"/>
      <c r="E6" s="11"/>
      <c r="F6" s="11"/>
    </row>
    <row r="7" spans="1:6" ht="25.5" customHeight="1">
      <c r="A7" s="15"/>
      <c r="B7" s="15" t="s">
        <v>4</v>
      </c>
      <c r="C7" s="16"/>
      <c r="D7" s="17" t="s">
        <v>56</v>
      </c>
      <c r="E7" s="11"/>
      <c r="F7" s="11"/>
    </row>
    <row r="8" spans="1:6" ht="25.5" customHeight="1">
      <c r="A8" s="15"/>
      <c r="B8" s="15" t="s">
        <v>5</v>
      </c>
      <c r="C8" s="16"/>
      <c r="D8" s="25" t="s">
        <v>34</v>
      </c>
      <c r="E8" s="11"/>
      <c r="F8" s="11"/>
    </row>
    <row r="9" spans="1:6" ht="25.5" customHeight="1">
      <c r="A9" s="15"/>
      <c r="B9" s="15" t="s">
        <v>6</v>
      </c>
      <c r="C9" s="16"/>
      <c r="D9" s="9" t="s">
        <v>67</v>
      </c>
      <c r="E9" s="11"/>
      <c r="F9" s="11"/>
    </row>
    <row r="10" spans="1:6" ht="25.5" customHeight="1">
      <c r="A10" s="15"/>
      <c r="B10" s="15" t="s">
        <v>7</v>
      </c>
      <c r="C10" s="16"/>
      <c r="D10" s="25" t="s">
        <v>164</v>
      </c>
      <c r="E10" s="11"/>
      <c r="F10" s="11"/>
    </row>
    <row r="11" spans="1:6" ht="25.5" customHeight="1">
      <c r="A11" s="15"/>
      <c r="B11" s="15" t="s">
        <v>8</v>
      </c>
      <c r="C11" s="16"/>
      <c r="D11" s="266" t="s">
        <v>206</v>
      </c>
      <c r="E11" s="11"/>
      <c r="F11" s="11"/>
    </row>
    <row r="12" spans="1:6" ht="25.5" customHeight="1">
      <c r="A12" s="15"/>
      <c r="B12" s="15" t="s">
        <v>18</v>
      </c>
      <c r="C12" s="16"/>
      <c r="D12" s="25" t="s">
        <v>207</v>
      </c>
      <c r="E12" s="266"/>
      <c r="F12" s="266"/>
    </row>
    <row r="13" spans="1:6" ht="25.5" customHeight="1">
      <c r="A13" s="15"/>
      <c r="B13" s="15" t="s">
        <v>19</v>
      </c>
      <c r="C13" s="16"/>
      <c r="D13" s="25" t="s">
        <v>210</v>
      </c>
      <c r="E13" s="11"/>
      <c r="F13" s="11"/>
    </row>
    <row r="14" spans="1:6" ht="25.5" customHeight="1">
      <c r="A14" s="15"/>
      <c r="B14" s="15" t="s">
        <v>21</v>
      </c>
      <c r="C14" s="16"/>
      <c r="D14" s="25" t="s">
        <v>35</v>
      </c>
      <c r="E14" s="11"/>
      <c r="F14" s="11"/>
    </row>
    <row r="15" spans="1:6" ht="25.5" customHeight="1">
      <c r="A15" s="15" t="s">
        <v>1</v>
      </c>
      <c r="B15" s="13"/>
      <c r="C15" s="11"/>
      <c r="D15" s="17" t="s">
        <v>36</v>
      </c>
      <c r="E15" s="11"/>
      <c r="F15" s="11"/>
    </row>
    <row r="16" spans="1:6" ht="12.75">
      <c r="A16" s="13"/>
      <c r="B16" s="13"/>
      <c r="C16" s="11"/>
      <c r="D16" s="11"/>
      <c r="E16" s="11"/>
      <c r="F16" s="11"/>
    </row>
    <row r="17" spans="1:6" ht="12.75">
      <c r="A17" s="13"/>
      <c r="B17" s="13"/>
      <c r="C17" s="11"/>
      <c r="D17" s="11"/>
      <c r="E17" s="11"/>
      <c r="F17" s="11"/>
    </row>
    <row r="18" spans="1:6" ht="12.75">
      <c r="A18" s="13"/>
      <c r="B18" s="13"/>
      <c r="C18" s="11"/>
      <c r="D18" s="11"/>
      <c r="E18" s="11"/>
      <c r="F18" s="11"/>
    </row>
    <row r="19" spans="1:6" ht="12.75">
      <c r="A19" s="13"/>
      <c r="B19" s="13"/>
      <c r="C19" s="11"/>
      <c r="D19" s="11"/>
      <c r="E19" s="11"/>
      <c r="F19" s="11"/>
    </row>
    <row r="20" spans="1:6" ht="12.75">
      <c r="A20" s="13"/>
      <c r="B20" s="13"/>
      <c r="C20" s="11"/>
      <c r="D20" s="11"/>
      <c r="E20" s="11"/>
      <c r="F20" s="11"/>
    </row>
    <row r="21" spans="1:6" ht="12.75">
      <c r="A21" s="13"/>
      <c r="B21" s="13"/>
      <c r="C21" s="11"/>
      <c r="D21" s="11"/>
      <c r="E21" s="11"/>
      <c r="F21" s="11"/>
    </row>
    <row r="22" spans="1:6" ht="12.75">
      <c r="A22" s="13"/>
      <c r="B22" s="13"/>
      <c r="C22" s="11"/>
      <c r="D22" s="11"/>
      <c r="E22" s="11"/>
      <c r="F22" s="11"/>
    </row>
    <row r="23" spans="1:6" ht="12.75">
      <c r="A23" s="13"/>
      <c r="B23" s="13"/>
      <c r="C23" s="11"/>
      <c r="D23" s="11"/>
      <c r="E23" s="11"/>
      <c r="F23" s="11"/>
    </row>
    <row r="24" spans="1:6" ht="12.75">
      <c r="A24" s="13"/>
      <c r="B24" s="13"/>
      <c r="C24" s="11"/>
      <c r="D24" s="11"/>
      <c r="E24" s="11"/>
      <c r="F24" s="11"/>
    </row>
    <row r="25" spans="1:6" ht="12.75">
      <c r="A25" s="13"/>
      <c r="B25" s="13"/>
      <c r="C25" s="11"/>
      <c r="D25" s="11"/>
      <c r="E25" s="11"/>
      <c r="F25" s="11"/>
    </row>
    <row r="26" spans="1:6" ht="12.75">
      <c r="A26" s="13"/>
      <c r="B26" s="13"/>
      <c r="C26" s="11"/>
      <c r="D26" s="11"/>
      <c r="E26" s="11"/>
      <c r="F26" s="11"/>
    </row>
    <row r="27" spans="1:6" ht="12.75">
      <c r="A27" s="13"/>
      <c r="B27" s="13"/>
      <c r="C27" s="11"/>
      <c r="D27" s="11"/>
      <c r="E27" s="11"/>
      <c r="F27" s="11"/>
    </row>
    <row r="28" spans="1:6" ht="12.75">
      <c r="A28" s="13"/>
      <c r="B28" s="13"/>
      <c r="C28" s="11"/>
      <c r="D28" s="11"/>
      <c r="E28" s="11"/>
      <c r="F28" s="11"/>
    </row>
    <row r="29" spans="1:6" ht="12.75">
      <c r="A29" s="13"/>
      <c r="B29" s="13"/>
      <c r="C29" s="11"/>
      <c r="D29" s="11"/>
      <c r="E29" s="11"/>
      <c r="F29" s="11"/>
    </row>
    <row r="30" spans="1:6" ht="12.75">
      <c r="A30" s="13"/>
      <c r="B30" s="13"/>
      <c r="C30" s="11"/>
      <c r="D30" s="11"/>
      <c r="E30" s="11"/>
      <c r="F30" s="11"/>
    </row>
    <row r="31" spans="1:6" ht="12.75">
      <c r="A31" s="13"/>
      <c r="B31" s="13"/>
      <c r="C31" s="11"/>
      <c r="D31" s="11"/>
      <c r="E31" s="11"/>
      <c r="F31" s="11"/>
    </row>
    <row r="32" spans="1:6" ht="12.75">
      <c r="A32" s="13"/>
      <c r="B32" s="13"/>
      <c r="C32" s="11"/>
      <c r="D32" s="11"/>
      <c r="E32" s="11"/>
      <c r="F32" s="11"/>
    </row>
    <row r="33" spans="1:6" ht="12.75">
      <c r="A33" s="13"/>
      <c r="B33" s="13"/>
      <c r="C33" s="11"/>
      <c r="D33" s="11"/>
      <c r="E33" s="11"/>
      <c r="F33" s="11"/>
    </row>
    <row r="34" spans="1:6" ht="12.75">
      <c r="A34" s="13"/>
      <c r="B34" s="13"/>
      <c r="C34" s="11"/>
      <c r="D34" s="11"/>
      <c r="E34" s="11"/>
      <c r="F34" s="11"/>
    </row>
    <row r="35" spans="1:6" ht="12.75">
      <c r="A35" s="13"/>
      <c r="B35" s="13"/>
      <c r="C35" s="11"/>
      <c r="D35" s="11"/>
      <c r="E35" s="11"/>
      <c r="F35" s="11"/>
    </row>
    <row r="36" spans="1:6" ht="12.75">
      <c r="A36" s="13"/>
      <c r="B36" s="13"/>
      <c r="C36" s="11"/>
      <c r="D36" s="11"/>
      <c r="E36" s="11"/>
      <c r="F36" s="11"/>
    </row>
    <row r="37" spans="1:6" ht="12.75">
      <c r="A37" s="13"/>
      <c r="B37" s="13"/>
      <c r="C37" s="11"/>
      <c r="D37" s="11"/>
      <c r="E37" s="11"/>
      <c r="F37" s="11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1"/>
    </row>
    <row r="40" spans="1:6" ht="12.75">
      <c r="A40" s="13"/>
      <c r="B40" s="13"/>
      <c r="C40" s="11"/>
      <c r="D40" s="11"/>
      <c r="E40" s="11"/>
      <c r="F40" s="11"/>
    </row>
    <row r="41" spans="1:6" ht="12.75">
      <c r="A41" s="13"/>
      <c r="B41" s="13"/>
      <c r="C41" s="11"/>
      <c r="D41" s="11"/>
      <c r="E41" s="11"/>
      <c r="F41" s="11"/>
    </row>
    <row r="42" spans="1:6" ht="12.75">
      <c r="A42" s="13"/>
      <c r="B42" s="13"/>
      <c r="C42" s="11"/>
      <c r="D42" s="11"/>
      <c r="E42" s="11"/>
      <c r="F42" s="11"/>
    </row>
    <row r="43" spans="1:6" ht="12.75">
      <c r="A43" s="13"/>
      <c r="B43" s="13"/>
      <c r="C43" s="11"/>
      <c r="D43" s="11"/>
      <c r="E43" s="11"/>
      <c r="F43" s="11"/>
    </row>
    <row r="44" spans="1:6" ht="12.75">
      <c r="A44" s="13"/>
      <c r="B44" s="13"/>
      <c r="C44" s="11"/>
      <c r="D44" s="11"/>
      <c r="E44" s="11"/>
      <c r="F44" s="11"/>
    </row>
    <row r="45" spans="1:6" ht="12.75">
      <c r="A45" s="13"/>
      <c r="B45" s="13"/>
      <c r="C45" s="11"/>
      <c r="D45" s="11"/>
      <c r="E45" s="11"/>
      <c r="F45" s="11"/>
    </row>
    <row r="46" spans="1:6" ht="12.75">
      <c r="A46" s="13"/>
      <c r="B46" s="13"/>
      <c r="C46" s="11"/>
      <c r="D46" s="11"/>
      <c r="E46" s="11"/>
      <c r="F46" s="11"/>
    </row>
    <row r="47" spans="1:6" ht="12.75">
      <c r="A47" s="13"/>
      <c r="B47" s="13"/>
      <c r="C47" s="11"/>
      <c r="D47" s="11"/>
      <c r="E47" s="11"/>
      <c r="F47" s="11"/>
    </row>
    <row r="48" spans="1:6" ht="12.75">
      <c r="A48" s="13"/>
      <c r="B48" s="13"/>
      <c r="C48" s="11"/>
      <c r="D48" s="11"/>
      <c r="E48" s="11"/>
      <c r="F48" s="11"/>
    </row>
    <row r="49" spans="1:6" ht="12.75">
      <c r="A49" s="13"/>
      <c r="B49" s="13"/>
      <c r="C49" s="11"/>
      <c r="D49" s="11"/>
      <c r="E49" s="11"/>
      <c r="F49" s="11"/>
    </row>
    <row r="50" spans="1:6" ht="12.75">
      <c r="A50" s="13"/>
      <c r="B50" s="13"/>
      <c r="C50" s="11"/>
      <c r="D50" s="11"/>
      <c r="E50" s="11"/>
      <c r="F50" s="11"/>
    </row>
    <row r="51" spans="1:6" ht="12.75">
      <c r="A51" s="13"/>
      <c r="B51" s="13"/>
      <c r="C51" s="11"/>
      <c r="D51" s="11"/>
      <c r="E51" s="11"/>
      <c r="F51" s="11"/>
    </row>
    <row r="52" spans="1:6" ht="12.75">
      <c r="A52" s="13"/>
      <c r="B52" s="13"/>
      <c r="C52" s="11"/>
      <c r="D52" s="11"/>
      <c r="E52" s="11"/>
      <c r="F52" s="11"/>
    </row>
    <row r="53" spans="1:6" ht="12.75">
      <c r="A53" s="13"/>
      <c r="B53" s="13"/>
      <c r="C53" s="11"/>
      <c r="D53" s="11"/>
      <c r="E53" s="11"/>
      <c r="F53" s="11"/>
    </row>
    <row r="54" spans="1:6" ht="12.75">
      <c r="A54" s="13"/>
      <c r="B54" s="13"/>
      <c r="C54" s="11"/>
      <c r="D54" s="11"/>
      <c r="E54" s="11"/>
      <c r="F54" s="11"/>
    </row>
    <row r="55" spans="1:6" ht="12.75">
      <c r="A55" s="13"/>
      <c r="B55" s="13"/>
      <c r="C55" s="11"/>
      <c r="D55" s="11"/>
      <c r="E55" s="11"/>
      <c r="F55" s="11"/>
    </row>
    <row r="56" spans="1:6" ht="12.75">
      <c r="A56" s="13"/>
      <c r="B56" s="13"/>
      <c r="C56" s="11"/>
      <c r="D56" s="11"/>
      <c r="E56" s="11"/>
      <c r="F56" s="11"/>
    </row>
    <row r="57" spans="1:6" ht="12.75">
      <c r="A57" s="13"/>
      <c r="B57" s="13"/>
      <c r="C57" s="11"/>
      <c r="D57" s="11"/>
      <c r="E57" s="11"/>
      <c r="F57" s="11"/>
    </row>
    <row r="58" spans="1:6" ht="12.75">
      <c r="A58" s="13"/>
      <c r="B58" s="13"/>
      <c r="C58" s="11"/>
      <c r="D58" s="11"/>
      <c r="E58" s="11"/>
      <c r="F58" s="11"/>
    </row>
    <row r="59" spans="1:6" ht="12.75">
      <c r="A59" s="13"/>
      <c r="B59" s="13"/>
      <c r="C59" s="11"/>
      <c r="D59" s="11"/>
      <c r="E59" s="11"/>
      <c r="F59" s="11"/>
    </row>
    <row r="60" spans="1:6" ht="12.75">
      <c r="A60" s="13"/>
      <c r="B60" s="13"/>
      <c r="C60" s="11"/>
      <c r="D60" s="11"/>
      <c r="E60" s="11"/>
      <c r="F60" s="11"/>
    </row>
    <row r="61" spans="1:6" ht="12.75">
      <c r="A61" s="13"/>
      <c r="B61" s="13"/>
      <c r="C61" s="11"/>
      <c r="D61" s="11"/>
      <c r="E61" s="11"/>
      <c r="F61" s="11"/>
    </row>
    <row r="62" spans="1:6" ht="12.75">
      <c r="A62" s="13"/>
      <c r="B62" s="13"/>
      <c r="C62" s="11"/>
      <c r="D62" s="11"/>
      <c r="E62" s="11"/>
      <c r="F62" s="11"/>
    </row>
    <row r="63" spans="1:6" ht="12.75">
      <c r="A63" s="13"/>
      <c r="B63" s="13"/>
      <c r="C63" s="11"/>
      <c r="D63" s="11"/>
      <c r="E63" s="11"/>
      <c r="F63" s="11"/>
    </row>
    <row r="64" spans="1:6" ht="12.75">
      <c r="A64" s="13"/>
      <c r="B64" s="13"/>
      <c r="C64" s="11"/>
      <c r="D64" s="11"/>
      <c r="E64" s="11"/>
      <c r="F64" s="11"/>
    </row>
    <row r="65" spans="1:6" ht="12.75">
      <c r="A65" s="13"/>
      <c r="B65" s="13"/>
      <c r="C65" s="11"/>
      <c r="D65" s="11"/>
      <c r="E65" s="11"/>
      <c r="F65" s="11"/>
    </row>
    <row r="66" spans="1:6" ht="12.75">
      <c r="A66" s="13"/>
      <c r="B66" s="13"/>
      <c r="C66" s="11"/>
      <c r="D66" s="11"/>
      <c r="E66" s="11"/>
      <c r="F66" s="11"/>
    </row>
    <row r="67" spans="1:6" ht="12.75">
      <c r="A67" s="13"/>
      <c r="B67" s="13"/>
      <c r="C67" s="11"/>
      <c r="D67" s="11"/>
      <c r="E67" s="11"/>
      <c r="F67" s="11"/>
    </row>
    <row r="68" spans="1:6" ht="12.75">
      <c r="A68" s="13"/>
      <c r="B68" s="13"/>
      <c r="C68" s="11"/>
      <c r="D68" s="11"/>
      <c r="E68" s="11"/>
      <c r="F68" s="11"/>
    </row>
    <row r="69" spans="1:6" ht="12.75">
      <c r="A69" s="13"/>
      <c r="B69" s="13"/>
      <c r="C69" s="11"/>
      <c r="D69" s="11"/>
      <c r="E69" s="11"/>
      <c r="F69" s="11"/>
    </row>
    <row r="70" spans="1:6" ht="12.75">
      <c r="A70" s="13"/>
      <c r="B70" s="13"/>
      <c r="C70" s="11"/>
      <c r="D70" s="11"/>
      <c r="E70" s="11"/>
      <c r="F70" s="11"/>
    </row>
    <row r="71" spans="1:6" ht="12.75">
      <c r="A71" s="13"/>
      <c r="B71" s="13"/>
      <c r="C71" s="11"/>
      <c r="D71" s="11"/>
      <c r="E71" s="11"/>
      <c r="F71" s="11"/>
    </row>
    <row r="72" spans="1:6" ht="12.75">
      <c r="A72" s="13"/>
      <c r="B72" s="13"/>
      <c r="C72" s="11"/>
      <c r="D72" s="11"/>
      <c r="E72" s="11"/>
      <c r="F72" s="11"/>
    </row>
    <row r="73" spans="1:6" ht="12.75">
      <c r="A73" s="13"/>
      <c r="B73" s="13"/>
      <c r="C73" s="11"/>
      <c r="D73" s="11"/>
      <c r="E73" s="11"/>
      <c r="F73" s="11"/>
    </row>
    <row r="74" spans="1:6" ht="12.75">
      <c r="A74" s="13"/>
      <c r="B74" s="13"/>
      <c r="C74" s="11"/>
      <c r="D74" s="11"/>
      <c r="E74" s="11"/>
      <c r="F74" s="11"/>
    </row>
    <row r="75" spans="1:6" ht="12.75">
      <c r="A75" s="13"/>
      <c r="B75" s="13"/>
      <c r="C75" s="11"/>
      <c r="D75" s="11"/>
      <c r="E75" s="11"/>
      <c r="F75" s="11"/>
    </row>
    <row r="76" spans="1:6" ht="12.75">
      <c r="A76" s="13"/>
      <c r="B76" s="13"/>
      <c r="C76" s="11"/>
      <c r="D76" s="11"/>
      <c r="E76" s="11"/>
      <c r="F76" s="11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3" customWidth="1"/>
    <col min="2" max="2" width="15.75390625" style="3" customWidth="1"/>
    <col min="3" max="16384" width="9.125" style="3" customWidth="1"/>
  </cols>
  <sheetData>
    <row r="1" ht="15.75">
      <c r="A1" s="127" t="s">
        <v>331</v>
      </c>
    </row>
    <row r="2" spans="1:2" ht="15.75">
      <c r="A2" s="403" t="s">
        <v>23</v>
      </c>
      <c r="B2" s="403"/>
    </row>
    <row r="3" spans="1:2" ht="15.75">
      <c r="A3" s="403" t="s">
        <v>211</v>
      </c>
      <c r="B3" s="403"/>
    </row>
    <row r="4" spans="1:2" s="10" customFormat="1" ht="21" customHeight="1" thickBot="1">
      <c r="A4" s="402" t="s">
        <v>213</v>
      </c>
      <c r="B4" s="402"/>
    </row>
    <row r="5" spans="1:2" s="10" customFormat="1" ht="42" customHeight="1" thickBot="1">
      <c r="A5" s="80" t="s">
        <v>24</v>
      </c>
      <c r="B5" s="76" t="s">
        <v>212</v>
      </c>
    </row>
    <row r="6" spans="1:3" s="10" customFormat="1" ht="12.75">
      <c r="A6" s="69" t="s">
        <v>124</v>
      </c>
      <c r="B6" s="79">
        <f>B7+B8</f>
        <v>890978777</v>
      </c>
      <c r="C6" s="19"/>
    </row>
    <row r="7" spans="1:2" s="10" customFormat="1" ht="12.75">
      <c r="A7" s="270" t="s">
        <v>121</v>
      </c>
      <c r="B7" s="92">
        <v>828336315</v>
      </c>
    </row>
    <row r="8" spans="1:2" s="10" customFormat="1" ht="12.75">
      <c r="A8" s="270" t="s">
        <v>122</v>
      </c>
      <c r="B8" s="92">
        <v>62642462</v>
      </c>
    </row>
    <row r="9" spans="1:2" s="10" customFormat="1" ht="12.75">
      <c r="A9" s="81" t="s">
        <v>69</v>
      </c>
      <c r="B9" s="21">
        <v>489859309</v>
      </c>
    </row>
    <row r="10" spans="1:2" s="10" customFormat="1" ht="12.75">
      <c r="A10" s="81" t="s">
        <v>70</v>
      </c>
      <c r="B10" s="21">
        <v>258005190</v>
      </c>
    </row>
    <row r="11" spans="1:2" s="10" customFormat="1" ht="13.5" thickBot="1">
      <c r="A11" s="84" t="s">
        <v>72</v>
      </c>
      <c r="B11" s="83">
        <v>28095435</v>
      </c>
    </row>
    <row r="12" spans="1:2" s="12" customFormat="1" ht="13.5" thickBot="1">
      <c r="A12" s="86" t="s">
        <v>106</v>
      </c>
      <c r="B12" s="23">
        <f>B6+B9+B10+B11</f>
        <v>1666938711</v>
      </c>
    </row>
    <row r="13" spans="1:2" s="10" customFormat="1" ht="12.75">
      <c r="A13" s="69" t="s">
        <v>85</v>
      </c>
      <c r="B13" s="20">
        <f>B14+B15</f>
        <v>41720075</v>
      </c>
    </row>
    <row r="14" spans="1:2" s="10" customFormat="1" ht="12.75">
      <c r="A14" s="267" t="s">
        <v>103</v>
      </c>
      <c r="B14" s="97">
        <v>41600000</v>
      </c>
    </row>
    <row r="15" spans="1:2" s="10" customFormat="1" ht="12.75">
      <c r="A15" s="267" t="s">
        <v>304</v>
      </c>
      <c r="B15" s="97">
        <v>120075</v>
      </c>
    </row>
    <row r="16" spans="1:2" s="10" customFormat="1" ht="12.75">
      <c r="A16" s="81" t="s">
        <v>71</v>
      </c>
      <c r="B16" s="21">
        <v>205340627</v>
      </c>
    </row>
    <row r="17" spans="1:2" s="10" customFormat="1" ht="12.75">
      <c r="A17" s="81" t="s">
        <v>62</v>
      </c>
      <c r="B17" s="21">
        <f>SUM(B18:B19)</f>
        <v>14294359</v>
      </c>
    </row>
    <row r="18" spans="1:2" s="10" customFormat="1" ht="12.75">
      <c r="A18" s="269" t="s">
        <v>104</v>
      </c>
      <c r="B18" s="92">
        <v>12815928</v>
      </c>
    </row>
    <row r="19" spans="1:2" s="10" customFormat="1" ht="13.5" thickBot="1">
      <c r="A19" s="269" t="s">
        <v>123</v>
      </c>
      <c r="B19" s="96">
        <v>1478431</v>
      </c>
    </row>
    <row r="20" spans="1:2" s="12" customFormat="1" ht="14.25" customHeight="1" thickBot="1">
      <c r="A20" s="86" t="s">
        <v>107</v>
      </c>
      <c r="B20" s="23">
        <f>B17+B16+B13</f>
        <v>261355061</v>
      </c>
    </row>
    <row r="21" spans="1:2" s="12" customFormat="1" ht="15.75" customHeight="1" thickBot="1">
      <c r="A21" s="88" t="s">
        <v>105</v>
      </c>
      <c r="B21" s="87">
        <f>B20+B12</f>
        <v>1928293772</v>
      </c>
    </row>
    <row r="22" spans="1:2" s="10" customFormat="1" ht="12.75">
      <c r="A22" s="89" t="s">
        <v>68</v>
      </c>
      <c r="B22" s="79">
        <f>SUM(B23:B24)</f>
        <v>1369911367</v>
      </c>
    </row>
    <row r="23" spans="1:2" s="10" customFormat="1" ht="12.75">
      <c r="A23" s="267" t="s">
        <v>108</v>
      </c>
      <c r="B23" s="92">
        <v>229179577</v>
      </c>
    </row>
    <row r="24" spans="1:2" s="10" customFormat="1" ht="13.5" thickBot="1">
      <c r="A24" s="268" t="s">
        <v>109</v>
      </c>
      <c r="B24" s="93">
        <v>1140731790</v>
      </c>
    </row>
    <row r="25" spans="1:2" s="12" customFormat="1" ht="15.75" customHeight="1" thickBot="1">
      <c r="A25" s="86" t="s">
        <v>110</v>
      </c>
      <c r="B25" s="23">
        <f>SUM(B22)</f>
        <v>1369911367</v>
      </c>
    </row>
    <row r="26" spans="1:2" s="12" customFormat="1" ht="15.75" customHeight="1" thickBot="1">
      <c r="A26" s="82" t="s">
        <v>25</v>
      </c>
      <c r="B26" s="24">
        <f>B12+B20+B22</f>
        <v>3298205139</v>
      </c>
    </row>
    <row r="27" s="10" customFormat="1" ht="12.75"/>
    <row r="28" spans="1:2" s="10" customFormat="1" ht="13.5" thickBot="1">
      <c r="A28" s="402" t="s">
        <v>214</v>
      </c>
      <c r="B28" s="402"/>
    </row>
    <row r="29" spans="1:2" s="10" customFormat="1" ht="36" customHeight="1" thickBot="1">
      <c r="A29" s="75" t="s">
        <v>24</v>
      </c>
      <c r="B29" s="68" t="s">
        <v>212</v>
      </c>
    </row>
    <row r="30" spans="1:2" s="10" customFormat="1" ht="12.75">
      <c r="A30" s="69" t="s">
        <v>26</v>
      </c>
      <c r="B30" s="20">
        <v>735842951</v>
      </c>
    </row>
    <row r="31" spans="1:2" s="10" customFormat="1" ht="12.75">
      <c r="A31" s="81" t="s">
        <v>27</v>
      </c>
      <c r="B31" s="21">
        <v>164004809</v>
      </c>
    </row>
    <row r="32" spans="1:2" s="10" customFormat="1" ht="12.75">
      <c r="A32" s="81" t="s">
        <v>15</v>
      </c>
      <c r="B32" s="21">
        <v>854234071</v>
      </c>
    </row>
    <row r="33" spans="1:2" s="10" customFormat="1" ht="12.75">
      <c r="A33" s="81" t="s">
        <v>28</v>
      </c>
      <c r="B33" s="21">
        <v>24500000</v>
      </c>
    </row>
    <row r="34" spans="1:3" s="10" customFormat="1" ht="12.75">
      <c r="A34" s="81" t="s">
        <v>125</v>
      </c>
      <c r="B34" s="21">
        <f>SUM(B35:B38)</f>
        <v>88986530</v>
      </c>
      <c r="C34" s="27"/>
    </row>
    <row r="35" spans="1:3" s="10" customFormat="1" ht="12.75">
      <c r="A35" s="267" t="s">
        <v>111</v>
      </c>
      <c r="B35" s="92">
        <v>0</v>
      </c>
      <c r="C35" s="27"/>
    </row>
    <row r="36" spans="1:3" s="10" customFormat="1" ht="12.75">
      <c r="A36" s="267" t="s">
        <v>113</v>
      </c>
      <c r="B36" s="92">
        <v>4103300</v>
      </c>
      <c r="C36" s="27"/>
    </row>
    <row r="37" spans="1:2" s="10" customFormat="1" ht="12.75">
      <c r="A37" s="267" t="s">
        <v>112</v>
      </c>
      <c r="B37" s="92">
        <v>53083516</v>
      </c>
    </row>
    <row r="38" spans="1:2" s="10" customFormat="1" ht="13.5" thickBot="1">
      <c r="A38" s="267" t="s">
        <v>126</v>
      </c>
      <c r="B38" s="22">
        <v>31799714</v>
      </c>
    </row>
    <row r="39" spans="1:3" s="10" customFormat="1" ht="13.5" thickBot="1">
      <c r="A39" s="86" t="s">
        <v>117</v>
      </c>
      <c r="B39" s="23">
        <f>B30+B31+B32+B33+B34</f>
        <v>1867568361</v>
      </c>
      <c r="C39" s="27"/>
    </row>
    <row r="40" spans="1:2" s="10" customFormat="1" ht="12.75">
      <c r="A40" s="69" t="s">
        <v>61</v>
      </c>
      <c r="B40" s="21">
        <v>1285231319</v>
      </c>
    </row>
    <row r="41" spans="1:2" s="10" customFormat="1" ht="12.75">
      <c r="A41" s="90" t="s">
        <v>17</v>
      </c>
      <c r="B41" s="20">
        <v>104421475</v>
      </c>
    </row>
    <row r="42" spans="1:2" s="10" customFormat="1" ht="12.75">
      <c r="A42" s="81" t="s">
        <v>91</v>
      </c>
      <c r="B42" s="21">
        <f>SUM(B43:B45)</f>
        <v>12434057</v>
      </c>
    </row>
    <row r="43" spans="1:2" s="10" customFormat="1" ht="12.75">
      <c r="A43" s="267" t="s">
        <v>114</v>
      </c>
      <c r="B43" s="92">
        <v>1165207</v>
      </c>
    </row>
    <row r="44" spans="1:2" s="10" customFormat="1" ht="12.75">
      <c r="A44" s="267" t="s">
        <v>115</v>
      </c>
      <c r="B44" s="92">
        <v>5802000</v>
      </c>
    </row>
    <row r="45" spans="1:2" s="10" customFormat="1" ht="13.5" thickBot="1">
      <c r="A45" s="267" t="s">
        <v>116</v>
      </c>
      <c r="B45" s="93">
        <v>5466850</v>
      </c>
    </row>
    <row r="46" spans="1:2" s="10" customFormat="1" ht="13.5" thickBot="1">
      <c r="A46" s="86" t="s">
        <v>118</v>
      </c>
      <c r="B46" s="23">
        <f>B40+B41+B42</f>
        <v>1402086851</v>
      </c>
    </row>
    <row r="47" spans="1:2" s="12" customFormat="1" ht="15.75" customHeight="1" thickBot="1">
      <c r="A47" s="88" t="s">
        <v>119</v>
      </c>
      <c r="B47" s="87">
        <f>B46+B39</f>
        <v>3269655212</v>
      </c>
    </row>
    <row r="48" spans="1:2" s="10" customFormat="1" ht="15.75" customHeight="1" thickBot="1">
      <c r="A48" s="100" t="s">
        <v>120</v>
      </c>
      <c r="B48" s="98">
        <v>28549927</v>
      </c>
    </row>
    <row r="49" spans="1:2" s="12" customFormat="1" ht="15.75" customHeight="1" thickBot="1">
      <c r="A49" s="82" t="s">
        <v>29</v>
      </c>
      <c r="B49" s="24">
        <f>B48+B47</f>
        <v>3298205139</v>
      </c>
    </row>
    <row r="52" spans="1:2" ht="15.75">
      <c r="A52" s="4"/>
      <c r="B52" s="4"/>
    </row>
  </sheetData>
  <sheetProtection/>
  <mergeCells count="4">
    <mergeCell ref="A28:B28"/>
    <mergeCell ref="A2:B2"/>
    <mergeCell ref="A3:B3"/>
    <mergeCell ref="A4:B4"/>
  </mergeCells>
  <printOptions/>
  <pageMargins left="0.75" right="0.75" top="0.66" bottom="0.7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2.875" style="38" customWidth="1"/>
    <col min="2" max="2" width="92.875" style="38" customWidth="1"/>
    <col min="3" max="3" width="14.75390625" style="37" customWidth="1"/>
    <col min="4" max="16384" width="9.125" style="38" customWidth="1"/>
  </cols>
  <sheetData>
    <row r="1" spans="1:3" s="35" customFormat="1" ht="15" customHeight="1">
      <c r="A1" s="36"/>
      <c r="B1" s="36" t="s">
        <v>332</v>
      </c>
      <c r="C1" s="34"/>
    </row>
    <row r="2" spans="1:3" s="35" customFormat="1" ht="9" customHeight="1">
      <c r="A2" s="36"/>
      <c r="B2" s="36"/>
      <c r="C2" s="34"/>
    </row>
    <row r="3" spans="1:3" ht="12.75">
      <c r="A3" s="404" t="s">
        <v>199</v>
      </c>
      <c r="B3" s="404"/>
      <c r="C3" s="404"/>
    </row>
    <row r="4" spans="2:3" s="39" customFormat="1" ht="34.5">
      <c r="B4" s="39" t="s">
        <v>0</v>
      </c>
      <c r="C4" s="40" t="s">
        <v>200</v>
      </c>
    </row>
    <row r="5" spans="1:4" s="42" customFormat="1" ht="12.75">
      <c r="A5" s="61" t="s">
        <v>201</v>
      </c>
      <c r="B5" s="61"/>
      <c r="C5" s="61"/>
      <c r="D5" s="61"/>
    </row>
    <row r="6" spans="2:3" s="44" customFormat="1" ht="12.75" customHeight="1">
      <c r="B6" s="45" t="s">
        <v>321</v>
      </c>
      <c r="C6" s="46">
        <f>C7+C8+C13+C16+C14+C15+C17</f>
        <v>251927795</v>
      </c>
    </row>
    <row r="7" spans="2:3" ht="12.75" customHeight="1">
      <c r="B7" s="47" t="s">
        <v>37</v>
      </c>
      <c r="C7" s="37">
        <v>160666400</v>
      </c>
    </row>
    <row r="8" spans="2:3" ht="12.75" customHeight="1">
      <c r="B8" s="48" t="s">
        <v>38</v>
      </c>
      <c r="C8" s="37">
        <f>C9+C10+C11+C12</f>
        <v>73192055</v>
      </c>
    </row>
    <row r="9" spans="2:3" ht="12.75" customHeight="1">
      <c r="B9" s="49" t="s">
        <v>59</v>
      </c>
      <c r="C9" s="37">
        <v>3213027</v>
      </c>
    </row>
    <row r="10" spans="2:3" ht="12.75" customHeight="1">
      <c r="B10" s="50" t="s">
        <v>58</v>
      </c>
      <c r="C10" s="37">
        <v>45640000</v>
      </c>
    </row>
    <row r="11" spans="2:3" ht="12.75" customHeight="1">
      <c r="B11" s="50" t="s">
        <v>57</v>
      </c>
      <c r="C11" s="37">
        <v>3588728</v>
      </c>
    </row>
    <row r="12" spans="2:3" ht="12.75" customHeight="1">
      <c r="B12" s="50" t="s">
        <v>75</v>
      </c>
      <c r="C12" s="37">
        <v>20750300</v>
      </c>
    </row>
    <row r="13" spans="2:3" ht="12.75" customHeight="1">
      <c r="B13" s="47" t="s">
        <v>76</v>
      </c>
      <c r="C13" s="37">
        <v>0</v>
      </c>
    </row>
    <row r="14" spans="2:3" ht="12.75" customHeight="1">
      <c r="B14" s="47" t="s">
        <v>77</v>
      </c>
      <c r="C14" s="37">
        <v>0</v>
      </c>
    </row>
    <row r="15" spans="2:3" ht="12.75" customHeight="1">
      <c r="B15" s="47" t="s">
        <v>78</v>
      </c>
      <c r="C15" s="37">
        <v>16020640</v>
      </c>
    </row>
    <row r="16" spans="2:3" ht="12.75" customHeight="1">
      <c r="B16" s="47" t="s">
        <v>52</v>
      </c>
      <c r="C16" s="37">
        <v>0</v>
      </c>
    </row>
    <row r="17" spans="2:3" ht="12.75" customHeight="1">
      <c r="B17" s="47" t="s">
        <v>202</v>
      </c>
      <c r="C17" s="37">
        <v>2048700</v>
      </c>
    </row>
    <row r="18" spans="2:3" ht="12.75" customHeight="1">
      <c r="B18" s="51" t="s">
        <v>41</v>
      </c>
      <c r="C18" s="52">
        <f>C19+C20+C21</f>
        <v>243584034</v>
      </c>
    </row>
    <row r="19" spans="2:3" ht="12.75" customHeight="1">
      <c r="B19" s="53" t="s">
        <v>79</v>
      </c>
      <c r="C19" s="37">
        <f>102226200+51260400+35280000+17640000</f>
        <v>206406600</v>
      </c>
    </row>
    <row r="20" spans="2:3" ht="12.75" customHeight="1">
      <c r="B20" s="54" t="s">
        <v>49</v>
      </c>
      <c r="C20" s="37">
        <f>20969667+10593767</f>
        <v>31563434</v>
      </c>
    </row>
    <row r="21" spans="2:3" ht="12.75" customHeight="1">
      <c r="B21" s="47" t="s">
        <v>165</v>
      </c>
      <c r="C21" s="37">
        <v>5614000</v>
      </c>
    </row>
    <row r="22" spans="2:3" ht="12.75" customHeight="1">
      <c r="B22" s="51" t="s">
        <v>42</v>
      </c>
      <c r="C22" s="52">
        <f>SUM(C23:C31)</f>
        <v>289515396</v>
      </c>
    </row>
    <row r="23" spans="2:3" ht="12.75" customHeight="1">
      <c r="B23" s="47" t="s">
        <v>80</v>
      </c>
      <c r="C23" s="37">
        <v>0</v>
      </c>
    </row>
    <row r="24" spans="2:3" ht="12.75" customHeight="1">
      <c r="B24" s="47" t="s">
        <v>81</v>
      </c>
      <c r="C24" s="37">
        <v>34272000</v>
      </c>
    </row>
    <row r="25" spans="2:3" ht="12.75" customHeight="1">
      <c r="B25" s="47" t="s">
        <v>82</v>
      </c>
      <c r="C25" s="37">
        <f>8500000+11550000+4539520+6600000+6431000+8656200+12250000</f>
        <v>58526720</v>
      </c>
    </row>
    <row r="26" spans="2:3" ht="26.25" customHeight="1">
      <c r="B26" s="47" t="s">
        <v>83</v>
      </c>
      <c r="C26" s="37">
        <f>22784000+3597000</f>
        <v>26381000</v>
      </c>
    </row>
    <row r="27" spans="2:3" ht="12.75" customHeight="1">
      <c r="B27" s="47" t="s">
        <v>54</v>
      </c>
      <c r="C27" s="37">
        <v>58482000</v>
      </c>
    </row>
    <row r="28" spans="2:3" ht="12.75" customHeight="1">
      <c r="B28" s="47" t="s">
        <v>53</v>
      </c>
      <c r="C28" s="37">
        <v>88945076</v>
      </c>
    </row>
    <row r="29" spans="2:3" ht="12.75" customHeight="1">
      <c r="B29" s="47" t="s">
        <v>203</v>
      </c>
      <c r="C29" s="37">
        <v>8838000</v>
      </c>
    </row>
    <row r="30" spans="2:3" ht="12.75" customHeight="1">
      <c r="B30" s="47" t="s">
        <v>204</v>
      </c>
      <c r="C30" s="37">
        <v>6584600</v>
      </c>
    </row>
    <row r="31" spans="2:3" ht="12.75" customHeight="1">
      <c r="B31" s="47" t="s">
        <v>205</v>
      </c>
      <c r="C31" s="37">
        <v>7486000</v>
      </c>
    </row>
    <row r="32" spans="2:3" ht="12.75" customHeight="1">
      <c r="B32" s="51" t="s">
        <v>55</v>
      </c>
      <c r="C32" s="52">
        <f>SUM(C33:C34)</f>
        <v>43309090</v>
      </c>
    </row>
    <row r="33" spans="2:3" ht="12.75" customHeight="1">
      <c r="B33" s="47" t="s">
        <v>60</v>
      </c>
      <c r="C33" s="37">
        <v>13829090</v>
      </c>
    </row>
    <row r="34" spans="2:3" ht="12.75" customHeight="1">
      <c r="B34" s="47" t="s">
        <v>43</v>
      </c>
      <c r="C34" s="37">
        <v>29480000</v>
      </c>
    </row>
    <row r="35" spans="2:3" ht="12.75" customHeight="1">
      <c r="B35" s="51" t="s">
        <v>51</v>
      </c>
      <c r="C35" s="52">
        <v>-41507133</v>
      </c>
    </row>
    <row r="36" spans="2:3" s="59" customFormat="1" ht="16.5" customHeight="1">
      <c r="B36" s="62" t="s">
        <v>39</v>
      </c>
      <c r="C36" s="63">
        <f>C6+C18+C22+C32</f>
        <v>828336315</v>
      </c>
    </row>
    <row r="37" spans="1:4" ht="17.25" customHeight="1">
      <c r="A37" s="405" t="s">
        <v>209</v>
      </c>
      <c r="B37" s="405"/>
      <c r="C37" s="405"/>
      <c r="D37" s="405"/>
    </row>
    <row r="38" spans="1:4" ht="10.5" customHeight="1">
      <c r="A38" s="70"/>
      <c r="B38" s="70"/>
      <c r="C38" s="70"/>
      <c r="D38" s="70"/>
    </row>
    <row r="39" spans="1:4" s="60" customFormat="1" ht="17.25" customHeight="1">
      <c r="A39" s="55"/>
      <c r="B39" s="64" t="s">
        <v>50</v>
      </c>
      <c r="C39" s="65">
        <f>C38</f>
        <v>0</v>
      </c>
      <c r="D39" s="55"/>
    </row>
    <row r="40" spans="1:4" ht="8.25" customHeight="1">
      <c r="A40" s="55"/>
      <c r="B40" s="55"/>
      <c r="C40" s="55"/>
      <c r="D40" s="55"/>
    </row>
    <row r="41" spans="1:3" s="41" customFormat="1" ht="18" customHeight="1">
      <c r="A41" s="66"/>
      <c r="B41" s="66" t="s">
        <v>208</v>
      </c>
      <c r="C41" s="67">
        <f>C39+C36</f>
        <v>828336315</v>
      </c>
    </row>
    <row r="42" ht="12.75" customHeight="1"/>
    <row r="43" ht="12.75" customHeight="1">
      <c r="B43" s="56"/>
    </row>
    <row r="44" spans="2:3" s="42" customFormat="1" ht="12.75" customHeight="1">
      <c r="B44" s="57"/>
      <c r="C44" s="43"/>
    </row>
    <row r="45" spans="2:3" s="42" customFormat="1" ht="12.75" customHeight="1">
      <c r="B45" s="58"/>
      <c r="C45" s="43"/>
    </row>
    <row r="46" spans="2:3" s="42" customFormat="1" ht="12.75" customHeight="1">
      <c r="B46" s="57"/>
      <c r="C46" s="43"/>
    </row>
    <row r="47" ht="12.75" customHeight="1"/>
  </sheetData>
  <sheetProtection/>
  <mergeCells count="2">
    <mergeCell ref="A3:C3"/>
    <mergeCell ref="A37:D37"/>
  </mergeCells>
  <printOptions/>
  <pageMargins left="0.984251968503937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zoomScale="96" zoomScaleNormal="96" zoomScaleSheetLayoutView="100" zoomScalePageLayoutView="0" workbookViewId="0" topLeftCell="A1">
      <pane xSplit="1" ySplit="3" topLeftCell="B40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A1" sqref="A1"/>
    </sheetView>
  </sheetViews>
  <sheetFormatPr defaultColWidth="9.00390625" defaultRowHeight="12.75"/>
  <cols>
    <col min="1" max="1" width="51.375" style="3" customWidth="1"/>
    <col min="2" max="16" width="15.125" style="3" customWidth="1"/>
    <col min="17" max="17" width="15.125" style="139" customWidth="1"/>
    <col min="18" max="18" width="15.125" style="3" customWidth="1"/>
    <col min="19" max="19" width="15.125" style="137" customWidth="1"/>
    <col min="20" max="20" width="16.00390625" style="3" customWidth="1"/>
    <col min="21" max="21" width="13.375" style="3" bestFit="1" customWidth="1"/>
    <col min="22" max="22" width="11.25390625" style="3" bestFit="1" customWidth="1"/>
    <col min="23" max="23" width="12.875" style="3" customWidth="1"/>
    <col min="24" max="24" width="0.6171875" style="3" customWidth="1"/>
    <col min="25" max="16384" width="9.125" style="3" customWidth="1"/>
  </cols>
  <sheetData>
    <row r="1" ht="15.75">
      <c r="A1" s="127" t="s">
        <v>333</v>
      </c>
    </row>
    <row r="2" ht="16.5" thickBot="1">
      <c r="A2" s="133" t="s">
        <v>227</v>
      </c>
    </row>
    <row r="3" spans="1:23" s="131" customFormat="1" ht="94.5" customHeight="1" thickBot="1">
      <c r="A3" s="136" t="s">
        <v>225</v>
      </c>
      <c r="B3" s="229" t="s">
        <v>56</v>
      </c>
      <c r="C3" s="230" t="s">
        <v>144</v>
      </c>
      <c r="D3" s="231" t="s">
        <v>67</v>
      </c>
      <c r="E3" s="232" t="s">
        <v>164</v>
      </c>
      <c r="F3" s="271" t="s">
        <v>224</v>
      </c>
      <c r="G3" s="271" t="s">
        <v>215</v>
      </c>
      <c r="H3" s="271" t="s">
        <v>216</v>
      </c>
      <c r="I3" s="271" t="s">
        <v>217</v>
      </c>
      <c r="J3" s="271" t="s">
        <v>218</v>
      </c>
      <c r="K3" s="271" t="s">
        <v>219</v>
      </c>
      <c r="L3" s="272" t="s">
        <v>220</v>
      </c>
      <c r="M3" s="272" t="s">
        <v>221</v>
      </c>
      <c r="N3" s="272" t="s">
        <v>222</v>
      </c>
      <c r="O3" s="272" t="s">
        <v>223</v>
      </c>
      <c r="P3" s="232" t="s">
        <v>40</v>
      </c>
      <c r="Q3" s="203" t="s">
        <v>16</v>
      </c>
      <c r="R3" s="130" t="s">
        <v>35</v>
      </c>
      <c r="S3" s="213" t="s">
        <v>151</v>
      </c>
      <c r="T3" s="171" t="s">
        <v>159</v>
      </c>
      <c r="U3" s="172" t="s">
        <v>160</v>
      </c>
      <c r="V3" s="173" t="s">
        <v>162</v>
      </c>
      <c r="W3" s="174" t="s">
        <v>163</v>
      </c>
    </row>
    <row r="4" spans="1:24" s="10" customFormat="1" ht="26.25" customHeight="1">
      <c r="A4" s="69" t="s">
        <v>124</v>
      </c>
      <c r="B4" s="79">
        <f aca="true" t="shared" si="0" ref="B4:J4">B5+B6</f>
        <v>0</v>
      </c>
      <c r="C4" s="79">
        <f t="shared" si="0"/>
        <v>0</v>
      </c>
      <c r="D4" s="79">
        <f t="shared" si="0"/>
        <v>0</v>
      </c>
      <c r="E4" s="79">
        <f t="shared" si="0"/>
        <v>38220000</v>
      </c>
      <c r="F4" s="79">
        <f t="shared" si="0"/>
        <v>0</v>
      </c>
      <c r="G4" s="79">
        <f t="shared" si="0"/>
        <v>0</v>
      </c>
      <c r="H4" s="79">
        <f t="shared" si="0"/>
        <v>0</v>
      </c>
      <c r="I4" s="79">
        <f t="shared" si="0"/>
        <v>0</v>
      </c>
      <c r="J4" s="79">
        <f t="shared" si="0"/>
        <v>0</v>
      </c>
      <c r="K4" s="284">
        <f aca="true" t="shared" si="1" ref="K4:K22">F4+G4+H4+I4+J4</f>
        <v>0</v>
      </c>
      <c r="L4" s="79">
        <f>L5+L6</f>
        <v>0</v>
      </c>
      <c r="M4" s="79">
        <f>M5+M6</f>
        <v>0</v>
      </c>
      <c r="N4" s="79">
        <f>N5+N6</f>
        <v>0</v>
      </c>
      <c r="O4" s="300">
        <f aca="true" t="shared" si="2" ref="O4:O22">L4+M4+N4</f>
        <v>0</v>
      </c>
      <c r="P4" s="79">
        <f>P5+P6</f>
        <v>0</v>
      </c>
      <c r="Q4" s="204">
        <f aca="true" t="shared" si="3" ref="Q4:Q22">B4+C4+D4+E4+K4+O4+P4</f>
        <v>38220000</v>
      </c>
      <c r="R4" s="79">
        <f>R5+R6</f>
        <v>852758777</v>
      </c>
      <c r="S4" s="214">
        <f aca="true" t="shared" si="4" ref="S4:S22">SUM(Q4:R4)</f>
        <v>890978777</v>
      </c>
      <c r="T4" s="79">
        <f aca="true" t="shared" si="5" ref="T4:T14">S4</f>
        <v>890978777</v>
      </c>
      <c r="U4" s="177">
        <f>U5+U6</f>
        <v>890263427</v>
      </c>
      <c r="V4" s="78">
        <f>V5+V6</f>
        <v>715350</v>
      </c>
      <c r="W4" s="79">
        <f>W5+W6</f>
        <v>0</v>
      </c>
      <c r="X4" s="27">
        <f aca="true" t="shared" si="6" ref="X4:X50">SUM(U4:W4)</f>
        <v>890978777</v>
      </c>
    </row>
    <row r="5" spans="1:24" s="10" customFormat="1" ht="13.5">
      <c r="A5" s="102" t="s">
        <v>121</v>
      </c>
      <c r="B5" s="92"/>
      <c r="C5" s="92"/>
      <c r="D5" s="92"/>
      <c r="E5" s="92"/>
      <c r="F5" s="92"/>
      <c r="G5" s="92"/>
      <c r="H5" s="92"/>
      <c r="I5" s="92"/>
      <c r="J5" s="92"/>
      <c r="K5" s="285">
        <f t="shared" si="1"/>
        <v>0</v>
      </c>
      <c r="L5" s="92"/>
      <c r="M5" s="92"/>
      <c r="N5" s="92"/>
      <c r="O5" s="301">
        <f t="shared" si="2"/>
        <v>0</v>
      </c>
      <c r="P5" s="92"/>
      <c r="Q5" s="205">
        <f t="shared" si="3"/>
        <v>0</v>
      </c>
      <c r="R5" s="92">
        <v>828336315</v>
      </c>
      <c r="S5" s="215">
        <f t="shared" si="4"/>
        <v>828336315</v>
      </c>
      <c r="T5" s="92">
        <f t="shared" si="5"/>
        <v>828336315</v>
      </c>
      <c r="U5" s="178">
        <v>828336315</v>
      </c>
      <c r="V5" s="94"/>
      <c r="W5" s="92"/>
      <c r="X5" s="27">
        <f t="shared" si="6"/>
        <v>828336315</v>
      </c>
    </row>
    <row r="6" spans="1:24" s="10" customFormat="1" ht="13.5">
      <c r="A6" s="102" t="s">
        <v>145</v>
      </c>
      <c r="B6" s="92"/>
      <c r="C6" s="92"/>
      <c r="D6" s="92"/>
      <c r="E6" s="92">
        <v>38220000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285">
        <f t="shared" si="1"/>
        <v>0</v>
      </c>
      <c r="L6" s="92">
        <v>0</v>
      </c>
      <c r="M6" s="92">
        <v>0</v>
      </c>
      <c r="N6" s="92">
        <v>0</v>
      </c>
      <c r="O6" s="301">
        <f t="shared" si="2"/>
        <v>0</v>
      </c>
      <c r="P6" s="92"/>
      <c r="Q6" s="205">
        <f t="shared" si="3"/>
        <v>38220000</v>
      </c>
      <c r="R6" s="92">
        <f>852758777-R5</f>
        <v>24422462</v>
      </c>
      <c r="S6" s="215">
        <f t="shared" si="4"/>
        <v>62642462</v>
      </c>
      <c r="T6" s="92">
        <f t="shared" si="5"/>
        <v>62642462</v>
      </c>
      <c r="U6" s="178">
        <f>24422462+38220000-715350</f>
        <v>61927112</v>
      </c>
      <c r="V6" s="94">
        <v>715350</v>
      </c>
      <c r="W6" s="92"/>
      <c r="X6" s="27">
        <f t="shared" si="6"/>
        <v>62642462</v>
      </c>
    </row>
    <row r="7" spans="1:24" s="10" customFormat="1" ht="13.5">
      <c r="A7" s="81" t="s">
        <v>69</v>
      </c>
      <c r="B7" s="21"/>
      <c r="C7" s="21"/>
      <c r="D7" s="21"/>
      <c r="E7" s="21"/>
      <c r="F7" s="21"/>
      <c r="G7" s="21"/>
      <c r="H7" s="21"/>
      <c r="I7" s="21"/>
      <c r="J7" s="21"/>
      <c r="K7" s="286">
        <f t="shared" si="1"/>
        <v>0</v>
      </c>
      <c r="L7" s="21"/>
      <c r="M7" s="21"/>
      <c r="N7" s="21"/>
      <c r="O7" s="302">
        <f t="shared" si="2"/>
        <v>0</v>
      </c>
      <c r="P7" s="21"/>
      <c r="Q7" s="205">
        <f t="shared" si="3"/>
        <v>0</v>
      </c>
      <c r="R7" s="21">
        <v>489859309</v>
      </c>
      <c r="S7" s="215">
        <f t="shared" si="4"/>
        <v>489859309</v>
      </c>
      <c r="T7" s="21">
        <f t="shared" si="5"/>
        <v>489859309</v>
      </c>
      <c r="U7" s="179">
        <v>489859309</v>
      </c>
      <c r="V7" s="77"/>
      <c r="W7" s="21"/>
      <c r="X7" s="27">
        <f t="shared" si="6"/>
        <v>489859309</v>
      </c>
    </row>
    <row r="8" spans="1:24" s="10" customFormat="1" ht="13.5">
      <c r="A8" s="81" t="s">
        <v>70</v>
      </c>
      <c r="B8" s="21">
        <v>1500000</v>
      </c>
      <c r="C8" s="21">
        <v>80740000</v>
      </c>
      <c r="D8" s="21">
        <v>4000000</v>
      </c>
      <c r="E8" s="21">
        <v>56233710</v>
      </c>
      <c r="F8" s="21">
        <v>450000</v>
      </c>
      <c r="G8" s="21"/>
      <c r="H8" s="21">
        <v>472000</v>
      </c>
      <c r="I8" s="21"/>
      <c r="J8" s="21"/>
      <c r="K8" s="286">
        <f t="shared" si="1"/>
        <v>922000</v>
      </c>
      <c r="L8" s="21">
        <v>1400000</v>
      </c>
      <c r="M8" s="21">
        <v>150000</v>
      </c>
      <c r="N8" s="21">
        <v>61600</v>
      </c>
      <c r="O8" s="302">
        <f t="shared" si="2"/>
        <v>1611600</v>
      </c>
      <c r="P8" s="21">
        <v>1700000</v>
      </c>
      <c r="Q8" s="205">
        <f t="shared" si="3"/>
        <v>146707310</v>
      </c>
      <c r="R8" s="21">
        <v>111297880</v>
      </c>
      <c r="S8" s="215">
        <f t="shared" si="4"/>
        <v>258005190</v>
      </c>
      <c r="T8" s="21">
        <f t="shared" si="5"/>
        <v>258005190</v>
      </c>
      <c r="U8" s="179">
        <v>222455190</v>
      </c>
      <c r="V8" s="77">
        <v>35550000</v>
      </c>
      <c r="W8" s="21"/>
      <c r="X8" s="27">
        <f t="shared" si="6"/>
        <v>258005190</v>
      </c>
    </row>
    <row r="9" spans="1:24" s="10" customFormat="1" ht="14.25" thickBot="1">
      <c r="A9" s="84" t="s">
        <v>72</v>
      </c>
      <c r="B9" s="83"/>
      <c r="C9" s="83">
        <v>28095435</v>
      </c>
      <c r="D9" s="83"/>
      <c r="E9" s="83"/>
      <c r="F9" s="83"/>
      <c r="G9" s="83"/>
      <c r="H9" s="83"/>
      <c r="I9" s="83"/>
      <c r="J9" s="83"/>
      <c r="K9" s="287">
        <f t="shared" si="1"/>
        <v>0</v>
      </c>
      <c r="L9" s="83"/>
      <c r="M9" s="83"/>
      <c r="N9" s="83"/>
      <c r="O9" s="303">
        <f t="shared" si="2"/>
        <v>0</v>
      </c>
      <c r="P9" s="83"/>
      <c r="Q9" s="205">
        <f t="shared" si="3"/>
        <v>28095435</v>
      </c>
      <c r="R9" s="83"/>
      <c r="S9" s="216">
        <f t="shared" si="4"/>
        <v>28095435</v>
      </c>
      <c r="T9" s="83">
        <f t="shared" si="5"/>
        <v>28095435</v>
      </c>
      <c r="U9" s="180"/>
      <c r="V9" s="85">
        <v>28095438</v>
      </c>
      <c r="W9" s="83"/>
      <c r="X9" s="27">
        <f t="shared" si="6"/>
        <v>28095438</v>
      </c>
    </row>
    <row r="10" spans="1:24" s="12" customFormat="1" ht="14.25" thickBot="1">
      <c r="A10" s="86" t="s">
        <v>106</v>
      </c>
      <c r="B10" s="23">
        <f aca="true" t="shared" si="7" ref="B10:J10">B4+B7+B8+B9</f>
        <v>1500000</v>
      </c>
      <c r="C10" s="23">
        <f t="shared" si="7"/>
        <v>108835435</v>
      </c>
      <c r="D10" s="23">
        <f t="shared" si="7"/>
        <v>4000000</v>
      </c>
      <c r="E10" s="23">
        <f t="shared" si="7"/>
        <v>94453710</v>
      </c>
      <c r="F10" s="23">
        <f t="shared" si="7"/>
        <v>450000</v>
      </c>
      <c r="G10" s="23">
        <f t="shared" si="7"/>
        <v>0</v>
      </c>
      <c r="H10" s="23">
        <f t="shared" si="7"/>
        <v>472000</v>
      </c>
      <c r="I10" s="23">
        <f t="shared" si="7"/>
        <v>0</v>
      </c>
      <c r="J10" s="23">
        <f t="shared" si="7"/>
        <v>0</v>
      </c>
      <c r="K10" s="288">
        <f t="shared" si="1"/>
        <v>922000</v>
      </c>
      <c r="L10" s="23">
        <f>L4+L7+L8+L9</f>
        <v>1400000</v>
      </c>
      <c r="M10" s="23">
        <f>M4+M7+M8+M9</f>
        <v>150000</v>
      </c>
      <c r="N10" s="23">
        <f>N4+N7+N8+N9</f>
        <v>61600</v>
      </c>
      <c r="O10" s="304">
        <f t="shared" si="2"/>
        <v>1611600</v>
      </c>
      <c r="P10" s="23">
        <f>P4+P7+P8+P9</f>
        <v>1700000</v>
      </c>
      <c r="Q10" s="206">
        <f t="shared" si="3"/>
        <v>213022745</v>
      </c>
      <c r="R10" s="23">
        <f>R4+R7+R8+R9</f>
        <v>1453915966</v>
      </c>
      <c r="S10" s="217">
        <f t="shared" si="4"/>
        <v>1666938711</v>
      </c>
      <c r="T10" s="23">
        <f t="shared" si="5"/>
        <v>1666938711</v>
      </c>
      <c r="U10" s="181">
        <f>U4+U7+U8+U9</f>
        <v>1602577926</v>
      </c>
      <c r="V10" s="182">
        <f>V4+V7+V8+V9</f>
        <v>64360788</v>
      </c>
      <c r="W10" s="23">
        <f>W4+W7+W8+W9</f>
        <v>0</v>
      </c>
      <c r="X10" s="27">
        <f t="shared" si="6"/>
        <v>1666938714</v>
      </c>
    </row>
    <row r="11" spans="1:24" s="10" customFormat="1" ht="13.5">
      <c r="A11" s="69" t="s">
        <v>85</v>
      </c>
      <c r="B11" s="20">
        <f aca="true" t="shared" si="8" ref="B11:J11">B12+B13</f>
        <v>0</v>
      </c>
      <c r="C11" s="20">
        <f t="shared" si="8"/>
        <v>0</v>
      </c>
      <c r="D11" s="20">
        <f t="shared" si="8"/>
        <v>0</v>
      </c>
      <c r="E11" s="20">
        <f t="shared" si="8"/>
        <v>0</v>
      </c>
      <c r="F11" s="20">
        <f t="shared" si="8"/>
        <v>0</v>
      </c>
      <c r="G11" s="20">
        <f t="shared" si="8"/>
        <v>0</v>
      </c>
      <c r="H11" s="20">
        <f t="shared" si="8"/>
        <v>0</v>
      </c>
      <c r="I11" s="20">
        <f t="shared" si="8"/>
        <v>0</v>
      </c>
      <c r="J11" s="20">
        <f t="shared" si="8"/>
        <v>0</v>
      </c>
      <c r="K11" s="289">
        <f t="shared" si="1"/>
        <v>0</v>
      </c>
      <c r="L11" s="20">
        <f>L12+L13</f>
        <v>0</v>
      </c>
      <c r="M11" s="20">
        <f>M12+M13</f>
        <v>0</v>
      </c>
      <c r="N11" s="20">
        <f>N12+N13</f>
        <v>0</v>
      </c>
      <c r="O11" s="305">
        <f t="shared" si="2"/>
        <v>0</v>
      </c>
      <c r="P11" s="20">
        <f>P12+P13</f>
        <v>0</v>
      </c>
      <c r="Q11" s="207">
        <f t="shared" si="3"/>
        <v>0</v>
      </c>
      <c r="R11" s="20">
        <f>R12+R13</f>
        <v>41720075</v>
      </c>
      <c r="S11" s="218">
        <f t="shared" si="4"/>
        <v>41720075</v>
      </c>
      <c r="T11" s="97">
        <f t="shared" si="5"/>
        <v>41720075</v>
      </c>
      <c r="U11" s="400">
        <f>U12+U13</f>
        <v>120075</v>
      </c>
      <c r="V11" s="78">
        <f>V12+V13</f>
        <v>41600000</v>
      </c>
      <c r="W11" s="20"/>
      <c r="X11" s="27">
        <f t="shared" si="6"/>
        <v>41720075</v>
      </c>
    </row>
    <row r="12" spans="1:24" s="10" customFormat="1" ht="13.5">
      <c r="A12" s="91" t="s">
        <v>103</v>
      </c>
      <c r="B12" s="97"/>
      <c r="C12" s="97"/>
      <c r="D12" s="97"/>
      <c r="E12" s="97"/>
      <c r="F12" s="97"/>
      <c r="G12" s="97"/>
      <c r="H12" s="97"/>
      <c r="I12" s="97"/>
      <c r="J12" s="97"/>
      <c r="K12" s="290">
        <f t="shared" si="1"/>
        <v>0</v>
      </c>
      <c r="L12" s="97"/>
      <c r="M12" s="97"/>
      <c r="N12" s="97"/>
      <c r="O12" s="306">
        <f t="shared" si="2"/>
        <v>0</v>
      </c>
      <c r="P12" s="97"/>
      <c r="Q12" s="207">
        <f t="shared" si="3"/>
        <v>0</v>
      </c>
      <c r="R12" s="97">
        <v>41600000</v>
      </c>
      <c r="S12" s="218">
        <f t="shared" si="4"/>
        <v>41600000</v>
      </c>
      <c r="T12" s="97">
        <f t="shared" si="5"/>
        <v>41600000</v>
      </c>
      <c r="U12" s="185"/>
      <c r="V12" s="186">
        <v>41600000</v>
      </c>
      <c r="W12" s="97"/>
      <c r="X12" s="27">
        <f t="shared" si="6"/>
        <v>41600000</v>
      </c>
    </row>
    <row r="13" spans="1:24" s="10" customFormat="1" ht="13.5">
      <c r="A13" s="91" t="s">
        <v>304</v>
      </c>
      <c r="B13" s="97"/>
      <c r="C13" s="97"/>
      <c r="D13" s="97"/>
      <c r="E13" s="97"/>
      <c r="F13" s="97"/>
      <c r="G13" s="97"/>
      <c r="H13" s="97"/>
      <c r="I13" s="97"/>
      <c r="J13" s="97"/>
      <c r="K13" s="290">
        <f t="shared" si="1"/>
        <v>0</v>
      </c>
      <c r="L13" s="97"/>
      <c r="M13" s="97"/>
      <c r="N13" s="97"/>
      <c r="O13" s="306">
        <f t="shared" si="2"/>
        <v>0</v>
      </c>
      <c r="P13" s="97"/>
      <c r="Q13" s="207">
        <f t="shared" si="3"/>
        <v>0</v>
      </c>
      <c r="R13" s="97">
        <v>120075</v>
      </c>
      <c r="S13" s="218">
        <f t="shared" si="4"/>
        <v>120075</v>
      </c>
      <c r="T13" s="97">
        <f t="shared" si="5"/>
        <v>120075</v>
      </c>
      <c r="U13" s="185">
        <v>120075</v>
      </c>
      <c r="V13" s="186"/>
      <c r="W13" s="97"/>
      <c r="X13" s="27">
        <f t="shared" si="6"/>
        <v>120075</v>
      </c>
    </row>
    <row r="14" spans="1:24" s="10" customFormat="1" ht="13.5">
      <c r="A14" s="81" t="s">
        <v>71</v>
      </c>
      <c r="B14" s="21"/>
      <c r="C14" s="21"/>
      <c r="D14" s="21"/>
      <c r="E14" s="21"/>
      <c r="F14" s="21"/>
      <c r="G14" s="21"/>
      <c r="H14" s="21"/>
      <c r="I14" s="21"/>
      <c r="J14" s="21"/>
      <c r="K14" s="286">
        <f t="shared" si="1"/>
        <v>0</v>
      </c>
      <c r="L14" s="21"/>
      <c r="M14" s="21"/>
      <c r="N14" s="21"/>
      <c r="O14" s="302">
        <f t="shared" si="2"/>
        <v>0</v>
      </c>
      <c r="P14" s="21"/>
      <c r="Q14" s="207">
        <f t="shared" si="3"/>
        <v>0</v>
      </c>
      <c r="R14" s="21">
        <v>205340627</v>
      </c>
      <c r="S14" s="215">
        <f t="shared" si="4"/>
        <v>205340627</v>
      </c>
      <c r="T14" s="21">
        <f t="shared" si="5"/>
        <v>205340627</v>
      </c>
      <c r="U14" s="179">
        <v>205340627</v>
      </c>
      <c r="V14" s="77"/>
      <c r="W14" s="21"/>
      <c r="X14" s="27">
        <f t="shared" si="6"/>
        <v>205340627</v>
      </c>
    </row>
    <row r="15" spans="1:24" s="10" customFormat="1" ht="13.5">
      <c r="A15" s="81" t="s">
        <v>62</v>
      </c>
      <c r="B15" s="21">
        <f aca="true" t="shared" si="9" ref="B15:J15">SUM(B16:B17)</f>
        <v>0</v>
      </c>
      <c r="C15" s="21">
        <f t="shared" si="9"/>
        <v>1478431</v>
      </c>
      <c r="D15" s="21">
        <f t="shared" si="9"/>
        <v>0</v>
      </c>
      <c r="E15" s="21">
        <f t="shared" si="9"/>
        <v>0</v>
      </c>
      <c r="F15" s="21">
        <f t="shared" si="9"/>
        <v>0</v>
      </c>
      <c r="G15" s="21">
        <f t="shared" si="9"/>
        <v>0</v>
      </c>
      <c r="H15" s="21">
        <f t="shared" si="9"/>
        <v>0</v>
      </c>
      <c r="I15" s="21">
        <f t="shared" si="9"/>
        <v>0</v>
      </c>
      <c r="J15" s="21">
        <f t="shared" si="9"/>
        <v>0</v>
      </c>
      <c r="K15" s="286">
        <f t="shared" si="1"/>
        <v>0</v>
      </c>
      <c r="L15" s="21">
        <f>SUM(L16:L17)</f>
        <v>0</v>
      </c>
      <c r="M15" s="21">
        <f>SUM(M16:M17)</f>
        <v>0</v>
      </c>
      <c r="N15" s="21">
        <f>SUM(N16:N17)</f>
        <v>0</v>
      </c>
      <c r="O15" s="302">
        <f t="shared" si="2"/>
        <v>0</v>
      </c>
      <c r="P15" s="21">
        <f>SUM(P16:P17)</f>
        <v>0</v>
      </c>
      <c r="Q15" s="205">
        <f t="shared" si="3"/>
        <v>1478431</v>
      </c>
      <c r="R15" s="21">
        <f>SUM(R16:R17)</f>
        <v>12815928</v>
      </c>
      <c r="S15" s="215">
        <f t="shared" si="4"/>
        <v>14294359</v>
      </c>
      <c r="T15" s="21">
        <f>T16+T17</f>
        <v>14294359</v>
      </c>
      <c r="U15" s="179">
        <f>SUM(U16:U17)</f>
        <v>9166147</v>
      </c>
      <c r="V15" s="77">
        <f>SUM(V16:V17)</f>
        <v>5128212</v>
      </c>
      <c r="W15" s="21">
        <f>SUM(W16:W17)</f>
        <v>0</v>
      </c>
      <c r="X15" s="27">
        <f t="shared" si="6"/>
        <v>14294359</v>
      </c>
    </row>
    <row r="16" spans="1:24" s="10" customFormat="1" ht="13.5">
      <c r="A16" s="101" t="s">
        <v>152</v>
      </c>
      <c r="B16" s="92"/>
      <c r="C16" s="92"/>
      <c r="D16" s="92"/>
      <c r="E16" s="92"/>
      <c r="F16" s="92"/>
      <c r="G16" s="92"/>
      <c r="H16" s="92"/>
      <c r="I16" s="92"/>
      <c r="J16" s="92"/>
      <c r="K16" s="285">
        <f t="shared" si="1"/>
        <v>0</v>
      </c>
      <c r="L16" s="92"/>
      <c r="M16" s="92"/>
      <c r="N16" s="92"/>
      <c r="O16" s="301">
        <f t="shared" si="2"/>
        <v>0</v>
      </c>
      <c r="P16" s="92"/>
      <c r="Q16" s="205">
        <f t="shared" si="3"/>
        <v>0</v>
      </c>
      <c r="R16" s="92">
        <v>12815928</v>
      </c>
      <c r="S16" s="215">
        <f t="shared" si="4"/>
        <v>12815928</v>
      </c>
      <c r="T16" s="92">
        <f>S16</f>
        <v>12815928</v>
      </c>
      <c r="U16" s="178">
        <v>7687716</v>
      </c>
      <c r="V16" s="94">
        <v>5128212</v>
      </c>
      <c r="W16" s="92"/>
      <c r="X16" s="27">
        <f t="shared" si="6"/>
        <v>12815928</v>
      </c>
    </row>
    <row r="17" spans="1:24" s="10" customFormat="1" ht="14.25" thickBot="1">
      <c r="A17" s="101" t="s">
        <v>153</v>
      </c>
      <c r="B17" s="96"/>
      <c r="C17" s="96">
        <v>1478431</v>
      </c>
      <c r="D17" s="96"/>
      <c r="E17" s="96"/>
      <c r="F17" s="96"/>
      <c r="G17" s="96"/>
      <c r="H17" s="96"/>
      <c r="I17" s="96"/>
      <c r="J17" s="96"/>
      <c r="K17" s="291">
        <f t="shared" si="1"/>
        <v>0</v>
      </c>
      <c r="L17" s="96"/>
      <c r="M17" s="96"/>
      <c r="N17" s="96"/>
      <c r="O17" s="307">
        <f t="shared" si="2"/>
        <v>0</v>
      </c>
      <c r="P17" s="96"/>
      <c r="Q17" s="205">
        <f t="shared" si="3"/>
        <v>1478431</v>
      </c>
      <c r="R17" s="96"/>
      <c r="S17" s="216">
        <f t="shared" si="4"/>
        <v>1478431</v>
      </c>
      <c r="T17" s="92">
        <f>S17</f>
        <v>1478431</v>
      </c>
      <c r="U17" s="187">
        <v>1478431</v>
      </c>
      <c r="V17" s="188">
        <v>0</v>
      </c>
      <c r="W17" s="96"/>
      <c r="X17" s="27">
        <f t="shared" si="6"/>
        <v>1478431</v>
      </c>
    </row>
    <row r="18" spans="1:24" s="12" customFormat="1" ht="14.25" customHeight="1" thickBot="1">
      <c r="A18" s="86" t="s">
        <v>107</v>
      </c>
      <c r="B18" s="23">
        <f aca="true" t="shared" si="10" ref="B18:J18">B15+B14+B11</f>
        <v>0</v>
      </c>
      <c r="C18" s="23">
        <f t="shared" si="10"/>
        <v>1478431</v>
      </c>
      <c r="D18" s="23">
        <f t="shared" si="10"/>
        <v>0</v>
      </c>
      <c r="E18" s="23">
        <f t="shared" si="10"/>
        <v>0</v>
      </c>
      <c r="F18" s="23">
        <f t="shared" si="10"/>
        <v>0</v>
      </c>
      <c r="G18" s="23">
        <f t="shared" si="10"/>
        <v>0</v>
      </c>
      <c r="H18" s="23">
        <f t="shared" si="10"/>
        <v>0</v>
      </c>
      <c r="I18" s="23">
        <f t="shared" si="10"/>
        <v>0</v>
      </c>
      <c r="J18" s="23">
        <f t="shared" si="10"/>
        <v>0</v>
      </c>
      <c r="K18" s="288">
        <f t="shared" si="1"/>
        <v>0</v>
      </c>
      <c r="L18" s="23">
        <f>L15+L14+L11</f>
        <v>0</v>
      </c>
      <c r="M18" s="23">
        <f>M15+M14+M11</f>
        <v>0</v>
      </c>
      <c r="N18" s="23">
        <f>N15+N14+N11</f>
        <v>0</v>
      </c>
      <c r="O18" s="304">
        <f t="shared" si="2"/>
        <v>0</v>
      </c>
      <c r="P18" s="23">
        <f>P15+P14+P11</f>
        <v>0</v>
      </c>
      <c r="Q18" s="206">
        <f t="shared" si="3"/>
        <v>1478431</v>
      </c>
      <c r="R18" s="23">
        <f>R15+R14+R11</f>
        <v>259876630</v>
      </c>
      <c r="S18" s="217">
        <f t="shared" si="4"/>
        <v>261355061</v>
      </c>
      <c r="T18" s="23">
        <f>T11+T14+T15</f>
        <v>261355061</v>
      </c>
      <c r="U18" s="181">
        <f>U15+U14+U11</f>
        <v>214626849</v>
      </c>
      <c r="V18" s="182">
        <f>V15+V14+V11</f>
        <v>46728212</v>
      </c>
      <c r="W18" s="23">
        <f>W15+W14+W11</f>
        <v>0</v>
      </c>
      <c r="X18" s="27">
        <f t="shared" si="6"/>
        <v>261355061</v>
      </c>
    </row>
    <row r="19" spans="1:24" s="12" customFormat="1" ht="15.75" customHeight="1" thickBot="1">
      <c r="A19" s="88" t="s">
        <v>105</v>
      </c>
      <c r="B19" s="87">
        <f aca="true" t="shared" si="11" ref="B19:J19">B18+B10</f>
        <v>1500000</v>
      </c>
      <c r="C19" s="87">
        <f t="shared" si="11"/>
        <v>110313866</v>
      </c>
      <c r="D19" s="87">
        <f t="shared" si="11"/>
        <v>4000000</v>
      </c>
      <c r="E19" s="87">
        <f t="shared" si="11"/>
        <v>94453710</v>
      </c>
      <c r="F19" s="87">
        <f t="shared" si="11"/>
        <v>450000</v>
      </c>
      <c r="G19" s="87">
        <f t="shared" si="11"/>
        <v>0</v>
      </c>
      <c r="H19" s="87">
        <f t="shared" si="11"/>
        <v>472000</v>
      </c>
      <c r="I19" s="87">
        <f t="shared" si="11"/>
        <v>0</v>
      </c>
      <c r="J19" s="87">
        <f t="shared" si="11"/>
        <v>0</v>
      </c>
      <c r="K19" s="292">
        <f t="shared" si="1"/>
        <v>922000</v>
      </c>
      <c r="L19" s="87">
        <f>L18+L10</f>
        <v>1400000</v>
      </c>
      <c r="M19" s="87">
        <f>M18+M10</f>
        <v>150000</v>
      </c>
      <c r="N19" s="87">
        <f>N18+N10</f>
        <v>61600</v>
      </c>
      <c r="O19" s="308">
        <f t="shared" si="2"/>
        <v>1611600</v>
      </c>
      <c r="P19" s="87">
        <f>P18+P10</f>
        <v>1700000</v>
      </c>
      <c r="Q19" s="208">
        <f t="shared" si="3"/>
        <v>214501176</v>
      </c>
      <c r="R19" s="87">
        <f>R18+R10</f>
        <v>1713792596</v>
      </c>
      <c r="S19" s="219">
        <f t="shared" si="4"/>
        <v>1928293772</v>
      </c>
      <c r="T19" s="87">
        <f>S19</f>
        <v>1928293772</v>
      </c>
      <c r="U19" s="189">
        <f>U18+U10</f>
        <v>1817204775</v>
      </c>
      <c r="V19" s="190">
        <f>V18+V10</f>
        <v>111089000</v>
      </c>
      <c r="W19" s="87">
        <f>W18+W10</f>
        <v>0</v>
      </c>
      <c r="X19" s="27">
        <f t="shared" si="6"/>
        <v>1928293775</v>
      </c>
    </row>
    <row r="20" spans="1:24" s="10" customFormat="1" ht="13.5">
      <c r="A20" s="89" t="s">
        <v>68</v>
      </c>
      <c r="B20" s="79">
        <f aca="true" t="shared" si="12" ref="B20:J20">SUM(B21:B22)</f>
        <v>0</v>
      </c>
      <c r="C20" s="79">
        <f t="shared" si="12"/>
        <v>0</v>
      </c>
      <c r="D20" s="79">
        <f t="shared" si="12"/>
        <v>0</v>
      </c>
      <c r="E20" s="79">
        <f t="shared" si="12"/>
        <v>0</v>
      </c>
      <c r="F20" s="79">
        <f t="shared" si="12"/>
        <v>0</v>
      </c>
      <c r="G20" s="79">
        <f t="shared" si="12"/>
        <v>0</v>
      </c>
      <c r="H20" s="79">
        <f t="shared" si="12"/>
        <v>0</v>
      </c>
      <c r="I20" s="79">
        <f t="shared" si="12"/>
        <v>0</v>
      </c>
      <c r="J20" s="79">
        <f t="shared" si="12"/>
        <v>0</v>
      </c>
      <c r="K20" s="284">
        <f t="shared" si="1"/>
        <v>0</v>
      </c>
      <c r="L20" s="79">
        <f>SUM(L21:L22)</f>
        <v>0</v>
      </c>
      <c r="M20" s="79">
        <f>SUM(M21:M22)</f>
        <v>0</v>
      </c>
      <c r="N20" s="79">
        <f>SUM(N21:N22)</f>
        <v>0</v>
      </c>
      <c r="O20" s="300">
        <f t="shared" si="2"/>
        <v>0</v>
      </c>
      <c r="P20" s="79">
        <f>SUM(P21:P22)</f>
        <v>16000000</v>
      </c>
      <c r="Q20" s="204">
        <f t="shared" si="3"/>
        <v>16000000</v>
      </c>
      <c r="R20" s="79">
        <f>SUM(R21:R22)</f>
        <v>1353911367</v>
      </c>
      <c r="S20" s="214">
        <f t="shared" si="4"/>
        <v>1369911367</v>
      </c>
      <c r="T20" s="79">
        <f>S20</f>
        <v>1369911367</v>
      </c>
      <c r="U20" s="177">
        <f>SUM(U21:U22)</f>
        <v>1243096247</v>
      </c>
      <c r="V20" s="78">
        <f>SUM(V21:V22)</f>
        <v>126815120</v>
      </c>
      <c r="W20" s="79">
        <f>SUM(W21:W22)</f>
        <v>0</v>
      </c>
      <c r="X20" s="27">
        <f t="shared" si="6"/>
        <v>1369911367</v>
      </c>
    </row>
    <row r="21" spans="1:24" s="10" customFormat="1" ht="13.5">
      <c r="A21" s="91" t="s">
        <v>108</v>
      </c>
      <c r="B21" s="92"/>
      <c r="C21" s="92"/>
      <c r="D21" s="92"/>
      <c r="E21" s="92"/>
      <c r="F21" s="92"/>
      <c r="G21" s="92"/>
      <c r="H21" s="92"/>
      <c r="I21" s="92"/>
      <c r="J21" s="92"/>
      <c r="K21" s="285">
        <f t="shared" si="1"/>
        <v>0</v>
      </c>
      <c r="L21" s="92"/>
      <c r="M21" s="92"/>
      <c r="N21" s="92"/>
      <c r="O21" s="301">
        <f t="shared" si="2"/>
        <v>0</v>
      </c>
      <c r="P21" s="92">
        <v>16000000</v>
      </c>
      <c r="Q21" s="205">
        <f t="shared" si="3"/>
        <v>16000000</v>
      </c>
      <c r="R21" s="92">
        <v>213179577</v>
      </c>
      <c r="S21" s="215">
        <f t="shared" si="4"/>
        <v>229179577</v>
      </c>
      <c r="T21" s="92">
        <f>S21</f>
        <v>229179577</v>
      </c>
      <c r="U21" s="178">
        <f>227800142-V21</f>
        <v>173604794</v>
      </c>
      <c r="V21" s="94">
        <v>54195348</v>
      </c>
      <c r="W21" s="92"/>
      <c r="X21" s="27">
        <f t="shared" si="6"/>
        <v>227800142</v>
      </c>
    </row>
    <row r="22" spans="1:24" s="10" customFormat="1" ht="13.5">
      <c r="A22" s="134" t="s">
        <v>109</v>
      </c>
      <c r="B22" s="96"/>
      <c r="C22" s="96"/>
      <c r="D22" s="96"/>
      <c r="E22" s="96"/>
      <c r="F22" s="96"/>
      <c r="G22" s="96"/>
      <c r="H22" s="96"/>
      <c r="I22" s="96"/>
      <c r="J22" s="96"/>
      <c r="K22" s="291">
        <f t="shared" si="1"/>
        <v>0</v>
      </c>
      <c r="L22" s="96"/>
      <c r="M22" s="96"/>
      <c r="N22" s="96"/>
      <c r="O22" s="307">
        <f t="shared" si="2"/>
        <v>0</v>
      </c>
      <c r="P22" s="96"/>
      <c r="Q22" s="209">
        <f t="shared" si="3"/>
        <v>0</v>
      </c>
      <c r="R22" s="96">
        <v>1140731790</v>
      </c>
      <c r="S22" s="216">
        <f t="shared" si="4"/>
        <v>1140731790</v>
      </c>
      <c r="T22" s="96">
        <f>S22</f>
        <v>1140731790</v>
      </c>
      <c r="U22" s="187">
        <f>1142111225-V22</f>
        <v>1069491453</v>
      </c>
      <c r="V22" s="188">
        <v>72619772</v>
      </c>
      <c r="W22" s="96"/>
      <c r="X22" s="27">
        <f t="shared" si="6"/>
        <v>1142111225</v>
      </c>
    </row>
    <row r="23" spans="1:24" s="10" customFormat="1" ht="14.25" thickBot="1">
      <c r="A23" s="135" t="s">
        <v>150</v>
      </c>
      <c r="B23" s="22">
        <f aca="true" t="shared" si="13" ref="B23:S23">B24+B26+B25</f>
        <v>41898470</v>
      </c>
      <c r="C23" s="22">
        <f t="shared" si="13"/>
        <v>68918613</v>
      </c>
      <c r="D23" s="22">
        <f t="shared" si="13"/>
        <v>45831543</v>
      </c>
      <c r="E23" s="22">
        <f t="shared" si="13"/>
        <v>139824343</v>
      </c>
      <c r="F23" s="22">
        <f t="shared" si="13"/>
        <v>85586981</v>
      </c>
      <c r="G23" s="22">
        <f t="shared" si="13"/>
        <v>27521589</v>
      </c>
      <c r="H23" s="22">
        <f t="shared" si="13"/>
        <v>51464936</v>
      </c>
      <c r="I23" s="22">
        <f t="shared" si="13"/>
        <v>19334953</v>
      </c>
      <c r="J23" s="22">
        <f t="shared" si="13"/>
        <v>14208750</v>
      </c>
      <c r="K23" s="293">
        <f t="shared" si="13"/>
        <v>198117209</v>
      </c>
      <c r="L23" s="22">
        <f t="shared" si="13"/>
        <v>83125714</v>
      </c>
      <c r="M23" s="22">
        <f t="shared" si="13"/>
        <v>22825244</v>
      </c>
      <c r="N23" s="22">
        <f t="shared" si="13"/>
        <v>14950977</v>
      </c>
      <c r="O23" s="309">
        <f t="shared" si="13"/>
        <v>120901935</v>
      </c>
      <c r="P23" s="22">
        <f t="shared" si="13"/>
        <v>311480037</v>
      </c>
      <c r="Q23" s="210">
        <f t="shared" si="13"/>
        <v>926972150</v>
      </c>
      <c r="R23" s="22">
        <f t="shared" si="13"/>
        <v>0</v>
      </c>
      <c r="S23" s="220">
        <f t="shared" si="13"/>
        <v>926972150</v>
      </c>
      <c r="T23" s="22">
        <f>T24+T26</f>
        <v>0</v>
      </c>
      <c r="U23" s="191"/>
      <c r="V23" s="192"/>
      <c r="W23" s="22"/>
      <c r="X23" s="27">
        <f t="shared" si="6"/>
        <v>0</v>
      </c>
    </row>
    <row r="24" spans="1:24" s="10" customFormat="1" ht="13.5">
      <c r="A24" s="91" t="s">
        <v>258</v>
      </c>
      <c r="B24" s="379">
        <v>6914545</v>
      </c>
      <c r="C24" s="79">
        <v>6914545</v>
      </c>
      <c r="D24" s="79">
        <v>29480000</v>
      </c>
      <c r="E24" s="79">
        <v>84907720</v>
      </c>
      <c r="F24" s="79">
        <v>70216000</v>
      </c>
      <c r="G24" s="79">
        <v>22908600</v>
      </c>
      <c r="H24" s="79">
        <v>37830700</v>
      </c>
      <c r="I24" s="79">
        <v>17799567</v>
      </c>
      <c r="J24" s="79">
        <v>11793200</v>
      </c>
      <c r="K24" s="284">
        <f>F24+G24+H24+I24+J24</f>
        <v>160548067</v>
      </c>
      <c r="L24" s="79">
        <v>81381633</v>
      </c>
      <c r="M24" s="79">
        <v>14247700</v>
      </c>
      <c r="N24" s="79">
        <v>10315234</v>
      </c>
      <c r="O24" s="300">
        <f>L24+M24+N24</f>
        <v>105944567</v>
      </c>
      <c r="P24" s="79">
        <v>160666400</v>
      </c>
      <c r="Q24" s="204">
        <f>B24+C24+D24+E24+K24+O24+P24</f>
        <v>555375844</v>
      </c>
      <c r="R24" s="79"/>
      <c r="S24" s="214">
        <f>SUM(Q24:R24)</f>
        <v>555375844</v>
      </c>
      <c r="T24" s="79">
        <f>S24-Q24</f>
        <v>0</v>
      </c>
      <c r="U24" s="177"/>
      <c r="V24" s="78"/>
      <c r="W24" s="79"/>
      <c r="X24" s="27">
        <f t="shared" si="6"/>
        <v>0</v>
      </c>
    </row>
    <row r="25" spans="1:24" s="10" customFormat="1" ht="13.5">
      <c r="A25" s="134" t="s">
        <v>308</v>
      </c>
      <c r="B25" s="395">
        <v>34983925</v>
      </c>
      <c r="C25" s="21">
        <v>60559568</v>
      </c>
      <c r="D25" s="21">
        <v>15970543</v>
      </c>
      <c r="E25" s="21">
        <v>52759417</v>
      </c>
      <c r="F25" s="21">
        <v>14820981</v>
      </c>
      <c r="G25" s="21">
        <v>4462989</v>
      </c>
      <c r="H25" s="21">
        <v>13634236</v>
      </c>
      <c r="I25" s="21">
        <v>1535386</v>
      </c>
      <c r="J25" s="21">
        <v>2415550</v>
      </c>
      <c r="K25" s="286">
        <f>F25+G25+H25+I25+J25</f>
        <v>36869142</v>
      </c>
      <c r="L25" s="21">
        <v>744081</v>
      </c>
      <c r="M25" s="21">
        <v>8250544</v>
      </c>
      <c r="N25" s="21">
        <v>4635743</v>
      </c>
      <c r="O25" s="302">
        <f>L25+M25+N25</f>
        <v>13630368</v>
      </c>
      <c r="P25" s="21">
        <v>148813637</v>
      </c>
      <c r="Q25" s="205">
        <f>B25+C25+D25+E25+K25+O25+P25</f>
        <v>363586600</v>
      </c>
      <c r="R25" s="21"/>
      <c r="S25" s="215">
        <f>SUM(Q25:R25)</f>
        <v>363586600</v>
      </c>
      <c r="T25" s="21">
        <f>S25-Q25</f>
        <v>0</v>
      </c>
      <c r="U25" s="179"/>
      <c r="V25" s="77"/>
      <c r="W25" s="21"/>
      <c r="X25" s="27">
        <f t="shared" si="6"/>
        <v>0</v>
      </c>
    </row>
    <row r="26" spans="1:24" s="10" customFormat="1" ht="14.25" thickBot="1">
      <c r="A26" s="134" t="s">
        <v>309</v>
      </c>
      <c r="B26" s="374">
        <v>0</v>
      </c>
      <c r="C26" s="374">
        <v>1444500</v>
      </c>
      <c r="D26" s="374">
        <v>381000</v>
      </c>
      <c r="E26" s="374">
        <v>2157206</v>
      </c>
      <c r="F26" s="374">
        <v>550000</v>
      </c>
      <c r="G26" s="374">
        <v>150000</v>
      </c>
      <c r="H26" s="374">
        <v>0</v>
      </c>
      <c r="I26" s="374">
        <v>0</v>
      </c>
      <c r="J26" s="374">
        <v>0</v>
      </c>
      <c r="K26" s="375">
        <f>F26+G26+H26+I26+J26</f>
        <v>700000</v>
      </c>
      <c r="L26" s="374">
        <v>1000000</v>
      </c>
      <c r="M26" s="374">
        <v>327000</v>
      </c>
      <c r="N26" s="374">
        <v>0</v>
      </c>
      <c r="O26" s="376">
        <f>L26+M26+N26</f>
        <v>1327000</v>
      </c>
      <c r="P26" s="374">
        <v>2000000</v>
      </c>
      <c r="Q26" s="211">
        <f>B26+C26+D26+E26+K26+O26+P26</f>
        <v>8009706</v>
      </c>
      <c r="R26" s="374"/>
      <c r="S26" s="221">
        <f>SUM(Q26:R26)</f>
        <v>8009706</v>
      </c>
      <c r="T26" s="374">
        <f>S26-Q26</f>
        <v>0</v>
      </c>
      <c r="U26" s="377"/>
      <c r="V26" s="378"/>
      <c r="W26" s="374"/>
      <c r="X26" s="27">
        <f t="shared" si="6"/>
        <v>0</v>
      </c>
    </row>
    <row r="27" spans="1:24" s="12" customFormat="1" ht="15.75" customHeight="1" thickBot="1">
      <c r="A27" s="86" t="s">
        <v>110</v>
      </c>
      <c r="B27" s="23">
        <f aca="true" t="shared" si="14" ref="B27:T27">SUM(B20+B23)</f>
        <v>41898470</v>
      </c>
      <c r="C27" s="23">
        <f t="shared" si="14"/>
        <v>68918613</v>
      </c>
      <c r="D27" s="23">
        <f t="shared" si="14"/>
        <v>45831543</v>
      </c>
      <c r="E27" s="23">
        <f t="shared" si="14"/>
        <v>139824343</v>
      </c>
      <c r="F27" s="23">
        <f t="shared" si="14"/>
        <v>85586981</v>
      </c>
      <c r="G27" s="23">
        <f t="shared" si="14"/>
        <v>27521589</v>
      </c>
      <c r="H27" s="23">
        <f t="shared" si="14"/>
        <v>51464936</v>
      </c>
      <c r="I27" s="23">
        <f t="shared" si="14"/>
        <v>19334953</v>
      </c>
      <c r="J27" s="23">
        <f t="shared" si="14"/>
        <v>14208750</v>
      </c>
      <c r="K27" s="288">
        <f t="shared" si="14"/>
        <v>198117209</v>
      </c>
      <c r="L27" s="23">
        <f t="shared" si="14"/>
        <v>83125714</v>
      </c>
      <c r="M27" s="23">
        <f t="shared" si="14"/>
        <v>22825244</v>
      </c>
      <c r="N27" s="23">
        <f t="shared" si="14"/>
        <v>14950977</v>
      </c>
      <c r="O27" s="304">
        <f t="shared" si="14"/>
        <v>120901935</v>
      </c>
      <c r="P27" s="23">
        <f t="shared" si="14"/>
        <v>327480037</v>
      </c>
      <c r="Q27" s="206">
        <f t="shared" si="14"/>
        <v>942972150</v>
      </c>
      <c r="R27" s="23">
        <f t="shared" si="14"/>
        <v>1353911367</v>
      </c>
      <c r="S27" s="217">
        <f t="shared" si="14"/>
        <v>2296883517</v>
      </c>
      <c r="T27" s="23">
        <f t="shared" si="14"/>
        <v>1369911367</v>
      </c>
      <c r="U27" s="181">
        <f>SUM(U20+U26)</f>
        <v>1243096247</v>
      </c>
      <c r="V27" s="182">
        <f>SUM(V20+V26)</f>
        <v>126815120</v>
      </c>
      <c r="W27" s="23">
        <f>SUM(W20+W26)</f>
        <v>0</v>
      </c>
      <c r="X27" s="27">
        <f t="shared" si="6"/>
        <v>1369911367</v>
      </c>
    </row>
    <row r="28" spans="1:24" s="12" customFormat="1" ht="15.75" customHeight="1" thickBot="1">
      <c r="A28" s="82" t="s">
        <v>25</v>
      </c>
      <c r="B28" s="24">
        <f aca="true" t="shared" si="15" ref="B28:J28">B10+B18+B27</f>
        <v>43398470</v>
      </c>
      <c r="C28" s="24">
        <f t="shared" si="15"/>
        <v>179232479</v>
      </c>
      <c r="D28" s="24">
        <f t="shared" si="15"/>
        <v>49831543</v>
      </c>
      <c r="E28" s="24">
        <f t="shared" si="15"/>
        <v>234278053</v>
      </c>
      <c r="F28" s="24">
        <f t="shared" si="15"/>
        <v>86036981</v>
      </c>
      <c r="G28" s="24">
        <f t="shared" si="15"/>
        <v>27521589</v>
      </c>
      <c r="H28" s="24">
        <f t="shared" si="15"/>
        <v>51936936</v>
      </c>
      <c r="I28" s="24">
        <f t="shared" si="15"/>
        <v>19334953</v>
      </c>
      <c r="J28" s="24">
        <f t="shared" si="15"/>
        <v>14208750</v>
      </c>
      <c r="K28" s="294">
        <f>F28+G28+H28+I28+J28</f>
        <v>199039209</v>
      </c>
      <c r="L28" s="24">
        <f>L10+L18+L27</f>
        <v>84525714</v>
      </c>
      <c r="M28" s="24">
        <f>M10+M18+M27</f>
        <v>22975244</v>
      </c>
      <c r="N28" s="24">
        <f>N10+N18+N27</f>
        <v>15012577</v>
      </c>
      <c r="O28" s="310">
        <f>L28+M28+N28</f>
        <v>122513535</v>
      </c>
      <c r="P28" s="24">
        <f>P10+P18+P27</f>
        <v>329180037</v>
      </c>
      <c r="Q28" s="211">
        <f>B28+C28+D28+E28+K28+O28+P28</f>
        <v>1157473326</v>
      </c>
      <c r="R28" s="24">
        <f>R10+R18+R20</f>
        <v>3067703963</v>
      </c>
      <c r="S28" s="221">
        <f>SUM(Q28:R28)</f>
        <v>4225177289</v>
      </c>
      <c r="T28" s="24">
        <f>T10+T18+T20</f>
        <v>3298205139</v>
      </c>
      <c r="U28" s="193">
        <f>U10+U18+U27</f>
        <v>3060301022</v>
      </c>
      <c r="V28" s="194">
        <f>V10+V18+V27</f>
        <v>237904120</v>
      </c>
      <c r="W28" s="24">
        <f>W10+W18+W27</f>
        <v>0</v>
      </c>
      <c r="X28" s="27">
        <f t="shared" si="6"/>
        <v>3298205142</v>
      </c>
    </row>
    <row r="29" spans="17:24" s="10" customFormat="1" ht="14.25" thickBot="1">
      <c r="Q29" s="140"/>
      <c r="S29" s="222"/>
      <c r="X29" s="27">
        <f t="shared" si="6"/>
        <v>0</v>
      </c>
    </row>
    <row r="30" spans="1:24" s="10" customFormat="1" ht="99" customHeight="1" thickBot="1">
      <c r="A30" s="136" t="s">
        <v>226</v>
      </c>
      <c r="B30" s="132" t="s">
        <v>56</v>
      </c>
      <c r="C30" s="129" t="s">
        <v>144</v>
      </c>
      <c r="D30" s="128" t="s">
        <v>67</v>
      </c>
      <c r="E30" s="232" t="s">
        <v>164</v>
      </c>
      <c r="F30" s="271" t="s">
        <v>224</v>
      </c>
      <c r="G30" s="271" t="s">
        <v>215</v>
      </c>
      <c r="H30" s="271" t="s">
        <v>216</v>
      </c>
      <c r="I30" s="271" t="s">
        <v>217</v>
      </c>
      <c r="J30" s="271" t="s">
        <v>218</v>
      </c>
      <c r="K30" s="271" t="s">
        <v>219</v>
      </c>
      <c r="L30" s="272" t="s">
        <v>220</v>
      </c>
      <c r="M30" s="272" t="s">
        <v>221</v>
      </c>
      <c r="N30" s="272" t="s">
        <v>222</v>
      </c>
      <c r="O30" s="272" t="s">
        <v>223</v>
      </c>
      <c r="P30" s="232" t="s">
        <v>40</v>
      </c>
      <c r="Q30" s="203" t="s">
        <v>16</v>
      </c>
      <c r="R30" s="130" t="s">
        <v>35</v>
      </c>
      <c r="S30" s="213" t="s">
        <v>151</v>
      </c>
      <c r="T30" s="130" t="s">
        <v>159</v>
      </c>
      <c r="U30" s="172" t="s">
        <v>160</v>
      </c>
      <c r="V30" s="173" t="s">
        <v>162</v>
      </c>
      <c r="W30" s="174" t="s">
        <v>163</v>
      </c>
      <c r="X30" s="27">
        <f t="shared" si="6"/>
        <v>0</v>
      </c>
    </row>
    <row r="31" spans="1:24" s="10" customFormat="1" ht="13.5">
      <c r="A31" s="69" t="s">
        <v>26</v>
      </c>
      <c r="B31" s="20">
        <v>24934840</v>
      </c>
      <c r="C31" s="20">
        <v>52065195</v>
      </c>
      <c r="D31" s="20">
        <v>31069724</v>
      </c>
      <c r="E31" s="20">
        <v>131285416</v>
      </c>
      <c r="F31" s="20">
        <v>61929134</v>
      </c>
      <c r="G31" s="20">
        <v>20049578</v>
      </c>
      <c r="H31" s="20">
        <v>39427447</v>
      </c>
      <c r="I31" s="20">
        <v>14366234</v>
      </c>
      <c r="J31" s="20">
        <v>10397742</v>
      </c>
      <c r="K31" s="289">
        <f aca="true" t="shared" si="16" ref="K31:K50">F31+G31+H31+I31+J31</f>
        <v>146170135</v>
      </c>
      <c r="L31" s="20">
        <v>60795379</v>
      </c>
      <c r="M31" s="20">
        <v>16613505</v>
      </c>
      <c r="N31" s="20">
        <v>10727495</v>
      </c>
      <c r="O31" s="305">
        <f aca="true" t="shared" si="17" ref="O31:O50">L31+M31+N31</f>
        <v>88136379</v>
      </c>
      <c r="P31" s="20">
        <v>213376522</v>
      </c>
      <c r="Q31" s="207">
        <f aca="true" t="shared" si="18" ref="Q31:Q50">B31+C31+D31+E31+K31+O31+P31</f>
        <v>687038211</v>
      </c>
      <c r="R31" s="20">
        <v>48804740</v>
      </c>
      <c r="S31" s="218">
        <f aca="true" t="shared" si="19" ref="S31:S50">SUM(Q31:R31)</f>
        <v>735842951</v>
      </c>
      <c r="T31" s="20">
        <f>S31</f>
        <v>735842951</v>
      </c>
      <c r="U31" s="177">
        <v>640070951</v>
      </c>
      <c r="V31" s="78">
        <v>39684000</v>
      </c>
      <c r="W31" s="79">
        <v>56088000</v>
      </c>
      <c r="X31" s="27">
        <f t="shared" si="6"/>
        <v>735842951</v>
      </c>
    </row>
    <row r="32" spans="1:24" s="10" customFormat="1" ht="13.5">
      <c r="A32" s="81" t="s">
        <v>27</v>
      </c>
      <c r="B32" s="21">
        <v>5199120</v>
      </c>
      <c r="C32" s="21">
        <v>11021119</v>
      </c>
      <c r="D32" s="21">
        <v>6459019</v>
      </c>
      <c r="E32" s="21">
        <v>31226258</v>
      </c>
      <c r="F32" s="21">
        <v>14519497</v>
      </c>
      <c r="G32" s="21">
        <v>4133551</v>
      </c>
      <c r="H32" s="21">
        <v>7977279</v>
      </c>
      <c r="I32" s="21">
        <v>2940469</v>
      </c>
      <c r="J32" s="21">
        <v>2112298</v>
      </c>
      <c r="K32" s="286">
        <f t="shared" si="16"/>
        <v>31683094</v>
      </c>
      <c r="L32" s="21">
        <v>12430665</v>
      </c>
      <c r="M32" s="21">
        <v>3351909</v>
      </c>
      <c r="N32" s="21">
        <v>2179592</v>
      </c>
      <c r="O32" s="302">
        <f t="shared" si="17"/>
        <v>17962166</v>
      </c>
      <c r="P32" s="21">
        <v>50052615</v>
      </c>
      <c r="Q32" s="207">
        <f t="shared" si="18"/>
        <v>153603391</v>
      </c>
      <c r="R32" s="21">
        <v>10401418</v>
      </c>
      <c r="S32" s="215">
        <f t="shared" si="19"/>
        <v>164004809</v>
      </c>
      <c r="T32" s="21">
        <f>S32</f>
        <v>164004809</v>
      </c>
      <c r="U32" s="179">
        <v>141622000</v>
      </c>
      <c r="V32" s="77">
        <v>8497809</v>
      </c>
      <c r="W32" s="21">
        <v>13885000</v>
      </c>
      <c r="X32" s="27">
        <f t="shared" si="6"/>
        <v>164004809</v>
      </c>
    </row>
    <row r="33" spans="1:24" s="10" customFormat="1" ht="13.5">
      <c r="A33" s="81" t="s">
        <v>15</v>
      </c>
      <c r="B33" s="21">
        <v>13264510</v>
      </c>
      <c r="C33" s="21">
        <v>113223234</v>
      </c>
      <c r="D33" s="21">
        <v>11921800</v>
      </c>
      <c r="E33" s="21">
        <v>69609173</v>
      </c>
      <c r="F33" s="21">
        <v>9038350</v>
      </c>
      <c r="G33" s="21">
        <v>3188460</v>
      </c>
      <c r="H33" s="21">
        <v>4532210</v>
      </c>
      <c r="I33" s="21">
        <v>2028250</v>
      </c>
      <c r="J33" s="21">
        <v>1698710</v>
      </c>
      <c r="K33" s="286">
        <f t="shared" si="16"/>
        <v>20485980</v>
      </c>
      <c r="L33" s="21">
        <v>10299670</v>
      </c>
      <c r="M33" s="21">
        <v>2682830</v>
      </c>
      <c r="N33" s="21">
        <v>2105490</v>
      </c>
      <c r="O33" s="302">
        <f t="shared" si="17"/>
        <v>15087990</v>
      </c>
      <c r="P33" s="21">
        <v>63750900</v>
      </c>
      <c r="Q33" s="207">
        <f t="shared" si="18"/>
        <v>307343587</v>
      </c>
      <c r="R33" s="21">
        <v>546890484</v>
      </c>
      <c r="S33" s="215">
        <f t="shared" si="19"/>
        <v>854234071</v>
      </c>
      <c r="T33" s="21">
        <f>S33</f>
        <v>854234071</v>
      </c>
      <c r="U33" s="179">
        <v>739470960</v>
      </c>
      <c r="V33" s="77">
        <v>95413111</v>
      </c>
      <c r="W33" s="21">
        <v>19350000</v>
      </c>
      <c r="X33" s="27">
        <f t="shared" si="6"/>
        <v>854234071</v>
      </c>
    </row>
    <row r="34" spans="1:24" s="10" customFormat="1" ht="13.5">
      <c r="A34" s="81" t="s">
        <v>28</v>
      </c>
      <c r="B34" s="21"/>
      <c r="C34" s="21"/>
      <c r="D34" s="21"/>
      <c r="E34" s="21"/>
      <c r="F34" s="21"/>
      <c r="G34" s="21"/>
      <c r="H34" s="21"/>
      <c r="I34" s="21"/>
      <c r="J34" s="21"/>
      <c r="K34" s="286">
        <f t="shared" si="16"/>
        <v>0</v>
      </c>
      <c r="L34" s="21"/>
      <c r="M34" s="21"/>
      <c r="N34" s="21"/>
      <c r="O34" s="302">
        <f t="shared" si="17"/>
        <v>0</v>
      </c>
      <c r="P34" s="21"/>
      <c r="Q34" s="207">
        <f t="shared" si="18"/>
        <v>0</v>
      </c>
      <c r="R34" s="21">
        <v>24500000</v>
      </c>
      <c r="S34" s="215">
        <f t="shared" si="19"/>
        <v>24500000</v>
      </c>
      <c r="T34" s="21">
        <f>S34</f>
        <v>24500000</v>
      </c>
      <c r="U34" s="179">
        <v>24500000</v>
      </c>
      <c r="V34" s="77"/>
      <c r="W34" s="21"/>
      <c r="X34" s="27">
        <f t="shared" si="6"/>
        <v>24500000</v>
      </c>
    </row>
    <row r="35" spans="1:24" s="10" customFormat="1" ht="13.5">
      <c r="A35" s="81" t="s">
        <v>125</v>
      </c>
      <c r="B35" s="21">
        <f aca="true" t="shared" si="20" ref="B35:J35">SUM(B36:B39)</f>
        <v>0</v>
      </c>
      <c r="C35" s="21">
        <f t="shared" si="20"/>
        <v>0</v>
      </c>
      <c r="D35" s="21">
        <f t="shared" si="20"/>
        <v>0</v>
      </c>
      <c r="E35" s="21">
        <f t="shared" si="20"/>
        <v>0</v>
      </c>
      <c r="F35" s="21">
        <f t="shared" si="20"/>
        <v>0</v>
      </c>
      <c r="G35" s="21">
        <f t="shared" si="20"/>
        <v>0</v>
      </c>
      <c r="H35" s="21">
        <f t="shared" si="20"/>
        <v>0</v>
      </c>
      <c r="I35" s="21">
        <f t="shared" si="20"/>
        <v>0</v>
      </c>
      <c r="J35" s="21">
        <f t="shared" si="20"/>
        <v>0</v>
      </c>
      <c r="K35" s="286">
        <f t="shared" si="16"/>
        <v>0</v>
      </c>
      <c r="L35" s="21">
        <f>SUM(L36:L39)</f>
        <v>0</v>
      </c>
      <c r="M35" s="21">
        <f>SUM(M36:M39)</f>
        <v>0</v>
      </c>
      <c r="N35" s="21">
        <f>SUM(N36:N39)</f>
        <v>0</v>
      </c>
      <c r="O35" s="302">
        <f t="shared" si="17"/>
        <v>0</v>
      </c>
      <c r="P35" s="21">
        <f>SUM(P36:P39)</f>
        <v>0</v>
      </c>
      <c r="Q35" s="205">
        <f t="shared" si="18"/>
        <v>0</v>
      </c>
      <c r="R35" s="21">
        <f>SUM(R36:R39)</f>
        <v>88986530</v>
      </c>
      <c r="S35" s="215">
        <f t="shared" si="19"/>
        <v>88986530</v>
      </c>
      <c r="T35" s="21">
        <f>SUM(T36:T39)</f>
        <v>88986530</v>
      </c>
      <c r="U35" s="179">
        <f>SUM(U36:U39)</f>
        <v>36394278</v>
      </c>
      <c r="V35" s="77">
        <f>SUM(V36:V39)</f>
        <v>52592252</v>
      </c>
      <c r="W35" s="21">
        <f>SUM(W36:W39)</f>
        <v>0</v>
      </c>
      <c r="X35" s="27">
        <f t="shared" si="6"/>
        <v>88986530</v>
      </c>
    </row>
    <row r="36" spans="1:24" s="10" customFormat="1" ht="13.5">
      <c r="A36" s="91" t="s">
        <v>111</v>
      </c>
      <c r="B36" s="92"/>
      <c r="C36" s="92"/>
      <c r="D36" s="92"/>
      <c r="E36" s="92"/>
      <c r="F36" s="92"/>
      <c r="G36" s="92"/>
      <c r="H36" s="92"/>
      <c r="I36" s="92"/>
      <c r="J36" s="92"/>
      <c r="K36" s="285">
        <f t="shared" si="16"/>
        <v>0</v>
      </c>
      <c r="L36" s="92"/>
      <c r="M36" s="92"/>
      <c r="N36" s="92"/>
      <c r="O36" s="301">
        <f t="shared" si="17"/>
        <v>0</v>
      </c>
      <c r="P36" s="92"/>
      <c r="Q36" s="205">
        <f t="shared" si="18"/>
        <v>0</v>
      </c>
      <c r="R36" s="92">
        <v>0</v>
      </c>
      <c r="S36" s="215">
        <f t="shared" si="19"/>
        <v>0</v>
      </c>
      <c r="T36" s="92">
        <f>S36</f>
        <v>0</v>
      </c>
      <c r="U36" s="178">
        <v>0</v>
      </c>
      <c r="V36" s="94"/>
      <c r="W36" s="92"/>
      <c r="X36" s="27">
        <f t="shared" si="6"/>
        <v>0</v>
      </c>
    </row>
    <row r="37" spans="1:24" s="10" customFormat="1" ht="13.5">
      <c r="A37" s="91" t="s">
        <v>146</v>
      </c>
      <c r="B37" s="92"/>
      <c r="C37" s="92"/>
      <c r="D37" s="92"/>
      <c r="E37" s="92"/>
      <c r="F37" s="92"/>
      <c r="G37" s="92"/>
      <c r="H37" s="92"/>
      <c r="I37" s="92"/>
      <c r="J37" s="92"/>
      <c r="K37" s="285">
        <f t="shared" si="16"/>
        <v>0</v>
      </c>
      <c r="L37" s="92"/>
      <c r="M37" s="92"/>
      <c r="N37" s="92"/>
      <c r="O37" s="301">
        <f t="shared" si="17"/>
        <v>0</v>
      </c>
      <c r="P37" s="92"/>
      <c r="Q37" s="205">
        <f t="shared" si="18"/>
        <v>0</v>
      </c>
      <c r="R37" s="92">
        <v>4103300</v>
      </c>
      <c r="S37" s="215">
        <f t="shared" si="19"/>
        <v>4103300</v>
      </c>
      <c r="T37" s="92">
        <f>S37</f>
        <v>4103300</v>
      </c>
      <c r="U37" s="178">
        <v>2303300</v>
      </c>
      <c r="V37" s="94">
        <v>1800000</v>
      </c>
      <c r="W37" s="92"/>
      <c r="X37" s="27">
        <f t="shared" si="6"/>
        <v>4103300</v>
      </c>
    </row>
    <row r="38" spans="1:24" s="10" customFormat="1" ht="13.5">
      <c r="A38" s="91" t="s">
        <v>147</v>
      </c>
      <c r="B38" s="92"/>
      <c r="C38" s="92"/>
      <c r="D38" s="92"/>
      <c r="E38" s="92"/>
      <c r="F38" s="92"/>
      <c r="G38" s="92"/>
      <c r="H38" s="92"/>
      <c r="I38" s="92"/>
      <c r="J38" s="92"/>
      <c r="K38" s="285">
        <f t="shared" si="16"/>
        <v>0</v>
      </c>
      <c r="L38" s="92"/>
      <c r="M38" s="92"/>
      <c r="N38" s="92"/>
      <c r="O38" s="301">
        <f t="shared" si="17"/>
        <v>0</v>
      </c>
      <c r="P38" s="92"/>
      <c r="Q38" s="205">
        <f t="shared" si="18"/>
        <v>0</v>
      </c>
      <c r="R38" s="92">
        <v>53083516</v>
      </c>
      <c r="S38" s="215">
        <f t="shared" si="19"/>
        <v>53083516</v>
      </c>
      <c r="T38" s="92">
        <f>S38</f>
        <v>53083516</v>
      </c>
      <c r="U38" s="178">
        <v>31317616</v>
      </c>
      <c r="V38" s="94">
        <v>21765900</v>
      </c>
      <c r="W38" s="92"/>
      <c r="X38" s="27">
        <f t="shared" si="6"/>
        <v>53083516</v>
      </c>
    </row>
    <row r="39" spans="1:24" s="10" customFormat="1" ht="14.25" thickBot="1">
      <c r="A39" s="91" t="s">
        <v>126</v>
      </c>
      <c r="B39" s="22"/>
      <c r="C39" s="22"/>
      <c r="D39" s="22"/>
      <c r="E39" s="22"/>
      <c r="F39" s="22"/>
      <c r="G39" s="22"/>
      <c r="H39" s="22"/>
      <c r="I39" s="22"/>
      <c r="J39" s="22"/>
      <c r="K39" s="293">
        <f t="shared" si="16"/>
        <v>0</v>
      </c>
      <c r="L39" s="22"/>
      <c r="M39" s="22"/>
      <c r="N39" s="22"/>
      <c r="O39" s="309">
        <f t="shared" si="17"/>
        <v>0</v>
      </c>
      <c r="P39" s="22"/>
      <c r="Q39" s="205">
        <f t="shared" si="18"/>
        <v>0</v>
      </c>
      <c r="R39" s="22">
        <v>31799714</v>
      </c>
      <c r="S39" s="220">
        <f t="shared" si="19"/>
        <v>31799714</v>
      </c>
      <c r="T39" s="22">
        <f>S39</f>
        <v>31799714</v>
      </c>
      <c r="U39" s="191">
        <v>2773362</v>
      </c>
      <c r="V39" s="192">
        <v>29026352</v>
      </c>
      <c r="W39" s="22"/>
      <c r="X39" s="27">
        <f t="shared" si="6"/>
        <v>31799714</v>
      </c>
    </row>
    <row r="40" spans="1:24" s="10" customFormat="1" ht="14.25" thickBot="1">
      <c r="A40" s="86" t="s">
        <v>117</v>
      </c>
      <c r="B40" s="23">
        <f aca="true" t="shared" si="21" ref="B40:J40">B31+B32+B33+B34+B35</f>
        <v>43398470</v>
      </c>
      <c r="C40" s="23">
        <f t="shared" si="21"/>
        <v>176309548</v>
      </c>
      <c r="D40" s="23">
        <f t="shared" si="21"/>
        <v>49450543</v>
      </c>
      <c r="E40" s="23">
        <f t="shared" si="21"/>
        <v>232120847</v>
      </c>
      <c r="F40" s="23">
        <f t="shared" si="21"/>
        <v>85486981</v>
      </c>
      <c r="G40" s="23">
        <f t="shared" si="21"/>
        <v>27371589</v>
      </c>
      <c r="H40" s="23">
        <f t="shared" si="21"/>
        <v>51936936</v>
      </c>
      <c r="I40" s="23">
        <f t="shared" si="21"/>
        <v>19334953</v>
      </c>
      <c r="J40" s="23">
        <f t="shared" si="21"/>
        <v>14208750</v>
      </c>
      <c r="K40" s="288">
        <f t="shared" si="16"/>
        <v>198339209</v>
      </c>
      <c r="L40" s="23">
        <f>L31+L32+L33+L34+L35</f>
        <v>83525714</v>
      </c>
      <c r="M40" s="23">
        <f>M31+M32+M33+M34+M35</f>
        <v>22648244</v>
      </c>
      <c r="N40" s="23">
        <f>N31+N32+N33+N34+N35</f>
        <v>15012577</v>
      </c>
      <c r="O40" s="304">
        <f t="shared" si="17"/>
        <v>121186535</v>
      </c>
      <c r="P40" s="23">
        <f>P31+P32+P33+P34+P35</f>
        <v>327180037</v>
      </c>
      <c r="Q40" s="206">
        <f t="shared" si="18"/>
        <v>1147985189</v>
      </c>
      <c r="R40" s="23">
        <f>R31+R32+R33+R34+R35</f>
        <v>719583172</v>
      </c>
      <c r="S40" s="217">
        <f t="shared" si="19"/>
        <v>1867568361</v>
      </c>
      <c r="T40" s="23">
        <f>T31+T32+T33+T34+T35</f>
        <v>1867568361</v>
      </c>
      <c r="U40" s="181">
        <f>U31+U32+U33+U34+U35</f>
        <v>1582058189</v>
      </c>
      <c r="V40" s="182">
        <f>V31+V32+V33+V34+V35</f>
        <v>196187172</v>
      </c>
      <c r="W40" s="23">
        <f>W31+W32+W33+W34+W35</f>
        <v>89323000</v>
      </c>
      <c r="X40" s="27">
        <f t="shared" si="6"/>
        <v>1867568361</v>
      </c>
    </row>
    <row r="41" spans="1:24" s="10" customFormat="1" ht="13.5">
      <c r="A41" s="69" t="s">
        <v>61</v>
      </c>
      <c r="B41" s="21"/>
      <c r="C41" s="21">
        <v>2732431</v>
      </c>
      <c r="D41" s="21"/>
      <c r="E41" s="21">
        <v>890000</v>
      </c>
      <c r="F41" s="21">
        <v>550000</v>
      </c>
      <c r="G41" s="21">
        <v>150000</v>
      </c>
      <c r="H41" s="21"/>
      <c r="I41" s="21"/>
      <c r="J41" s="21"/>
      <c r="K41" s="286">
        <f t="shared" si="16"/>
        <v>700000</v>
      </c>
      <c r="L41" s="21">
        <v>1000000</v>
      </c>
      <c r="M41" s="21">
        <v>200000</v>
      </c>
      <c r="N41" s="21"/>
      <c r="O41" s="302">
        <f t="shared" si="17"/>
        <v>1200000</v>
      </c>
      <c r="P41" s="21">
        <v>2000000</v>
      </c>
      <c r="Q41" s="205">
        <f t="shared" si="18"/>
        <v>7522431</v>
      </c>
      <c r="R41" s="21">
        <f>1285231319-7522431</f>
        <v>1277708888</v>
      </c>
      <c r="S41" s="215">
        <f t="shared" si="19"/>
        <v>1285231319</v>
      </c>
      <c r="T41" s="21">
        <f>S41</f>
        <v>1285231319</v>
      </c>
      <c r="U41" s="179">
        <f>1285231319-V41</f>
        <v>1042954916</v>
      </c>
      <c r="V41" s="77">
        <v>242276403</v>
      </c>
      <c r="W41" s="21"/>
      <c r="X41" s="27">
        <f t="shared" si="6"/>
        <v>1285231319</v>
      </c>
    </row>
    <row r="42" spans="1:24" s="10" customFormat="1" ht="13.5">
      <c r="A42" s="90" t="s">
        <v>17</v>
      </c>
      <c r="B42" s="20"/>
      <c r="C42" s="20">
        <v>190500</v>
      </c>
      <c r="D42" s="20">
        <v>381000</v>
      </c>
      <c r="E42" s="20">
        <v>1267206</v>
      </c>
      <c r="F42" s="20"/>
      <c r="G42" s="20"/>
      <c r="H42" s="20"/>
      <c r="I42" s="20"/>
      <c r="J42" s="20"/>
      <c r="K42" s="289">
        <f t="shared" si="16"/>
        <v>0</v>
      </c>
      <c r="L42" s="20"/>
      <c r="M42" s="20">
        <v>127000</v>
      </c>
      <c r="N42" s="20"/>
      <c r="O42" s="305">
        <f t="shared" si="17"/>
        <v>127000</v>
      </c>
      <c r="P42" s="20"/>
      <c r="Q42" s="205">
        <f t="shared" si="18"/>
        <v>1965706</v>
      </c>
      <c r="R42" s="20">
        <f>104421475-1965706</f>
        <v>102455769</v>
      </c>
      <c r="S42" s="218">
        <f t="shared" si="19"/>
        <v>104421475</v>
      </c>
      <c r="T42" s="20">
        <f>S42</f>
        <v>104421475</v>
      </c>
      <c r="U42" s="183">
        <f>104421475</f>
        <v>104421475</v>
      </c>
      <c r="V42" s="184"/>
      <c r="W42" s="20"/>
      <c r="X42" s="27">
        <f t="shared" si="6"/>
        <v>104421475</v>
      </c>
    </row>
    <row r="43" spans="1:24" s="10" customFormat="1" ht="13.5">
      <c r="A43" s="81" t="s">
        <v>91</v>
      </c>
      <c r="B43" s="21">
        <f aca="true" t="shared" si="22" ref="B43:J43">SUM(B44:B46)</f>
        <v>0</v>
      </c>
      <c r="C43" s="21">
        <f t="shared" si="22"/>
        <v>0</v>
      </c>
      <c r="D43" s="21">
        <f t="shared" si="22"/>
        <v>0</v>
      </c>
      <c r="E43" s="21">
        <f t="shared" si="22"/>
        <v>0</v>
      </c>
      <c r="F43" s="21">
        <f t="shared" si="22"/>
        <v>0</v>
      </c>
      <c r="G43" s="21">
        <f t="shared" si="22"/>
        <v>0</v>
      </c>
      <c r="H43" s="21">
        <f t="shared" si="22"/>
        <v>0</v>
      </c>
      <c r="I43" s="21">
        <f t="shared" si="22"/>
        <v>0</v>
      </c>
      <c r="J43" s="21">
        <f t="shared" si="22"/>
        <v>0</v>
      </c>
      <c r="K43" s="286">
        <f t="shared" si="16"/>
        <v>0</v>
      </c>
      <c r="L43" s="21">
        <f>SUM(L44:L46)</f>
        <v>0</v>
      </c>
      <c r="M43" s="21">
        <f>SUM(M44:M46)</f>
        <v>0</v>
      </c>
      <c r="N43" s="21">
        <f>SUM(N44:N46)</f>
        <v>0</v>
      </c>
      <c r="O43" s="302">
        <f t="shared" si="17"/>
        <v>0</v>
      </c>
      <c r="P43" s="21">
        <f>SUM(P44:P46)</f>
        <v>0</v>
      </c>
      <c r="Q43" s="205">
        <f t="shared" si="18"/>
        <v>0</v>
      </c>
      <c r="R43" s="21">
        <f>SUM(R44:R46)</f>
        <v>12434057</v>
      </c>
      <c r="S43" s="215">
        <f t="shared" si="19"/>
        <v>12434057</v>
      </c>
      <c r="T43" s="21">
        <f>SUM(T44:T46)</f>
        <v>12434057</v>
      </c>
      <c r="U43" s="179">
        <f>SUM(U44:U46)</f>
        <v>5802000</v>
      </c>
      <c r="V43" s="77">
        <f>SUM(V44:V46)</f>
        <v>6632057</v>
      </c>
      <c r="W43" s="21">
        <f>SUM(W44:W46)</f>
        <v>0</v>
      </c>
      <c r="X43" s="27">
        <f t="shared" si="6"/>
        <v>12434057</v>
      </c>
    </row>
    <row r="44" spans="1:24" s="10" customFormat="1" ht="13.5">
      <c r="A44" s="91" t="s">
        <v>154</v>
      </c>
      <c r="B44" s="92"/>
      <c r="C44" s="92"/>
      <c r="D44" s="92"/>
      <c r="E44" s="92"/>
      <c r="F44" s="92"/>
      <c r="G44" s="92"/>
      <c r="H44" s="92"/>
      <c r="I44" s="92"/>
      <c r="J44" s="92"/>
      <c r="K44" s="285">
        <f t="shared" si="16"/>
        <v>0</v>
      </c>
      <c r="L44" s="92"/>
      <c r="M44" s="92"/>
      <c r="N44" s="92"/>
      <c r="O44" s="301">
        <f t="shared" si="17"/>
        <v>0</v>
      </c>
      <c r="P44" s="92"/>
      <c r="Q44" s="205">
        <f t="shared" si="18"/>
        <v>0</v>
      </c>
      <c r="R44" s="92">
        <v>1165207</v>
      </c>
      <c r="S44" s="215">
        <f t="shared" si="19"/>
        <v>1165207</v>
      </c>
      <c r="T44" s="92">
        <f>S44</f>
        <v>1165207</v>
      </c>
      <c r="U44" s="178"/>
      <c r="V44" s="94">
        <v>1165207</v>
      </c>
      <c r="W44" s="92"/>
      <c r="X44" s="27">
        <f t="shared" si="6"/>
        <v>1165207</v>
      </c>
    </row>
    <row r="45" spans="1:24" s="10" customFormat="1" ht="13.5">
      <c r="A45" s="91" t="s">
        <v>155</v>
      </c>
      <c r="B45" s="92"/>
      <c r="C45" s="92"/>
      <c r="D45" s="92"/>
      <c r="E45" s="92"/>
      <c r="F45" s="92"/>
      <c r="G45" s="92"/>
      <c r="H45" s="92"/>
      <c r="I45" s="92"/>
      <c r="J45" s="92"/>
      <c r="K45" s="285">
        <f t="shared" si="16"/>
        <v>0</v>
      </c>
      <c r="L45" s="92"/>
      <c r="M45" s="92"/>
      <c r="N45" s="92"/>
      <c r="O45" s="301">
        <f t="shared" si="17"/>
        <v>0</v>
      </c>
      <c r="P45" s="92"/>
      <c r="Q45" s="205">
        <f t="shared" si="18"/>
        <v>0</v>
      </c>
      <c r="R45" s="92">
        <v>5802000</v>
      </c>
      <c r="S45" s="215">
        <f t="shared" si="19"/>
        <v>5802000</v>
      </c>
      <c r="T45" s="92">
        <f>S45</f>
        <v>5802000</v>
      </c>
      <c r="U45" s="178">
        <v>5802000</v>
      </c>
      <c r="V45" s="94"/>
      <c r="W45" s="92"/>
      <c r="X45" s="27">
        <f t="shared" si="6"/>
        <v>5802000</v>
      </c>
    </row>
    <row r="46" spans="1:24" s="10" customFormat="1" ht="14.25" thickBot="1">
      <c r="A46" s="91" t="s">
        <v>156</v>
      </c>
      <c r="B46" s="93"/>
      <c r="C46" s="93"/>
      <c r="D46" s="93"/>
      <c r="E46" s="93"/>
      <c r="F46" s="93"/>
      <c r="G46" s="93"/>
      <c r="H46" s="93"/>
      <c r="I46" s="93"/>
      <c r="J46" s="93"/>
      <c r="K46" s="295">
        <f t="shared" si="16"/>
        <v>0</v>
      </c>
      <c r="L46" s="93"/>
      <c r="M46" s="93"/>
      <c r="N46" s="93"/>
      <c r="O46" s="311">
        <f t="shared" si="17"/>
        <v>0</v>
      </c>
      <c r="P46" s="93"/>
      <c r="Q46" s="205">
        <f t="shared" si="18"/>
        <v>0</v>
      </c>
      <c r="R46" s="93">
        <v>5466850</v>
      </c>
      <c r="S46" s="220">
        <f t="shared" si="19"/>
        <v>5466850</v>
      </c>
      <c r="T46" s="93">
        <f>S46</f>
        <v>5466850</v>
      </c>
      <c r="U46" s="195"/>
      <c r="V46" s="95">
        <v>5466850</v>
      </c>
      <c r="W46" s="93"/>
      <c r="X46" s="27">
        <f t="shared" si="6"/>
        <v>5466850</v>
      </c>
    </row>
    <row r="47" spans="1:24" s="10" customFormat="1" ht="14.25" thickBot="1">
      <c r="A47" s="86" t="s">
        <v>118</v>
      </c>
      <c r="B47" s="23">
        <f aca="true" t="shared" si="23" ref="B47:J47">B41+B42+B43</f>
        <v>0</v>
      </c>
      <c r="C47" s="23">
        <f t="shared" si="23"/>
        <v>2922931</v>
      </c>
      <c r="D47" s="23">
        <f t="shared" si="23"/>
        <v>381000</v>
      </c>
      <c r="E47" s="23">
        <f t="shared" si="23"/>
        <v>2157206</v>
      </c>
      <c r="F47" s="23">
        <f t="shared" si="23"/>
        <v>550000</v>
      </c>
      <c r="G47" s="23">
        <f t="shared" si="23"/>
        <v>150000</v>
      </c>
      <c r="H47" s="23">
        <f t="shared" si="23"/>
        <v>0</v>
      </c>
      <c r="I47" s="23">
        <f t="shared" si="23"/>
        <v>0</v>
      </c>
      <c r="J47" s="23">
        <f t="shared" si="23"/>
        <v>0</v>
      </c>
      <c r="K47" s="288">
        <f t="shared" si="16"/>
        <v>700000</v>
      </c>
      <c r="L47" s="23">
        <f>L41+L42+L43</f>
        <v>1000000</v>
      </c>
      <c r="M47" s="23">
        <f>M41+M42+M43</f>
        <v>327000</v>
      </c>
      <c r="N47" s="23">
        <f>N41+N42+N43</f>
        <v>0</v>
      </c>
      <c r="O47" s="304">
        <f t="shared" si="17"/>
        <v>1327000</v>
      </c>
      <c r="P47" s="23">
        <f>P41+P42+P43</f>
        <v>2000000</v>
      </c>
      <c r="Q47" s="206">
        <f t="shared" si="18"/>
        <v>9488137</v>
      </c>
      <c r="R47" s="23">
        <f>R41+R42+R43</f>
        <v>1392598714</v>
      </c>
      <c r="S47" s="217">
        <f t="shared" si="19"/>
        <v>1402086851</v>
      </c>
      <c r="T47" s="23">
        <f>T41+T42+T43</f>
        <v>1402086851</v>
      </c>
      <c r="U47" s="181">
        <f>U41+U42+U43</f>
        <v>1153178391</v>
      </c>
      <c r="V47" s="182">
        <f>V41+V42+V43</f>
        <v>248908460</v>
      </c>
      <c r="W47" s="23">
        <f>W41+W42+W43</f>
        <v>0</v>
      </c>
      <c r="X47" s="27">
        <f t="shared" si="6"/>
        <v>1402086851</v>
      </c>
    </row>
    <row r="48" spans="1:24" s="12" customFormat="1" ht="15.75" customHeight="1" thickBot="1">
      <c r="A48" s="88" t="s">
        <v>119</v>
      </c>
      <c r="B48" s="87">
        <f aca="true" t="shared" si="24" ref="B48:J48">B47+B40</f>
        <v>43398470</v>
      </c>
      <c r="C48" s="87">
        <f t="shared" si="24"/>
        <v>179232479</v>
      </c>
      <c r="D48" s="87">
        <f t="shared" si="24"/>
        <v>49831543</v>
      </c>
      <c r="E48" s="87">
        <f t="shared" si="24"/>
        <v>234278053</v>
      </c>
      <c r="F48" s="87">
        <f t="shared" si="24"/>
        <v>86036981</v>
      </c>
      <c r="G48" s="87">
        <f t="shared" si="24"/>
        <v>27521589</v>
      </c>
      <c r="H48" s="87">
        <f t="shared" si="24"/>
        <v>51936936</v>
      </c>
      <c r="I48" s="87">
        <f t="shared" si="24"/>
        <v>19334953</v>
      </c>
      <c r="J48" s="87">
        <f t="shared" si="24"/>
        <v>14208750</v>
      </c>
      <c r="K48" s="292">
        <f t="shared" si="16"/>
        <v>199039209</v>
      </c>
      <c r="L48" s="87">
        <f>L47+L40</f>
        <v>84525714</v>
      </c>
      <c r="M48" s="87">
        <f>M47+M40</f>
        <v>22975244</v>
      </c>
      <c r="N48" s="87">
        <f>N47+N40</f>
        <v>15012577</v>
      </c>
      <c r="O48" s="308">
        <f t="shared" si="17"/>
        <v>122513535</v>
      </c>
      <c r="P48" s="87">
        <f>P47+P40</f>
        <v>329180037</v>
      </c>
      <c r="Q48" s="208">
        <f t="shared" si="18"/>
        <v>1157473326</v>
      </c>
      <c r="R48" s="87">
        <f>R47+R40</f>
        <v>2112181886</v>
      </c>
      <c r="S48" s="219">
        <f t="shared" si="19"/>
        <v>3269655212</v>
      </c>
      <c r="T48" s="87">
        <f>T47+T40</f>
        <v>3269655212</v>
      </c>
      <c r="U48" s="189">
        <f>U47+U40</f>
        <v>2735236580</v>
      </c>
      <c r="V48" s="190">
        <f>V47+V40</f>
        <v>445095632</v>
      </c>
      <c r="W48" s="87">
        <f>W47+W40</f>
        <v>89323000</v>
      </c>
      <c r="X48" s="27">
        <f t="shared" si="6"/>
        <v>3269655212</v>
      </c>
    </row>
    <row r="49" spans="1:25" s="10" customFormat="1" ht="15.75" customHeight="1" thickBot="1">
      <c r="A49" s="100" t="s">
        <v>120</v>
      </c>
      <c r="B49" s="98">
        <v>0</v>
      </c>
      <c r="C49" s="98"/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296">
        <f t="shared" si="16"/>
        <v>0</v>
      </c>
      <c r="L49" s="98">
        <v>0</v>
      </c>
      <c r="M49" s="98">
        <v>0</v>
      </c>
      <c r="N49" s="98">
        <v>0</v>
      </c>
      <c r="O49" s="312">
        <f t="shared" si="17"/>
        <v>0</v>
      </c>
      <c r="P49" s="98">
        <v>0</v>
      </c>
      <c r="Q49" s="206">
        <f t="shared" si="18"/>
        <v>0</v>
      </c>
      <c r="R49" s="98">
        <f>28549927+Q23</f>
        <v>955522077</v>
      </c>
      <c r="S49" s="217">
        <f t="shared" si="19"/>
        <v>955522077</v>
      </c>
      <c r="T49" s="98">
        <f>S49-Q23</f>
        <v>28549927</v>
      </c>
      <c r="U49" s="196">
        <v>28549927</v>
      </c>
      <c r="V49" s="99"/>
      <c r="W49" s="98"/>
      <c r="X49" s="27">
        <f t="shared" si="6"/>
        <v>28549927</v>
      </c>
      <c r="Y49" s="27"/>
    </row>
    <row r="50" spans="1:24" s="12" customFormat="1" ht="15.75" customHeight="1" thickBot="1">
      <c r="A50" s="82" t="s">
        <v>29</v>
      </c>
      <c r="B50" s="24">
        <f aca="true" t="shared" si="25" ref="B50:J50">B49+B48</f>
        <v>43398470</v>
      </c>
      <c r="C50" s="24">
        <f t="shared" si="25"/>
        <v>179232479</v>
      </c>
      <c r="D50" s="24">
        <f t="shared" si="25"/>
        <v>49831543</v>
      </c>
      <c r="E50" s="24">
        <f t="shared" si="25"/>
        <v>234278053</v>
      </c>
      <c r="F50" s="24">
        <f t="shared" si="25"/>
        <v>86036981</v>
      </c>
      <c r="G50" s="24">
        <f t="shared" si="25"/>
        <v>27521589</v>
      </c>
      <c r="H50" s="24">
        <f t="shared" si="25"/>
        <v>51936936</v>
      </c>
      <c r="I50" s="24">
        <f t="shared" si="25"/>
        <v>19334953</v>
      </c>
      <c r="J50" s="24">
        <f t="shared" si="25"/>
        <v>14208750</v>
      </c>
      <c r="K50" s="294">
        <f t="shared" si="16"/>
        <v>199039209</v>
      </c>
      <c r="L50" s="24">
        <f>L49+L48</f>
        <v>84525714</v>
      </c>
      <c r="M50" s="24">
        <f>M49+M48</f>
        <v>22975244</v>
      </c>
      <c r="N50" s="24">
        <f>N49+N48</f>
        <v>15012577</v>
      </c>
      <c r="O50" s="310">
        <f t="shared" si="17"/>
        <v>122513535</v>
      </c>
      <c r="P50" s="24">
        <f>P49+P48</f>
        <v>329180037</v>
      </c>
      <c r="Q50" s="211">
        <f t="shared" si="18"/>
        <v>1157473326</v>
      </c>
      <c r="R50" s="24">
        <f>R49+R48</f>
        <v>3067703963</v>
      </c>
      <c r="S50" s="221">
        <f t="shared" si="19"/>
        <v>4225177289</v>
      </c>
      <c r="T50" s="24">
        <f>T49+T48</f>
        <v>3298205139</v>
      </c>
      <c r="U50" s="193">
        <f>U49+U48</f>
        <v>2763786507</v>
      </c>
      <c r="V50" s="194">
        <f>V49+V48</f>
        <v>445095632</v>
      </c>
      <c r="W50" s="24">
        <f>W49+W48</f>
        <v>89323000</v>
      </c>
      <c r="X50" s="27">
        <f t="shared" si="6"/>
        <v>3298205139</v>
      </c>
    </row>
    <row r="51" spans="17:20" ht="16.5" thickBot="1">
      <c r="Q51" s="212"/>
      <c r="S51" s="223"/>
      <c r="T51" s="4"/>
    </row>
    <row r="52" spans="1:21" s="138" customFormat="1" ht="12.75">
      <c r="A52" s="197" t="s">
        <v>161</v>
      </c>
      <c r="B52" s="273">
        <f aca="true" t="shared" si="26" ref="B52:J52">SUM(B53:B54)</f>
        <v>9</v>
      </c>
      <c r="C52" s="275">
        <f t="shared" si="26"/>
        <v>15.5</v>
      </c>
      <c r="D52" s="278">
        <f t="shared" si="26"/>
        <v>12</v>
      </c>
      <c r="E52" s="275">
        <f t="shared" si="26"/>
        <v>44.75</v>
      </c>
      <c r="F52" s="278">
        <f t="shared" si="26"/>
        <v>18.25</v>
      </c>
      <c r="G52" s="275">
        <f t="shared" si="26"/>
        <v>5.5</v>
      </c>
      <c r="H52" s="275">
        <f t="shared" si="26"/>
        <v>10.5</v>
      </c>
      <c r="I52" s="278">
        <f t="shared" si="26"/>
        <v>3.5</v>
      </c>
      <c r="J52" s="275">
        <f t="shared" si="26"/>
        <v>3</v>
      </c>
      <c r="K52" s="297">
        <f>F52+G52+H52+I52+J52</f>
        <v>40.75</v>
      </c>
      <c r="L52" s="275">
        <f>SUM(L53:L54)</f>
        <v>18.5</v>
      </c>
      <c r="M52" s="278">
        <f>SUM(M53:M54)</f>
        <v>3</v>
      </c>
      <c r="N52" s="275">
        <f>SUM(N53:N54)</f>
        <v>3</v>
      </c>
      <c r="O52" s="313">
        <f>L52+M52+N52</f>
        <v>24.5</v>
      </c>
      <c r="P52" s="275">
        <f>SUM(P53:P54)</f>
        <v>54</v>
      </c>
      <c r="Q52" s="256">
        <f>B52+C52+D52+E52+K52+O52+P52</f>
        <v>200.5</v>
      </c>
      <c r="R52" s="275">
        <f>SUM(R53:R54)</f>
        <v>4.75</v>
      </c>
      <c r="S52" s="281">
        <f>SUM(Q52:R52)</f>
        <v>205.25</v>
      </c>
      <c r="T52" s="201"/>
      <c r="U52" s="201"/>
    </row>
    <row r="53" spans="1:22" s="141" customFormat="1" ht="12.75">
      <c r="A53" s="199" t="s">
        <v>157</v>
      </c>
      <c r="B53" s="274">
        <v>7</v>
      </c>
      <c r="C53" s="380">
        <v>5.5</v>
      </c>
      <c r="D53" s="279">
        <v>4</v>
      </c>
      <c r="E53" s="380">
        <v>39.75</v>
      </c>
      <c r="F53" s="279">
        <v>11</v>
      </c>
      <c r="G53" s="276">
        <v>4.5</v>
      </c>
      <c r="H53" s="276">
        <v>6</v>
      </c>
      <c r="I53" s="279">
        <v>2</v>
      </c>
      <c r="J53" s="276">
        <v>2</v>
      </c>
      <c r="K53" s="298">
        <f>F53+G53+H53+I53+J53</f>
        <v>25.5</v>
      </c>
      <c r="L53" s="276">
        <v>11</v>
      </c>
      <c r="M53" s="279">
        <v>2</v>
      </c>
      <c r="N53" s="276">
        <v>2</v>
      </c>
      <c r="O53" s="314">
        <f>L53+M53+N53</f>
        <v>15</v>
      </c>
      <c r="P53" s="276">
        <v>52</v>
      </c>
      <c r="Q53" s="257">
        <f>B53+C53+D53+E53+K53+O53+P53</f>
        <v>148.75</v>
      </c>
      <c r="R53" s="276">
        <v>3.5</v>
      </c>
      <c r="S53" s="282">
        <f>SUM(Q53:R53)</f>
        <v>152.25</v>
      </c>
      <c r="T53" s="175"/>
      <c r="U53" s="175"/>
      <c r="V53" s="198"/>
    </row>
    <row r="54" spans="1:21" s="141" customFormat="1" ht="12.75">
      <c r="A54" s="199" t="s">
        <v>158</v>
      </c>
      <c r="B54" s="274">
        <v>2</v>
      </c>
      <c r="C54" s="276">
        <v>10</v>
      </c>
      <c r="D54" s="279">
        <v>8</v>
      </c>
      <c r="E54" s="276">
        <v>5</v>
      </c>
      <c r="F54" s="279">
        <v>7.25</v>
      </c>
      <c r="G54" s="276">
        <v>1</v>
      </c>
      <c r="H54" s="276">
        <v>4.5</v>
      </c>
      <c r="I54" s="279">
        <v>1.5</v>
      </c>
      <c r="J54" s="276">
        <v>1</v>
      </c>
      <c r="K54" s="298">
        <f>F54+G54+H54+I54+J54</f>
        <v>15.25</v>
      </c>
      <c r="L54" s="276">
        <v>7.5</v>
      </c>
      <c r="M54" s="279">
        <v>1</v>
      </c>
      <c r="N54" s="276">
        <v>1</v>
      </c>
      <c r="O54" s="314">
        <f>L54+M54+N54</f>
        <v>9.5</v>
      </c>
      <c r="P54" s="276">
        <v>2</v>
      </c>
      <c r="Q54" s="257">
        <f>B54+C54+D54+E54+K54+O54+P54</f>
        <v>51.75</v>
      </c>
      <c r="R54" s="276">
        <v>1.25</v>
      </c>
      <c r="S54" s="282">
        <f>SUM(Q54:R54)</f>
        <v>53</v>
      </c>
      <c r="T54" s="176"/>
      <c r="U54" s="176"/>
    </row>
    <row r="55" spans="1:21" s="138" customFormat="1" ht="13.5" thickBot="1">
      <c r="A55" s="200" t="s">
        <v>305</v>
      </c>
      <c r="B55" s="394">
        <v>2</v>
      </c>
      <c r="C55" s="277">
        <v>1</v>
      </c>
      <c r="D55" s="280">
        <v>0</v>
      </c>
      <c r="E55" s="277">
        <v>0</v>
      </c>
      <c r="F55" s="280">
        <v>1</v>
      </c>
      <c r="G55" s="277">
        <v>1</v>
      </c>
      <c r="H55" s="277">
        <v>0</v>
      </c>
      <c r="I55" s="280">
        <v>0</v>
      </c>
      <c r="J55" s="277">
        <v>1</v>
      </c>
      <c r="K55" s="299">
        <f>F55+G55+H55+I55+J55</f>
        <v>3</v>
      </c>
      <c r="L55" s="277">
        <v>0</v>
      </c>
      <c r="M55" s="280">
        <v>1</v>
      </c>
      <c r="N55" s="277">
        <v>0</v>
      </c>
      <c r="O55" s="315">
        <f>L55+M55+N55</f>
        <v>1</v>
      </c>
      <c r="P55" s="277">
        <v>1</v>
      </c>
      <c r="Q55" s="258">
        <f>B55+C55+D55+E55+K55+O55+P55</f>
        <v>8</v>
      </c>
      <c r="R55" s="277">
        <v>0</v>
      </c>
      <c r="S55" s="283">
        <f>SUM(Q55:R55)</f>
        <v>8</v>
      </c>
      <c r="T55" s="202"/>
      <c r="U55" s="202"/>
    </row>
  </sheetData>
  <sheetProtection/>
  <printOptions/>
  <pageMargins left="0.5118110236220472" right="0.3937007874015748" top="0.35433070866141736" bottom="0.4330708661417323" header="0.31496062992125984" footer="0.31496062992125984"/>
  <pageSetup horizontalDpi="600" verticalDpi="600" orientation="landscape" paperSize="9" scale="50" r:id="rId1"/>
  <colBreaks count="1" manualBreakCount="1">
    <brk id="1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6.00390625" style="0" customWidth="1"/>
  </cols>
  <sheetData>
    <row r="1" spans="1:5" s="2" customFormat="1" ht="13.5">
      <c r="A1" s="406" t="s">
        <v>334</v>
      </c>
      <c r="B1" s="406"/>
      <c r="C1" s="406"/>
      <c r="D1" s="5"/>
      <c r="E1" s="6"/>
    </row>
    <row r="2" spans="1:5" s="2" customFormat="1" ht="12.75">
      <c r="A2" s="5"/>
      <c r="B2" s="18"/>
      <c r="C2" s="6"/>
      <c r="D2" s="5"/>
      <c r="E2" s="6"/>
    </row>
    <row r="3" spans="1:5" s="2" customFormat="1" ht="16.5" customHeight="1">
      <c r="A3" s="407" t="s">
        <v>228</v>
      </c>
      <c r="B3" s="408"/>
      <c r="C3" s="408"/>
      <c r="D3" s="26"/>
      <c r="E3" s="26"/>
    </row>
    <row r="4" spans="1:5" s="2" customFormat="1" ht="16.5" customHeight="1">
      <c r="A4" s="407" t="s">
        <v>229</v>
      </c>
      <c r="B4" s="407"/>
      <c r="C4" s="407"/>
      <c r="D4" s="1"/>
      <c r="E4" s="1"/>
    </row>
    <row r="5" spans="1:5" s="2" customFormat="1" ht="16.5" customHeight="1">
      <c r="A5" s="1"/>
      <c r="B5" s="31"/>
      <c r="C5" s="1"/>
      <c r="D5" s="1"/>
      <c r="E5" s="1"/>
    </row>
    <row r="6" spans="1:5" s="163" customFormat="1" ht="16.5" customHeight="1">
      <c r="A6" s="162" t="s">
        <v>1</v>
      </c>
      <c r="B6" s="162" t="s">
        <v>84</v>
      </c>
      <c r="C6" s="162"/>
      <c r="D6" s="162"/>
      <c r="E6" s="162"/>
    </row>
    <row r="7" spans="1:5" s="144" customFormat="1" ht="16.5" customHeight="1">
      <c r="A7" s="30" t="s">
        <v>4</v>
      </c>
      <c r="B7" s="30" t="s">
        <v>328</v>
      </c>
      <c r="C7" s="147">
        <v>33000000</v>
      </c>
      <c r="E7" s="160"/>
    </row>
    <row r="8" spans="1:5" s="72" customFormat="1" ht="16.5" customHeight="1">
      <c r="A8" s="30" t="s">
        <v>5</v>
      </c>
      <c r="B8" s="30" t="s">
        <v>257</v>
      </c>
      <c r="C8" s="147">
        <f>35200000-1760000</f>
        <v>33440000</v>
      </c>
      <c r="D8" s="164"/>
      <c r="E8" s="155"/>
    </row>
    <row r="9" spans="1:5" s="72" customFormat="1" ht="16.5" customHeight="1">
      <c r="A9" s="30" t="s">
        <v>6</v>
      </c>
      <c r="B9" s="30" t="s">
        <v>256</v>
      </c>
      <c r="C9" s="147">
        <v>56700824</v>
      </c>
      <c r="D9" s="164"/>
      <c r="E9" s="155"/>
    </row>
    <row r="10" spans="1:5" s="72" customFormat="1" ht="16.5" customHeight="1">
      <c r="A10" s="30" t="s">
        <v>7</v>
      </c>
      <c r="B10" s="30" t="s">
        <v>286</v>
      </c>
      <c r="C10" s="147">
        <f>45609738+7500000+4500000+4800000+1790065</f>
        <v>64199803</v>
      </c>
      <c r="D10" s="164"/>
      <c r="E10" s="155"/>
    </row>
    <row r="11" spans="1:5" s="72" customFormat="1" ht="16.5" customHeight="1">
      <c r="A11" s="30" t="s">
        <v>8</v>
      </c>
      <c r="B11" s="30" t="s">
        <v>193</v>
      </c>
      <c r="C11" s="147">
        <v>18000000</v>
      </c>
      <c r="D11" s="164"/>
      <c r="E11" s="155"/>
    </row>
    <row r="12" spans="2:5" s="71" customFormat="1" ht="16.5" customHeight="1">
      <c r="B12" s="71" t="s">
        <v>3</v>
      </c>
      <c r="C12" s="143">
        <f>SUM(C7:C11)</f>
        <v>205340627</v>
      </c>
      <c r="D12" s="165"/>
      <c r="E12" s="166"/>
    </row>
    <row r="13" spans="3:5" s="144" customFormat="1" ht="16.5" customHeight="1">
      <c r="C13" s="160"/>
      <c r="D13" s="167"/>
      <c r="E13" s="168"/>
    </row>
    <row r="14" spans="1:5" s="71" customFormat="1" ht="16.5" customHeight="1">
      <c r="A14" s="71" t="s">
        <v>9</v>
      </c>
      <c r="B14" s="162" t="s">
        <v>85</v>
      </c>
      <c r="C14" s="143"/>
      <c r="E14" s="143"/>
    </row>
    <row r="15" spans="1:5" s="144" customFormat="1" ht="16.5" customHeight="1">
      <c r="A15" s="30" t="s">
        <v>4</v>
      </c>
      <c r="B15" s="30" t="s">
        <v>302</v>
      </c>
      <c r="C15" s="147">
        <v>72045</v>
      </c>
      <c r="D15" s="167"/>
      <c r="E15" s="168"/>
    </row>
    <row r="16" spans="1:5" s="144" customFormat="1" ht="16.5" customHeight="1">
      <c r="A16" s="30" t="s">
        <v>5</v>
      </c>
      <c r="B16" s="30" t="s">
        <v>303</v>
      </c>
      <c r="C16" s="147">
        <v>48030</v>
      </c>
      <c r="D16" s="167"/>
      <c r="E16" s="168"/>
    </row>
    <row r="17" spans="1:5" s="144" customFormat="1" ht="16.5" customHeight="1">
      <c r="A17" s="236" t="s">
        <v>6</v>
      </c>
      <c r="B17" s="236"/>
      <c r="C17" s="235"/>
      <c r="D17" s="167"/>
      <c r="E17" s="168"/>
    </row>
    <row r="18" spans="1:5" s="144" customFormat="1" ht="16.5" customHeight="1">
      <c r="A18" s="236" t="s">
        <v>7</v>
      </c>
      <c r="B18" s="236" t="s">
        <v>186</v>
      </c>
      <c r="C18" s="235">
        <v>41600000</v>
      </c>
      <c r="D18" s="167"/>
      <c r="E18" s="168"/>
    </row>
    <row r="19" spans="2:5" s="71" customFormat="1" ht="16.5" customHeight="1">
      <c r="B19" s="71" t="s">
        <v>3</v>
      </c>
      <c r="C19" s="143">
        <f>SUM(C15:C18)</f>
        <v>41720075</v>
      </c>
      <c r="E19" s="166"/>
    </row>
    <row r="20" spans="2:5" s="144" customFormat="1" ht="16.5" customHeight="1">
      <c r="B20" s="163"/>
      <c r="C20" s="160"/>
      <c r="E20" s="160"/>
    </row>
    <row r="21" spans="1:5" s="71" customFormat="1" ht="16.5" customHeight="1">
      <c r="A21" s="71" t="s">
        <v>10</v>
      </c>
      <c r="B21" s="162" t="s">
        <v>62</v>
      </c>
      <c r="C21" s="143"/>
      <c r="E21" s="143"/>
    </row>
    <row r="22" spans="1:5" s="71" customFormat="1" ht="16.5" customHeight="1">
      <c r="A22" s="72" t="s">
        <v>4</v>
      </c>
      <c r="B22" s="152" t="s">
        <v>87</v>
      </c>
      <c r="C22" s="143"/>
      <c r="E22" s="143"/>
    </row>
    <row r="23" spans="1:5" s="144" customFormat="1" ht="16.5" customHeight="1">
      <c r="A23" s="30" t="s">
        <v>4</v>
      </c>
      <c r="B23" s="30" t="s">
        <v>63</v>
      </c>
      <c r="C23" s="147">
        <v>7687716</v>
      </c>
      <c r="D23" s="167"/>
      <c r="E23" s="168"/>
    </row>
    <row r="24" spans="1:5" s="158" customFormat="1" ht="16.5" customHeight="1">
      <c r="A24" s="236" t="s">
        <v>5</v>
      </c>
      <c r="B24" s="236" t="s">
        <v>11</v>
      </c>
      <c r="C24" s="235">
        <v>100448</v>
      </c>
      <c r="D24" s="157"/>
      <c r="E24" s="169"/>
    </row>
    <row r="25" spans="1:5" s="144" customFormat="1" ht="16.5" customHeight="1">
      <c r="A25" s="236" t="s">
        <v>6</v>
      </c>
      <c r="B25" s="236" t="s">
        <v>284</v>
      </c>
      <c r="C25" s="235">
        <v>3862557</v>
      </c>
      <c r="D25" s="167"/>
      <c r="E25" s="168"/>
    </row>
    <row r="26" spans="1:5" s="144" customFormat="1" ht="16.5" customHeight="1">
      <c r="A26" s="236" t="s">
        <v>7</v>
      </c>
      <c r="B26" s="236" t="s">
        <v>12</v>
      </c>
      <c r="C26" s="235">
        <v>1165207</v>
      </c>
      <c r="D26" s="167"/>
      <c r="E26" s="168"/>
    </row>
    <row r="27" spans="2:5" s="71" customFormat="1" ht="16.5" customHeight="1">
      <c r="B27" s="152" t="s">
        <v>3</v>
      </c>
      <c r="C27" s="150">
        <f>SUM(C23:C26)</f>
        <v>12815928</v>
      </c>
      <c r="E27" s="143"/>
    </row>
    <row r="28" spans="1:5" s="71" customFormat="1" ht="16.5" customHeight="1">
      <c r="A28" s="72" t="s">
        <v>5</v>
      </c>
      <c r="B28" s="152" t="s">
        <v>86</v>
      </c>
      <c r="C28" s="143"/>
      <c r="E28" s="143"/>
    </row>
    <row r="29" spans="1:5" s="144" customFormat="1" ht="16.5" customHeight="1">
      <c r="A29" s="30" t="s">
        <v>4</v>
      </c>
      <c r="B29" s="30" t="s">
        <v>306</v>
      </c>
      <c r="C29" s="147">
        <v>1478431</v>
      </c>
      <c r="D29" s="167"/>
      <c r="E29" s="168"/>
    </row>
    <row r="30" spans="1:5" s="144" customFormat="1" ht="16.5" customHeight="1">
      <c r="A30" s="30" t="s">
        <v>5</v>
      </c>
      <c r="B30" s="30"/>
      <c r="C30" s="147"/>
      <c r="D30" s="167"/>
      <c r="E30" s="168"/>
    </row>
    <row r="31" spans="2:5" s="71" customFormat="1" ht="16.5" customHeight="1">
      <c r="B31" s="72" t="s">
        <v>3</v>
      </c>
      <c r="C31" s="150">
        <f>SUM(C29:C30)</f>
        <v>1478431</v>
      </c>
      <c r="E31" s="166"/>
    </row>
    <row r="32" spans="2:5" s="71" customFormat="1" ht="16.5" customHeight="1">
      <c r="B32" s="71" t="s">
        <v>3</v>
      </c>
      <c r="C32" s="143">
        <f>C27+C31</f>
        <v>14294359</v>
      </c>
      <c r="E32" s="166"/>
    </row>
    <row r="33" spans="2:5" s="71" customFormat="1" ht="16.5" customHeight="1">
      <c r="B33" s="162"/>
      <c r="C33" s="143"/>
      <c r="E33" s="143"/>
    </row>
    <row r="34" spans="2:5" s="71" customFormat="1" ht="28.5" customHeight="1">
      <c r="B34" s="142" t="s">
        <v>88</v>
      </c>
      <c r="C34" s="143">
        <f>C12+C19+C32</f>
        <v>261355061</v>
      </c>
      <c r="E34" s="166"/>
    </row>
    <row r="35" spans="3:5" s="71" customFormat="1" ht="16.5" customHeight="1">
      <c r="C35" s="143"/>
      <c r="E35" s="166"/>
    </row>
    <row r="36" spans="1:5" s="71" customFormat="1" ht="16.5" customHeight="1">
      <c r="A36" s="71" t="s">
        <v>13</v>
      </c>
      <c r="B36" s="162" t="s">
        <v>89</v>
      </c>
      <c r="C36" s="143"/>
      <c r="E36" s="143"/>
    </row>
    <row r="37" spans="1:5" s="158" customFormat="1" ht="16.5" customHeight="1">
      <c r="A37" s="30">
        <v>1</v>
      </c>
      <c r="B37" s="30" t="s">
        <v>167</v>
      </c>
      <c r="C37" s="389">
        <v>5335793</v>
      </c>
      <c r="D37" s="157"/>
      <c r="E37" s="169"/>
    </row>
    <row r="38" spans="1:5" s="158" customFormat="1" ht="16.5" customHeight="1">
      <c r="A38" s="30">
        <v>2</v>
      </c>
      <c r="B38" s="30" t="s">
        <v>327</v>
      </c>
      <c r="C38" s="147">
        <f>11022089-1379435</f>
        <v>9642654</v>
      </c>
      <c r="D38" s="157"/>
      <c r="E38" s="169"/>
    </row>
    <row r="39" spans="1:5" s="158" customFormat="1" ht="16.5" customHeight="1">
      <c r="A39" s="30">
        <v>3</v>
      </c>
      <c r="B39" s="30" t="s">
        <v>293</v>
      </c>
      <c r="C39" s="147">
        <f>11503990-2500000</f>
        <v>9003990</v>
      </c>
      <c r="D39" s="157"/>
      <c r="E39" s="169"/>
    </row>
    <row r="40" spans="1:5" s="158" customFormat="1" ht="16.5" customHeight="1">
      <c r="A40" s="390">
        <v>4</v>
      </c>
      <c r="B40" s="390" t="s">
        <v>280</v>
      </c>
      <c r="C40" s="391">
        <v>72619772</v>
      </c>
      <c r="D40" s="157"/>
      <c r="E40" s="169"/>
    </row>
    <row r="41" spans="1:5" s="158" customFormat="1" ht="16.5" customHeight="1">
      <c r="A41" s="30">
        <v>5</v>
      </c>
      <c r="B41" s="30" t="s">
        <v>281</v>
      </c>
      <c r="C41" s="147">
        <v>14000000</v>
      </c>
      <c r="D41" s="157"/>
      <c r="E41" s="169"/>
    </row>
    <row r="42" spans="1:5" s="158" customFormat="1" ht="16.5" customHeight="1">
      <c r="A42" s="30">
        <v>6</v>
      </c>
      <c r="B42" s="30" t="s">
        <v>262</v>
      </c>
      <c r="C42" s="147">
        <v>285303085</v>
      </c>
      <c r="D42" s="157"/>
      <c r="E42" s="169"/>
    </row>
    <row r="43" spans="1:5" s="158" customFormat="1" ht="16.5" customHeight="1">
      <c r="A43" s="30">
        <v>7</v>
      </c>
      <c r="B43" s="30" t="s">
        <v>263</v>
      </c>
      <c r="C43" s="147">
        <f>137437852-2917000</f>
        <v>134520852</v>
      </c>
      <c r="D43" s="157"/>
      <c r="E43" s="169"/>
    </row>
    <row r="44" spans="1:5" s="158" customFormat="1" ht="16.5" customHeight="1">
      <c r="A44" s="30">
        <v>8</v>
      </c>
      <c r="B44" s="30" t="s">
        <v>264</v>
      </c>
      <c r="C44" s="147">
        <v>276033587</v>
      </c>
      <c r="D44" s="157"/>
      <c r="E44" s="169"/>
    </row>
    <row r="45" spans="1:5" s="158" customFormat="1" ht="16.5" customHeight="1">
      <c r="A45" s="30">
        <v>9</v>
      </c>
      <c r="B45" s="30" t="s">
        <v>265</v>
      </c>
      <c r="C45" s="147">
        <v>5795748</v>
      </c>
      <c r="D45" s="157"/>
      <c r="E45" s="169"/>
    </row>
    <row r="46" spans="1:5" s="158" customFormat="1" ht="16.5" customHeight="1">
      <c r="A46" s="30">
        <v>10</v>
      </c>
      <c r="B46" s="30" t="s">
        <v>266</v>
      </c>
      <c r="C46" s="147">
        <v>98529302</v>
      </c>
      <c r="D46" s="157"/>
      <c r="E46" s="169"/>
    </row>
    <row r="47" spans="1:5" s="158" customFormat="1" ht="16.5" customHeight="1">
      <c r="A47" s="30">
        <v>11</v>
      </c>
      <c r="B47" s="30" t="s">
        <v>267</v>
      </c>
      <c r="C47" s="147">
        <f>81319020-1385400</f>
        <v>79933620</v>
      </c>
      <c r="D47" s="157"/>
      <c r="E47" s="169"/>
    </row>
    <row r="48" spans="1:5" s="158" customFormat="1" ht="16.5" customHeight="1">
      <c r="A48" s="30">
        <v>12</v>
      </c>
      <c r="B48" s="30" t="s">
        <v>268</v>
      </c>
      <c r="C48" s="147">
        <f>55918496-715000</f>
        <v>55203496</v>
      </c>
      <c r="D48" s="157"/>
      <c r="E48" s="169"/>
    </row>
    <row r="49" spans="1:5" s="158" customFormat="1" ht="16.5" customHeight="1">
      <c r="A49" s="30">
        <v>13</v>
      </c>
      <c r="B49" s="30" t="s">
        <v>269</v>
      </c>
      <c r="C49" s="147">
        <v>9689915</v>
      </c>
      <c r="D49" s="157"/>
      <c r="E49" s="169"/>
    </row>
    <row r="50" spans="1:5" s="158" customFormat="1" ht="16.5" customHeight="1">
      <c r="A50" s="30">
        <v>14</v>
      </c>
      <c r="B50" s="388" t="s">
        <v>282</v>
      </c>
      <c r="C50" s="147">
        <v>85119976</v>
      </c>
      <c r="D50" s="157"/>
      <c r="E50" s="169"/>
    </row>
    <row r="51" spans="2:5" s="71" customFormat="1" ht="16.5" customHeight="1">
      <c r="B51" s="152" t="s">
        <v>3</v>
      </c>
      <c r="C51" s="150">
        <f>SUM(C37:C50)</f>
        <v>1140731790</v>
      </c>
      <c r="E51" s="143"/>
    </row>
    <row r="52" spans="3:5" s="144" customFormat="1" ht="16.5" customHeight="1">
      <c r="C52" s="168"/>
      <c r="D52" s="167"/>
      <c r="E52" s="168"/>
    </row>
    <row r="53" spans="2:5" s="71" customFormat="1" ht="16.5" customHeight="1">
      <c r="B53" s="162" t="s">
        <v>90</v>
      </c>
      <c r="C53" s="143">
        <f>C51</f>
        <v>1140731790</v>
      </c>
      <c r="E53" s="143"/>
    </row>
    <row r="54" spans="2:5" s="71" customFormat="1" ht="16.5" customHeight="1">
      <c r="B54" s="162"/>
      <c r="C54" s="143"/>
      <c r="E54" s="143"/>
    </row>
    <row r="55" spans="2:5" s="144" customFormat="1" ht="16.5" customHeight="1">
      <c r="B55" s="71" t="s">
        <v>14</v>
      </c>
      <c r="C55" s="166">
        <f>C34+C53</f>
        <v>1402086851</v>
      </c>
      <c r="D55" s="167"/>
      <c r="E55" s="168"/>
    </row>
    <row r="56" spans="2:5" s="144" customFormat="1" ht="16.5" customHeight="1">
      <c r="B56" s="71" t="s">
        <v>47</v>
      </c>
      <c r="C56" s="168"/>
      <c r="D56" s="167"/>
      <c r="E56" s="168"/>
    </row>
    <row r="57" spans="2:5" s="144" customFormat="1" ht="16.5" customHeight="1">
      <c r="B57" s="159" t="s">
        <v>48</v>
      </c>
      <c r="C57" s="170">
        <f>C55-C58</f>
        <v>1282738867</v>
      </c>
      <c r="D57" s="167"/>
      <c r="E57" s="168"/>
    </row>
    <row r="58" spans="2:5" s="144" customFormat="1" ht="16.5" customHeight="1">
      <c r="B58" s="242" t="s">
        <v>46</v>
      </c>
      <c r="C58" s="239">
        <f>C26+C25+C24+C18+C17+C40</f>
        <v>119347984</v>
      </c>
      <c r="D58" s="167"/>
      <c r="E58" s="168"/>
    </row>
    <row r="59" spans="3:5" s="144" customFormat="1" ht="12.75">
      <c r="C59" s="168"/>
      <c r="D59" s="167"/>
      <c r="E59" s="168"/>
    </row>
    <row r="61" ht="12.75">
      <c r="C61" s="228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125" style="0" bestFit="1" customWidth="1"/>
    <col min="2" max="2" width="66.125" style="0" customWidth="1"/>
    <col min="3" max="3" width="18.875" style="0" customWidth="1"/>
    <col min="6" max="6" width="9.25390625" style="0" bestFit="1" customWidth="1"/>
  </cols>
  <sheetData>
    <row r="1" spans="1:3" s="2" customFormat="1" ht="13.5" customHeight="1">
      <c r="A1" s="406" t="s">
        <v>335</v>
      </c>
      <c r="B1" s="406"/>
      <c r="C1" s="406"/>
    </row>
    <row r="2" spans="1:3" s="2" customFormat="1" ht="15" customHeight="1">
      <c r="A2" s="407" t="s">
        <v>230</v>
      </c>
      <c r="B2" s="407"/>
      <c r="C2" s="407"/>
    </row>
    <row r="3" spans="1:3" s="2" customFormat="1" ht="9" customHeight="1">
      <c r="A3" s="1"/>
      <c r="B3" s="1"/>
      <c r="C3" s="1"/>
    </row>
    <row r="4" spans="1:3" s="144" customFormat="1" ht="13.5" customHeight="1">
      <c r="A4" s="71" t="s">
        <v>1</v>
      </c>
      <c r="B4" s="142" t="s">
        <v>73</v>
      </c>
      <c r="C4" s="143"/>
    </row>
    <row r="5" spans="1:4" s="146" customFormat="1" ht="16.5" customHeight="1">
      <c r="A5" s="393">
        <v>1</v>
      </c>
      <c r="B5" s="245" t="s">
        <v>22</v>
      </c>
      <c r="C5" s="246">
        <v>6000000</v>
      </c>
      <c r="D5" s="145"/>
    </row>
    <row r="6" spans="1:4" s="146" customFormat="1" ht="16.5" customHeight="1">
      <c r="A6" s="393">
        <v>2</v>
      </c>
      <c r="B6" s="245" t="s">
        <v>20</v>
      </c>
      <c r="C6" s="246">
        <f>5000000+707390</f>
        <v>5707390</v>
      </c>
      <c r="D6" s="145"/>
    </row>
    <row r="7" spans="1:4" s="146" customFormat="1" ht="16.5" customHeight="1">
      <c r="A7" s="393">
        <v>3</v>
      </c>
      <c r="B7" s="247" t="s">
        <v>148</v>
      </c>
      <c r="C7" s="248">
        <v>3000000</v>
      </c>
      <c r="D7" s="145"/>
    </row>
    <row r="8" spans="1:3" s="145" customFormat="1" ht="16.5" customHeight="1">
      <c r="A8" s="393">
        <v>4</v>
      </c>
      <c r="B8" s="247" t="s">
        <v>64</v>
      </c>
      <c r="C8" s="248">
        <v>5000000</v>
      </c>
    </row>
    <row r="9" spans="1:3" s="145" customFormat="1" ht="15" customHeight="1">
      <c r="A9" s="393">
        <v>5</v>
      </c>
      <c r="B9" s="373" t="s">
        <v>259</v>
      </c>
      <c r="C9" s="381">
        <v>2500000</v>
      </c>
    </row>
    <row r="10" spans="1:3" s="145" customFormat="1" ht="16.5" customHeight="1">
      <c r="A10" s="393">
        <v>6</v>
      </c>
      <c r="B10" s="373" t="s">
        <v>260</v>
      </c>
      <c r="C10" s="381">
        <v>14000000</v>
      </c>
    </row>
    <row r="11" spans="1:3" s="145" customFormat="1" ht="16.5" customHeight="1">
      <c r="A11" s="393">
        <v>7</v>
      </c>
      <c r="B11" s="249" t="s">
        <v>253</v>
      </c>
      <c r="C11" s="250">
        <v>1000000</v>
      </c>
    </row>
    <row r="12" spans="1:5" s="145" customFormat="1" ht="17.25" customHeight="1">
      <c r="A12" s="393">
        <v>8</v>
      </c>
      <c r="B12" s="398" t="s">
        <v>261</v>
      </c>
      <c r="C12" s="381">
        <v>6000000</v>
      </c>
      <c r="E12" s="144"/>
    </row>
    <row r="13" spans="1:5" s="145" customFormat="1" ht="15" customHeight="1">
      <c r="A13" s="393">
        <v>9</v>
      </c>
      <c r="B13" s="382" t="s">
        <v>277</v>
      </c>
      <c r="C13" s="381">
        <v>5847125</v>
      </c>
      <c r="E13" s="144"/>
    </row>
    <row r="14" spans="1:5" s="145" customFormat="1" ht="15" customHeight="1">
      <c r="A14" s="393">
        <v>10</v>
      </c>
      <c r="B14" s="249" t="s">
        <v>262</v>
      </c>
      <c r="C14" s="250">
        <v>285303085</v>
      </c>
      <c r="E14" s="144"/>
    </row>
    <row r="15" spans="1:5" s="145" customFormat="1" ht="15" customHeight="1">
      <c r="A15" s="393">
        <v>11</v>
      </c>
      <c r="B15" s="249" t="s">
        <v>263</v>
      </c>
      <c r="C15" s="250">
        <f>137437852-2917000</f>
        <v>134520852</v>
      </c>
      <c r="E15" s="144"/>
    </row>
    <row r="16" spans="1:5" s="145" customFormat="1" ht="15.75" customHeight="1">
      <c r="A16" s="393">
        <v>12</v>
      </c>
      <c r="B16" s="249" t="s">
        <v>264</v>
      </c>
      <c r="C16" s="250">
        <v>276033587</v>
      </c>
      <c r="E16" s="160"/>
    </row>
    <row r="17" spans="1:5" s="145" customFormat="1" ht="15.75" customHeight="1">
      <c r="A17" s="393">
        <v>13</v>
      </c>
      <c r="B17" s="249" t="s">
        <v>265</v>
      </c>
      <c r="C17" s="250">
        <v>5795748</v>
      </c>
      <c r="E17" s="160"/>
    </row>
    <row r="18" spans="1:5" s="145" customFormat="1" ht="12.75">
      <c r="A18" s="393">
        <v>14</v>
      </c>
      <c r="B18" s="249" t="s">
        <v>266</v>
      </c>
      <c r="C18" s="250">
        <v>98529302</v>
      </c>
      <c r="E18" s="160"/>
    </row>
    <row r="19" spans="1:5" s="145" customFormat="1" ht="12.75">
      <c r="A19" s="393">
        <v>15</v>
      </c>
      <c r="B19" s="249" t="s">
        <v>267</v>
      </c>
      <c r="C19" s="250">
        <f>81319020-1385400</f>
        <v>79933620</v>
      </c>
      <c r="E19" s="160"/>
    </row>
    <row r="20" spans="1:5" s="145" customFormat="1" ht="12.75">
      <c r="A20" s="393">
        <v>16</v>
      </c>
      <c r="B20" s="249" t="s">
        <v>268</v>
      </c>
      <c r="C20" s="250">
        <f>55918496-715000</f>
        <v>55203496</v>
      </c>
      <c r="E20" s="160"/>
    </row>
    <row r="21" spans="1:5" s="145" customFormat="1" ht="14.25" customHeight="1">
      <c r="A21" s="393">
        <v>17</v>
      </c>
      <c r="B21" s="249" t="s">
        <v>269</v>
      </c>
      <c r="C21" s="250">
        <v>9689915</v>
      </c>
      <c r="E21" s="160"/>
    </row>
    <row r="22" spans="1:5" s="145" customFormat="1" ht="13.5" customHeight="1">
      <c r="A22" s="393">
        <v>18</v>
      </c>
      <c r="B22" s="253" t="s">
        <v>294</v>
      </c>
      <c r="C22" s="252">
        <f>11503990-2500000</f>
        <v>9003990</v>
      </c>
      <c r="E22" s="160"/>
    </row>
    <row r="23" spans="1:5" s="145" customFormat="1" ht="13.5" customHeight="1">
      <c r="A23" s="393">
        <v>19</v>
      </c>
      <c r="B23" s="253" t="s">
        <v>296</v>
      </c>
      <c r="C23" s="252">
        <f>11153745+4430631-1379435-850000</f>
        <v>13354941</v>
      </c>
      <c r="E23" s="160"/>
    </row>
    <row r="24" spans="1:5" s="145" customFormat="1" ht="14.25" customHeight="1">
      <c r="A24" s="393">
        <v>20</v>
      </c>
      <c r="B24" s="253" t="s">
        <v>329</v>
      </c>
      <c r="C24" s="252">
        <v>8000000</v>
      </c>
      <c r="E24" s="160"/>
    </row>
    <row r="25" spans="1:5" s="145" customFormat="1" ht="14.25" customHeight="1">
      <c r="A25" s="393">
        <v>21</v>
      </c>
      <c r="B25" s="253" t="s">
        <v>323</v>
      </c>
      <c r="C25" s="252">
        <v>4800000</v>
      </c>
      <c r="E25" s="160"/>
    </row>
    <row r="26" spans="1:5" s="145" customFormat="1" ht="14.25" customHeight="1">
      <c r="A26" s="393">
        <v>22</v>
      </c>
      <c r="B26" s="249" t="s">
        <v>254</v>
      </c>
      <c r="C26" s="252">
        <v>1790065</v>
      </c>
      <c r="E26" s="160"/>
    </row>
    <row r="27" spans="1:5" s="145" customFormat="1" ht="14.25" customHeight="1">
      <c r="A27" s="393">
        <v>23</v>
      </c>
      <c r="B27" s="249" t="s">
        <v>317</v>
      </c>
      <c r="C27" s="252">
        <v>850000</v>
      </c>
      <c r="E27" s="160"/>
    </row>
    <row r="28" spans="1:5" s="145" customFormat="1" ht="14.25" customHeight="1">
      <c r="A28" s="393">
        <v>24</v>
      </c>
      <c r="B28" s="249" t="s">
        <v>245</v>
      </c>
      <c r="C28" s="252">
        <v>8000000</v>
      </c>
      <c r="E28" s="160"/>
    </row>
    <row r="29" spans="1:5" s="145" customFormat="1" ht="14.25" customHeight="1">
      <c r="A29" s="393">
        <v>25</v>
      </c>
      <c r="B29" s="253" t="s">
        <v>307</v>
      </c>
      <c r="C29" s="252">
        <v>1478431</v>
      </c>
      <c r="E29" s="160"/>
    </row>
    <row r="30" spans="1:5" s="145" customFormat="1" ht="14.25" customHeight="1">
      <c r="A30" s="393">
        <v>26</v>
      </c>
      <c r="B30" s="253" t="s">
        <v>169</v>
      </c>
      <c r="C30" s="252">
        <v>1000000</v>
      </c>
      <c r="E30" s="160"/>
    </row>
    <row r="31" spans="1:5" s="145" customFormat="1" ht="26.25" customHeight="1">
      <c r="A31" s="393">
        <v>27</v>
      </c>
      <c r="B31" s="249" t="s">
        <v>283</v>
      </c>
      <c r="C31" s="252">
        <v>254000</v>
      </c>
      <c r="E31" s="160"/>
    </row>
    <row r="32" spans="1:5" s="145" customFormat="1" ht="14.25" customHeight="1">
      <c r="A32" s="393">
        <v>28</v>
      </c>
      <c r="B32" s="253" t="s">
        <v>170</v>
      </c>
      <c r="C32" s="252">
        <v>2000000</v>
      </c>
      <c r="E32" s="160"/>
    </row>
    <row r="33" spans="1:5" s="145" customFormat="1" ht="14.25" customHeight="1">
      <c r="A33" s="393">
        <v>29</v>
      </c>
      <c r="B33" s="253" t="s">
        <v>297</v>
      </c>
      <c r="C33" s="252">
        <v>890000</v>
      </c>
      <c r="E33" s="160"/>
    </row>
    <row r="34" spans="1:5" s="145" customFormat="1" ht="14.25" customHeight="1">
      <c r="A34" s="393">
        <v>30</v>
      </c>
      <c r="B34" s="253" t="s">
        <v>298</v>
      </c>
      <c r="C34" s="252">
        <v>550000</v>
      </c>
      <c r="E34" s="160"/>
    </row>
    <row r="35" spans="1:5" s="145" customFormat="1" ht="14.25" customHeight="1">
      <c r="A35" s="393">
        <v>31</v>
      </c>
      <c r="B35" s="253" t="s">
        <v>299</v>
      </c>
      <c r="C35" s="252">
        <v>150000</v>
      </c>
      <c r="E35" s="160"/>
    </row>
    <row r="36" spans="1:5" s="145" customFormat="1" ht="14.25" customHeight="1">
      <c r="A36" s="393">
        <v>32</v>
      </c>
      <c r="B36" s="253" t="s">
        <v>300</v>
      </c>
      <c r="C36" s="252">
        <v>1000000</v>
      </c>
      <c r="E36" s="160"/>
    </row>
    <row r="37" spans="1:5" s="145" customFormat="1" ht="14.25" customHeight="1">
      <c r="A37" s="393">
        <v>33</v>
      </c>
      <c r="B37" s="253" t="s">
        <v>301</v>
      </c>
      <c r="C37" s="252">
        <v>200000</v>
      </c>
      <c r="E37" s="160"/>
    </row>
    <row r="38" spans="1:3" s="145" customFormat="1" ht="15" customHeight="1">
      <c r="A38" s="383">
        <v>34</v>
      </c>
      <c r="B38" s="384" t="s">
        <v>295</v>
      </c>
      <c r="C38" s="385">
        <v>3000000</v>
      </c>
    </row>
    <row r="39" spans="1:3" s="145" customFormat="1" ht="15" customHeight="1">
      <c r="A39" s="383">
        <v>35</v>
      </c>
      <c r="B39" s="399" t="s">
        <v>272</v>
      </c>
      <c r="C39" s="385">
        <v>12000000</v>
      </c>
    </row>
    <row r="40" spans="1:3" s="145" customFormat="1" ht="15" customHeight="1">
      <c r="A40" s="383">
        <v>36</v>
      </c>
      <c r="B40" s="384" t="s">
        <v>168</v>
      </c>
      <c r="C40" s="385">
        <v>72619772</v>
      </c>
    </row>
    <row r="41" spans="1:3" s="145" customFormat="1" ht="15" customHeight="1">
      <c r="A41" s="383">
        <v>37</v>
      </c>
      <c r="B41" s="384" t="s">
        <v>285</v>
      </c>
      <c r="C41" s="385">
        <v>85750000</v>
      </c>
    </row>
    <row r="42" spans="1:3" s="145" customFormat="1" ht="16.5" customHeight="1">
      <c r="A42" s="383">
        <v>38</v>
      </c>
      <c r="B42" s="384" t="s">
        <v>287</v>
      </c>
      <c r="C42" s="385">
        <v>22876000</v>
      </c>
    </row>
    <row r="43" spans="1:3" s="145" customFormat="1" ht="16.5" customHeight="1">
      <c r="A43" s="383">
        <v>39</v>
      </c>
      <c r="B43" s="234" t="s">
        <v>187</v>
      </c>
      <c r="C43" s="235">
        <v>16300000</v>
      </c>
    </row>
    <row r="44" spans="1:3" s="145" customFormat="1" ht="26.25" customHeight="1">
      <c r="A44" s="383">
        <v>40</v>
      </c>
      <c r="B44" s="234" t="s">
        <v>188</v>
      </c>
      <c r="C44" s="235">
        <v>3550000</v>
      </c>
    </row>
    <row r="45" spans="1:3" s="145" customFormat="1" ht="26.25" customHeight="1">
      <c r="A45" s="383">
        <v>41</v>
      </c>
      <c r="B45" s="234" t="s">
        <v>189</v>
      </c>
      <c r="C45" s="235">
        <v>11000000</v>
      </c>
    </row>
    <row r="46" spans="1:3" s="145" customFormat="1" ht="25.5" customHeight="1">
      <c r="A46" s="383">
        <v>42</v>
      </c>
      <c r="B46" s="234" t="s">
        <v>190</v>
      </c>
      <c r="C46" s="235">
        <v>2800000</v>
      </c>
    </row>
    <row r="47" spans="1:3" s="145" customFormat="1" ht="16.5" customHeight="1">
      <c r="A47" s="383">
        <v>43</v>
      </c>
      <c r="B47" s="234" t="s">
        <v>191</v>
      </c>
      <c r="C47" s="235">
        <v>5300000</v>
      </c>
    </row>
    <row r="48" spans="1:3" s="145" customFormat="1" ht="16.5" customHeight="1">
      <c r="A48" s="383">
        <v>44</v>
      </c>
      <c r="B48" s="234" t="s">
        <v>270</v>
      </c>
      <c r="C48" s="235">
        <v>1750000</v>
      </c>
    </row>
    <row r="49" spans="1:3" s="145" customFormat="1" ht="16.5" customHeight="1">
      <c r="A49" s="383">
        <v>45</v>
      </c>
      <c r="B49" s="234" t="s">
        <v>271</v>
      </c>
      <c r="C49" s="235">
        <v>900000</v>
      </c>
    </row>
    <row r="50" spans="1:3" s="145" customFormat="1" ht="12.75">
      <c r="A50" s="32"/>
      <c r="B50" s="71" t="s">
        <v>3</v>
      </c>
      <c r="C50" s="149">
        <f>SUM(C5:C49)</f>
        <v>1285231319</v>
      </c>
    </row>
    <row r="51" spans="1:3" s="145" customFormat="1" ht="12.75">
      <c r="A51" s="32"/>
      <c r="B51" s="71"/>
      <c r="C51" s="149"/>
    </row>
    <row r="52" spans="1:3" s="145" customFormat="1" ht="12.75">
      <c r="A52" s="32"/>
      <c r="B52" s="71"/>
      <c r="C52" s="149"/>
    </row>
    <row r="53" spans="1:3" s="145" customFormat="1" ht="12.75">
      <c r="A53" s="32"/>
      <c r="B53" s="71"/>
      <c r="C53" s="149"/>
    </row>
    <row r="54" spans="1:3" s="145" customFormat="1" ht="12.75">
      <c r="A54" s="32"/>
      <c r="B54" s="71"/>
      <c r="C54" s="149"/>
    </row>
    <row r="55" spans="1:3" s="145" customFormat="1" ht="12.75">
      <c r="A55" s="32"/>
      <c r="B55" s="71"/>
      <c r="C55" s="149"/>
    </row>
    <row r="56" spans="1:4" s="146" customFormat="1" ht="15.75">
      <c r="A56" s="71" t="s">
        <v>2</v>
      </c>
      <c r="B56" s="71" t="s">
        <v>74</v>
      </c>
      <c r="C56" s="143"/>
      <c r="D56" s="145"/>
    </row>
    <row r="57" spans="1:4" s="145" customFormat="1" ht="16.5" customHeight="1">
      <c r="A57" s="244">
        <v>1</v>
      </c>
      <c r="B57" s="245" t="s">
        <v>274</v>
      </c>
      <c r="C57" s="246">
        <v>85119976</v>
      </c>
      <c r="D57" s="148"/>
    </row>
    <row r="58" spans="1:4" s="145" customFormat="1" ht="16.5" customHeight="1">
      <c r="A58" s="244">
        <v>2</v>
      </c>
      <c r="B58" s="251" t="s">
        <v>171</v>
      </c>
      <c r="C58" s="246">
        <v>5335793</v>
      </c>
      <c r="D58" s="148"/>
    </row>
    <row r="59" spans="1:3" s="71" customFormat="1" ht="12.75">
      <c r="A59" s="244">
        <v>3</v>
      </c>
      <c r="B59" s="249" t="s">
        <v>292</v>
      </c>
      <c r="C59" s="252">
        <v>7500000</v>
      </c>
    </row>
    <row r="60" spans="1:3" s="71" customFormat="1" ht="12.75">
      <c r="A60" s="244">
        <v>4</v>
      </c>
      <c r="B60" s="253" t="s">
        <v>324</v>
      </c>
      <c r="C60" s="252">
        <v>190500</v>
      </c>
    </row>
    <row r="61" spans="1:3" s="71" customFormat="1" ht="12.75">
      <c r="A61" s="244">
        <v>5</v>
      </c>
      <c r="B61" s="253" t="s">
        <v>325</v>
      </c>
      <c r="C61" s="252">
        <v>381000</v>
      </c>
    </row>
    <row r="62" spans="1:3" s="71" customFormat="1" ht="12.75">
      <c r="A62" s="244">
        <v>6</v>
      </c>
      <c r="B62" s="253" t="s">
        <v>326</v>
      </c>
      <c r="C62" s="252">
        <v>127000</v>
      </c>
    </row>
    <row r="63" spans="1:3" s="71" customFormat="1" ht="25.5">
      <c r="A63" s="244">
        <v>7</v>
      </c>
      <c r="B63" s="249" t="s">
        <v>273</v>
      </c>
      <c r="C63" s="252">
        <v>1267206</v>
      </c>
    </row>
    <row r="64" spans="1:3" s="71" customFormat="1" ht="12.75">
      <c r="A64" s="244">
        <v>8</v>
      </c>
      <c r="B64" s="253" t="s">
        <v>310</v>
      </c>
      <c r="C64" s="252">
        <v>4500000</v>
      </c>
    </row>
    <row r="65" spans="1:3" s="71" customFormat="1" ht="16.5" customHeight="1">
      <c r="A65" s="144"/>
      <c r="B65" s="142" t="s">
        <v>3</v>
      </c>
      <c r="C65" s="149">
        <f>SUM(C57:C64)</f>
        <v>104421475</v>
      </c>
    </row>
    <row r="66" spans="1:3" s="71" customFormat="1" ht="8.25" customHeight="1">
      <c r="A66" s="144"/>
      <c r="B66" s="142"/>
      <c r="C66" s="149"/>
    </row>
    <row r="67" spans="1:3" s="144" customFormat="1" ht="16.5" customHeight="1">
      <c r="A67" s="71" t="s">
        <v>10</v>
      </c>
      <c r="B67" s="71" t="s">
        <v>91</v>
      </c>
      <c r="C67" s="143"/>
    </row>
    <row r="68" spans="1:3" s="71" customFormat="1" ht="16.5" customHeight="1">
      <c r="A68" s="72" t="s">
        <v>4</v>
      </c>
      <c r="B68" s="72" t="s">
        <v>92</v>
      </c>
      <c r="C68" s="150"/>
    </row>
    <row r="69" spans="1:3" s="71" customFormat="1" ht="16.5" customHeight="1">
      <c r="A69" s="386">
        <v>1</v>
      </c>
      <c r="B69" s="237" t="s">
        <v>12</v>
      </c>
      <c r="C69" s="238">
        <v>1165207</v>
      </c>
    </row>
    <row r="70" spans="1:3" s="144" customFormat="1" ht="16.5" customHeight="1">
      <c r="A70" s="386">
        <v>2</v>
      </c>
      <c r="B70" s="237" t="s">
        <v>44</v>
      </c>
      <c r="C70" s="238">
        <v>0</v>
      </c>
    </row>
    <row r="71" spans="1:3" s="144" customFormat="1" ht="16.5" customHeight="1">
      <c r="A71" s="71"/>
      <c r="B71" s="72" t="s">
        <v>3</v>
      </c>
      <c r="C71" s="150">
        <f>SUM(C69:C70)</f>
        <v>1165207</v>
      </c>
    </row>
    <row r="72" spans="1:3" s="144" customFormat="1" ht="16.5" customHeight="1">
      <c r="A72" s="72" t="s">
        <v>5</v>
      </c>
      <c r="B72" s="72" t="s">
        <v>93</v>
      </c>
      <c r="C72" s="143"/>
    </row>
    <row r="73" spans="1:3" s="71" customFormat="1" ht="16.5" customHeight="1">
      <c r="A73" s="387">
        <v>1</v>
      </c>
      <c r="B73" s="253" t="s">
        <v>291</v>
      </c>
      <c r="C73" s="250">
        <v>5802000</v>
      </c>
    </row>
    <row r="74" spans="2:3" s="71" customFormat="1" ht="16.5" customHeight="1">
      <c r="B74" s="72" t="s">
        <v>3</v>
      </c>
      <c r="C74" s="150">
        <f>SUM(C73:C73)</f>
        <v>5802000</v>
      </c>
    </row>
    <row r="75" spans="1:3" s="144" customFormat="1" ht="16.5" customHeight="1">
      <c r="A75" s="164" t="s">
        <v>6</v>
      </c>
      <c r="B75" s="72" t="s">
        <v>94</v>
      </c>
      <c r="C75" s="143"/>
    </row>
    <row r="76" spans="1:5" s="146" customFormat="1" ht="25.5">
      <c r="A76" s="386">
        <v>1</v>
      </c>
      <c r="B76" s="397" t="s">
        <v>322</v>
      </c>
      <c r="C76" s="238">
        <v>1466850</v>
      </c>
      <c r="D76" s="145"/>
      <c r="E76" s="392"/>
    </row>
    <row r="77" spans="1:3" s="144" customFormat="1" ht="12.75">
      <c r="A77" s="386">
        <v>2</v>
      </c>
      <c r="B77" s="237" t="s">
        <v>246</v>
      </c>
      <c r="C77" s="238">
        <v>4000000</v>
      </c>
    </row>
    <row r="78" spans="2:3" s="71" customFormat="1" ht="12.75">
      <c r="B78" s="72" t="s">
        <v>3</v>
      </c>
      <c r="C78" s="150">
        <f>SUM(C76:C77)</f>
        <v>5466850</v>
      </c>
    </row>
    <row r="79" spans="1:3" s="71" customFormat="1" ht="16.5" customHeight="1">
      <c r="A79" s="151" t="s">
        <v>7</v>
      </c>
      <c r="B79" s="152" t="s">
        <v>95</v>
      </c>
      <c r="C79" s="153"/>
    </row>
    <row r="80" spans="1:3" s="71" customFormat="1" ht="16.5" customHeight="1">
      <c r="A80" s="233">
        <v>1</v>
      </c>
      <c r="B80" s="240" t="s">
        <v>45</v>
      </c>
      <c r="C80" s="241"/>
    </row>
    <row r="81" spans="1:3" s="71" customFormat="1" ht="16.5" customHeight="1">
      <c r="A81" s="154"/>
      <c r="B81" s="152" t="s">
        <v>3</v>
      </c>
      <c r="C81" s="155">
        <f>SUM(C80:C80)</f>
        <v>0</v>
      </c>
    </row>
    <row r="82" spans="1:3" s="71" customFormat="1" ht="16.5" customHeight="1">
      <c r="A82" s="144"/>
      <c r="B82" s="142" t="s">
        <v>3</v>
      </c>
      <c r="C82" s="149">
        <f>C81+C78+C74+C71</f>
        <v>12434057</v>
      </c>
    </row>
    <row r="83" spans="1:4" s="158" customFormat="1" ht="9.75" customHeight="1">
      <c r="A83" s="71"/>
      <c r="B83" s="71"/>
      <c r="C83" s="143"/>
      <c r="D83" s="157"/>
    </row>
    <row r="84" spans="2:3" s="71" customFormat="1" ht="16.5" customHeight="1">
      <c r="B84" s="142" t="s">
        <v>96</v>
      </c>
      <c r="C84" s="143">
        <f>C82+C65+C50</f>
        <v>1402086851</v>
      </c>
    </row>
    <row r="85" spans="1:3" s="158" customFormat="1" ht="10.5" customHeight="1">
      <c r="A85" s="71"/>
      <c r="B85" s="142"/>
      <c r="C85" s="143"/>
    </row>
    <row r="86" spans="1:3" s="71" customFormat="1" ht="16.5" customHeight="1">
      <c r="A86" s="71" t="s">
        <v>13</v>
      </c>
      <c r="B86" s="156" t="s">
        <v>99</v>
      </c>
      <c r="C86" s="143"/>
    </row>
    <row r="87" spans="1:3" s="71" customFormat="1" ht="16.5" customHeight="1">
      <c r="A87" s="387">
        <v>1</v>
      </c>
      <c r="B87" s="247" t="s">
        <v>98</v>
      </c>
      <c r="C87" s="248">
        <v>0</v>
      </c>
    </row>
    <row r="88" spans="2:3" s="71" customFormat="1" ht="16.5" customHeight="1">
      <c r="B88" s="156" t="s">
        <v>3</v>
      </c>
      <c r="C88" s="143">
        <f>SUM(C87:C87)</f>
        <v>0</v>
      </c>
    </row>
    <row r="89" spans="1:3" s="144" customFormat="1" ht="16.5" customHeight="1">
      <c r="A89" s="158"/>
      <c r="B89" s="156" t="s">
        <v>97</v>
      </c>
      <c r="C89" s="143">
        <v>0</v>
      </c>
    </row>
    <row r="90" spans="2:3" s="144" customFormat="1" ht="8.25" customHeight="1">
      <c r="B90" s="71"/>
      <c r="C90" s="143"/>
    </row>
    <row r="91" spans="2:3" s="144" customFormat="1" ht="11.25" customHeight="1">
      <c r="B91" s="71" t="s">
        <v>14</v>
      </c>
      <c r="C91" s="143">
        <f>C84+C89</f>
        <v>1402086851</v>
      </c>
    </row>
    <row r="92" spans="2:3" s="144" customFormat="1" ht="11.25" customHeight="1">
      <c r="B92" s="71" t="s">
        <v>47</v>
      </c>
      <c r="C92" s="143"/>
    </row>
    <row r="93" spans="2:4" s="144" customFormat="1" ht="23.25" customHeight="1">
      <c r="B93" s="254" t="s">
        <v>48</v>
      </c>
      <c r="C93" s="255">
        <f>C91-C94</f>
        <v>1258359022</v>
      </c>
      <c r="D93" s="160"/>
    </row>
    <row r="94" spans="2:3" s="144" customFormat="1" ht="11.25" customHeight="1">
      <c r="B94" s="242" t="s">
        <v>46</v>
      </c>
      <c r="C94" s="243">
        <f>C80+C70+C69+C43+C44+C45+C46+C49+C77+C76+C48+C47+C42+C40</f>
        <v>143727829</v>
      </c>
    </row>
    <row r="95" s="144" customFormat="1" ht="11.25" customHeight="1">
      <c r="C95" s="160"/>
    </row>
    <row r="96" spans="1:3" s="161" customFormat="1" ht="12.75">
      <c r="A96" s="144"/>
      <c r="B96" s="71" t="s">
        <v>66</v>
      </c>
      <c r="C96" s="143">
        <f>'4. melléklet'!C55-C91</f>
        <v>0</v>
      </c>
    </row>
    <row r="97" spans="2:3" s="144" customFormat="1" ht="12.75">
      <c r="B97" s="71"/>
      <c r="C97" s="143"/>
    </row>
    <row r="98" spans="1:3" s="161" customFormat="1" ht="12.75">
      <c r="A98" s="144" t="s">
        <v>143</v>
      </c>
      <c r="B98" s="71" t="s">
        <v>65</v>
      </c>
      <c r="C98" s="160"/>
    </row>
    <row r="99" spans="1:3" s="161" customFormat="1" ht="12.75">
      <c r="A99" s="144">
        <v>1</v>
      </c>
      <c r="B99" s="144" t="s">
        <v>247</v>
      </c>
      <c r="C99" s="396">
        <v>1500000</v>
      </c>
    </row>
    <row r="100" spans="1:3" s="161" customFormat="1" ht="12.75">
      <c r="A100" s="144">
        <v>2</v>
      </c>
      <c r="B100" s="225" t="s">
        <v>275</v>
      </c>
      <c r="C100" s="226">
        <v>6442654</v>
      </c>
    </row>
    <row r="101" spans="1:3" s="161" customFormat="1" ht="12.75">
      <c r="A101" s="144">
        <v>3</v>
      </c>
      <c r="B101" s="227" t="s">
        <v>276</v>
      </c>
      <c r="C101" s="160">
        <v>2000000</v>
      </c>
    </row>
    <row r="102" spans="1:3" s="161" customFormat="1" ht="12.75">
      <c r="A102" s="144">
        <v>4</v>
      </c>
      <c r="B102" s="225" t="s">
        <v>289</v>
      </c>
      <c r="C102" s="160">
        <v>2538938</v>
      </c>
    </row>
    <row r="103" spans="1:3" s="161" customFormat="1" ht="12.75">
      <c r="A103" s="144">
        <v>5</v>
      </c>
      <c r="B103" s="144" t="s">
        <v>288</v>
      </c>
      <c r="C103" s="160">
        <v>11200000</v>
      </c>
    </row>
    <row r="104" spans="1:3" s="161" customFormat="1" ht="12.75">
      <c r="A104" s="144">
        <v>6</v>
      </c>
      <c r="B104" s="227" t="s">
        <v>278</v>
      </c>
      <c r="C104" s="160">
        <v>10000000</v>
      </c>
    </row>
    <row r="105" spans="1:3" s="161" customFormat="1" ht="12.75">
      <c r="A105" s="144">
        <v>7</v>
      </c>
      <c r="B105" s="227" t="s">
        <v>255</v>
      </c>
      <c r="C105" s="160">
        <v>6608779</v>
      </c>
    </row>
    <row r="106" spans="1:6" s="2" customFormat="1" ht="12.75">
      <c r="A106" s="144">
        <v>8</v>
      </c>
      <c r="B106" s="227" t="s">
        <v>314</v>
      </c>
      <c r="C106" s="160">
        <v>7200000</v>
      </c>
      <c r="D106" s="144"/>
      <c r="E106" s="144"/>
      <c r="F106" s="144"/>
    </row>
    <row r="107" spans="1:6" ht="12.75">
      <c r="A107" s="144">
        <v>9</v>
      </c>
      <c r="B107" s="227" t="s">
        <v>318</v>
      </c>
      <c r="C107" s="226">
        <v>600000</v>
      </c>
      <c r="D107" s="224"/>
      <c r="E107" s="224"/>
      <c r="F107" s="224"/>
    </row>
    <row r="108" spans="1:3" s="161" customFormat="1" ht="12.75">
      <c r="A108" s="144">
        <v>10</v>
      </c>
      <c r="B108" s="227" t="s">
        <v>192</v>
      </c>
      <c r="C108" s="160">
        <v>8000000</v>
      </c>
    </row>
    <row r="109" spans="1:6" ht="12.75">
      <c r="A109" s="144">
        <v>11</v>
      </c>
      <c r="B109" s="227" t="s">
        <v>172</v>
      </c>
      <c r="C109" s="160">
        <v>2490000</v>
      </c>
      <c r="D109" s="224"/>
      <c r="E109" s="224"/>
      <c r="F109" s="224"/>
    </row>
    <row r="110" spans="1:6" ht="12.75">
      <c r="A110" s="144">
        <v>12</v>
      </c>
      <c r="B110" s="227" t="s">
        <v>174</v>
      </c>
      <c r="C110" s="226">
        <v>8636000</v>
      </c>
      <c r="D110" s="224"/>
      <c r="E110" s="224"/>
      <c r="F110" s="224"/>
    </row>
    <row r="111" spans="1:6" ht="12.75">
      <c r="A111" s="144"/>
      <c r="B111" s="225" t="s">
        <v>173</v>
      </c>
      <c r="C111" s="168">
        <v>2230000</v>
      </c>
      <c r="D111" s="224"/>
      <c r="E111" s="224"/>
      <c r="F111" s="224"/>
    </row>
    <row r="112" spans="1:6" ht="12.75">
      <c r="A112" s="144"/>
      <c r="B112" s="144" t="s">
        <v>248</v>
      </c>
      <c r="C112" s="168">
        <v>3810000</v>
      </c>
      <c r="D112" s="224"/>
      <c r="E112" s="224"/>
      <c r="F112" s="224"/>
    </row>
    <row r="113" spans="1:6" ht="12.75">
      <c r="A113" s="144"/>
      <c r="B113" s="227" t="s">
        <v>249</v>
      </c>
      <c r="C113" s="168">
        <v>41000000</v>
      </c>
      <c r="D113" s="224"/>
      <c r="E113" s="224"/>
      <c r="F113" s="224"/>
    </row>
    <row r="114" spans="1:6" ht="12.75">
      <c r="A114" s="144"/>
      <c r="B114" s="227" t="s">
        <v>250</v>
      </c>
      <c r="C114" s="168">
        <v>1000000</v>
      </c>
      <c r="D114" s="224"/>
      <c r="E114" s="224"/>
      <c r="F114" s="224"/>
    </row>
    <row r="115" spans="1:6" ht="12.75">
      <c r="A115" s="144"/>
      <c r="B115" s="225" t="s">
        <v>251</v>
      </c>
      <c r="C115" s="226">
        <v>200000</v>
      </c>
      <c r="D115" s="224"/>
      <c r="E115" s="224"/>
      <c r="F115" s="224"/>
    </row>
    <row r="116" spans="1:3" ht="12.75">
      <c r="A116" s="144"/>
      <c r="B116" s="225" t="s">
        <v>252</v>
      </c>
      <c r="C116" s="226">
        <v>900000</v>
      </c>
    </row>
    <row r="117" spans="1:3" ht="12.75">
      <c r="A117" s="144"/>
      <c r="B117" s="225" t="s">
        <v>319</v>
      </c>
      <c r="C117" s="226">
        <v>350000</v>
      </c>
    </row>
    <row r="118" spans="1:3" ht="12.75">
      <c r="A118" s="144"/>
      <c r="B118" s="225" t="s">
        <v>279</v>
      </c>
      <c r="C118" s="226">
        <v>550000</v>
      </c>
    </row>
    <row r="119" spans="1:3" ht="12.75">
      <c r="A119" s="144"/>
      <c r="B119" s="225" t="s">
        <v>290</v>
      </c>
      <c r="C119" s="226">
        <v>23707655</v>
      </c>
    </row>
    <row r="120" spans="1:3" ht="12.75">
      <c r="A120" s="144"/>
      <c r="B120" s="225" t="s">
        <v>315</v>
      </c>
      <c r="C120" s="226">
        <v>4000000</v>
      </c>
    </row>
    <row r="121" spans="1:3" ht="12.75">
      <c r="A121" s="144"/>
      <c r="B121" s="225" t="s">
        <v>316</v>
      </c>
      <c r="C121" s="226">
        <v>90542364</v>
      </c>
    </row>
    <row r="122" spans="1:3" ht="12.75">
      <c r="A122" s="71"/>
      <c r="B122" s="156" t="s">
        <v>3</v>
      </c>
      <c r="C122" s="143">
        <f>SUM(C100:C121)</f>
        <v>234006390</v>
      </c>
    </row>
  </sheetData>
  <sheetProtection/>
  <mergeCells count="2">
    <mergeCell ref="A1:C1"/>
    <mergeCell ref="A2:C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  <rowBreaks count="1" manualBreakCount="1"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37.125" style="7" customWidth="1"/>
    <col min="2" max="2" width="15.875" style="7" customWidth="1"/>
    <col min="3" max="3" width="13.75390625" style="7" customWidth="1"/>
    <col min="4" max="4" width="10.875" style="7" customWidth="1"/>
    <col min="5" max="6" width="10.875" style="7" bestFit="1" customWidth="1"/>
    <col min="7" max="7" width="12.25390625" style="7" bestFit="1" customWidth="1"/>
    <col min="8" max="8" width="9.625" style="7" customWidth="1"/>
    <col min="9" max="16384" width="9.125" style="7" customWidth="1"/>
  </cols>
  <sheetData>
    <row r="1" spans="1:3" ht="13.5">
      <c r="A1" s="406" t="s">
        <v>330</v>
      </c>
      <c r="B1" s="406"/>
      <c r="C1" s="406"/>
    </row>
    <row r="2" spans="1:9" ht="30.75" customHeight="1">
      <c r="A2" s="409" t="s">
        <v>231</v>
      </c>
      <c r="B2" s="409"/>
      <c r="C2" s="409"/>
      <c r="D2" s="409"/>
      <c r="E2" s="409"/>
      <c r="F2" s="409"/>
      <c r="G2" s="409"/>
      <c r="H2" s="103"/>
      <c r="I2" s="103"/>
    </row>
    <row r="4" spans="2:7" ht="52.5" customHeight="1">
      <c r="B4" s="105" t="s">
        <v>313</v>
      </c>
      <c r="C4" s="104" t="s">
        <v>312</v>
      </c>
      <c r="D4" s="106" t="s">
        <v>149</v>
      </c>
      <c r="E4" s="106" t="s">
        <v>166</v>
      </c>
      <c r="F4" s="106" t="s">
        <v>311</v>
      </c>
      <c r="G4" s="107" t="s">
        <v>3</v>
      </c>
    </row>
    <row r="5" spans="1:8" ht="12.75">
      <c r="A5" s="9" t="s">
        <v>30</v>
      </c>
      <c r="B5" s="108"/>
      <c r="C5" s="29"/>
      <c r="D5" s="109"/>
      <c r="E5" s="109"/>
      <c r="F5" s="109"/>
      <c r="G5" s="109"/>
      <c r="H5" s="2"/>
    </row>
    <row r="6" spans="1:7" ht="12.75">
      <c r="A6" s="7" t="s">
        <v>127</v>
      </c>
      <c r="B6" s="111">
        <v>359900000</v>
      </c>
      <c r="C6" s="110">
        <v>489859309</v>
      </c>
      <c r="D6" s="112">
        <v>420000000</v>
      </c>
      <c r="E6" s="112">
        <v>420000000</v>
      </c>
      <c r="F6" s="112">
        <v>450000000</v>
      </c>
      <c r="G6" s="113">
        <f aca="true" t="shared" si="0" ref="G6:G12">SUM(C6:F6)</f>
        <v>1779859309</v>
      </c>
    </row>
    <row r="7" spans="1:7" ht="25.5">
      <c r="A7" s="28" t="s">
        <v>129</v>
      </c>
      <c r="B7" s="111">
        <v>20000000</v>
      </c>
      <c r="C7" s="110">
        <v>18000000</v>
      </c>
      <c r="D7" s="112">
        <v>20000000</v>
      </c>
      <c r="E7" s="112">
        <v>20000000</v>
      </c>
      <c r="F7" s="112">
        <v>20000000</v>
      </c>
      <c r="G7" s="113">
        <f t="shared" si="0"/>
        <v>78000000</v>
      </c>
    </row>
    <row r="8" spans="1:7" ht="12.75">
      <c r="A8" s="7" t="s">
        <v>130</v>
      </c>
      <c r="B8" s="111"/>
      <c r="C8" s="110"/>
      <c r="D8" s="112"/>
      <c r="E8" s="112"/>
      <c r="F8" s="112"/>
      <c r="G8" s="113">
        <f t="shared" si="0"/>
        <v>0</v>
      </c>
    </row>
    <row r="9" spans="1:7" ht="25.5">
      <c r="A9" s="28" t="s">
        <v>128</v>
      </c>
      <c r="B9" s="111">
        <v>35000000</v>
      </c>
      <c r="C9" s="110">
        <v>180750562</v>
      </c>
      <c r="D9" s="112">
        <v>35000000</v>
      </c>
      <c r="E9" s="112">
        <v>35000000</v>
      </c>
      <c r="F9" s="112">
        <v>80000000</v>
      </c>
      <c r="G9" s="113">
        <f t="shared" si="0"/>
        <v>330750562</v>
      </c>
    </row>
    <row r="10" spans="1:7" ht="12.75">
      <c r="A10" s="7" t="s">
        <v>131</v>
      </c>
      <c r="B10" s="111">
        <v>500000</v>
      </c>
      <c r="C10" s="110">
        <v>0</v>
      </c>
      <c r="D10" s="112">
        <v>500000</v>
      </c>
      <c r="E10" s="112">
        <v>500000</v>
      </c>
      <c r="F10" s="112">
        <v>0</v>
      </c>
      <c r="G10" s="113">
        <f t="shared" si="0"/>
        <v>1000000</v>
      </c>
    </row>
    <row r="11" spans="1:7" ht="12.75">
      <c r="A11" s="7" t="s">
        <v>132</v>
      </c>
      <c r="B11" s="111"/>
      <c r="C11" s="110"/>
      <c r="D11" s="112"/>
      <c r="E11" s="112"/>
      <c r="F11" s="112"/>
      <c r="G11" s="113">
        <f t="shared" si="0"/>
        <v>0</v>
      </c>
    </row>
    <row r="12" spans="1:7" s="9" customFormat="1" ht="12.75">
      <c r="A12" s="9" t="s">
        <v>3</v>
      </c>
      <c r="B12" s="114">
        <f>SUM(B6:B11)</f>
        <v>415400000</v>
      </c>
      <c r="C12" s="33">
        <f>SUM(C6:C11)</f>
        <v>688609871</v>
      </c>
      <c r="D12" s="113">
        <f>SUM(D6:D11)</f>
        <v>475500000</v>
      </c>
      <c r="E12" s="113">
        <f>SUM(E6:E11)</f>
        <v>475500000</v>
      </c>
      <c r="F12" s="113">
        <f>SUM(F6:F11)</f>
        <v>550000000</v>
      </c>
      <c r="G12" s="113">
        <f t="shared" si="0"/>
        <v>2189609871</v>
      </c>
    </row>
    <row r="13" spans="2:7" ht="12.75">
      <c r="B13" s="111"/>
      <c r="C13" s="110"/>
      <c r="D13" s="112"/>
      <c r="E13" s="112"/>
      <c r="F13" s="112"/>
      <c r="G13" s="113"/>
    </row>
    <row r="14" spans="1:7" s="9" customFormat="1" ht="12.75">
      <c r="A14" s="9" t="s">
        <v>133</v>
      </c>
      <c r="B14" s="114">
        <f>B12*0.5</f>
        <v>207700000</v>
      </c>
      <c r="C14" s="33">
        <f>C12*0.5</f>
        <v>344304935.5</v>
      </c>
      <c r="D14" s="113">
        <f>D12*0.5</f>
        <v>237750000</v>
      </c>
      <c r="E14" s="113">
        <f>E12*0.5</f>
        <v>237750000</v>
      </c>
      <c r="F14" s="113">
        <f>F12*0.5</f>
        <v>275000000</v>
      </c>
      <c r="G14" s="113"/>
    </row>
    <row r="15" spans="2:7" ht="12.75">
      <c r="B15" s="111"/>
      <c r="C15" s="110"/>
      <c r="D15" s="112"/>
      <c r="E15" s="112"/>
      <c r="F15" s="112"/>
      <c r="G15" s="113"/>
    </row>
    <row r="16" spans="1:7" ht="12.75">
      <c r="A16" s="9" t="s">
        <v>100</v>
      </c>
      <c r="B16" s="111"/>
      <c r="C16" s="110"/>
      <c r="D16" s="112"/>
      <c r="E16" s="112"/>
      <c r="F16" s="112"/>
      <c r="G16" s="113"/>
    </row>
    <row r="17" spans="1:7" ht="12.75">
      <c r="A17" s="7" t="s">
        <v>98</v>
      </c>
      <c r="B17" s="111"/>
      <c r="C17" s="110"/>
      <c r="D17" s="112"/>
      <c r="E17" s="112"/>
      <c r="F17" s="112"/>
      <c r="G17" s="113"/>
    </row>
    <row r="18" spans="1:7" ht="12.75">
      <c r="A18" s="7" t="s">
        <v>101</v>
      </c>
      <c r="B18" s="111"/>
      <c r="C18" s="110"/>
      <c r="D18" s="112"/>
      <c r="E18" s="112"/>
      <c r="F18" s="112"/>
      <c r="G18" s="113"/>
    </row>
    <row r="19" spans="1:7" s="9" customFormat="1" ht="25.5">
      <c r="A19" s="74" t="s">
        <v>102</v>
      </c>
      <c r="B19" s="114">
        <f aca="true" t="shared" si="1" ref="B19:G19">SUM(B17:B18)</f>
        <v>0</v>
      </c>
      <c r="C19" s="114">
        <f t="shared" si="1"/>
        <v>0</v>
      </c>
      <c r="D19" s="114">
        <f t="shared" si="1"/>
        <v>0</v>
      </c>
      <c r="E19" s="114">
        <f t="shared" si="1"/>
        <v>0</v>
      </c>
      <c r="F19" s="114">
        <f t="shared" si="1"/>
        <v>0</v>
      </c>
      <c r="G19" s="114">
        <f t="shared" si="1"/>
        <v>0</v>
      </c>
    </row>
    <row r="20" spans="2:7" ht="12.75">
      <c r="B20" s="8"/>
      <c r="C20" s="8"/>
      <c r="D20" s="8"/>
      <c r="E20" s="8"/>
      <c r="F20" s="8"/>
      <c r="G20" s="73"/>
    </row>
  </sheetData>
  <sheetProtection/>
  <mergeCells count="2">
    <mergeCell ref="A2:G2"/>
    <mergeCell ref="A1:C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.125" style="116" customWidth="1"/>
    <col min="2" max="2" width="39.375" style="28" customWidth="1"/>
    <col min="3" max="3" width="14.00390625" style="8" customWidth="1"/>
    <col min="4" max="4" width="16.125" style="7" customWidth="1"/>
    <col min="5" max="16384" width="9.125" style="7" customWidth="1"/>
  </cols>
  <sheetData>
    <row r="1" spans="1:3" ht="12.75" customHeight="1">
      <c r="A1" s="412" t="s">
        <v>336</v>
      </c>
      <c r="B1" s="412"/>
      <c r="C1" s="115"/>
    </row>
    <row r="2" spans="2:3" ht="13.5">
      <c r="B2" s="117"/>
      <c r="C2" s="115"/>
    </row>
    <row r="3" spans="2:4" ht="13.5">
      <c r="B3" s="412" t="s">
        <v>134</v>
      </c>
      <c r="C3" s="413"/>
      <c r="D3" s="413"/>
    </row>
    <row r="4" spans="1:5" ht="24.75" customHeight="1">
      <c r="A4" s="410" t="s">
        <v>320</v>
      </c>
      <c r="B4" s="411"/>
      <c r="C4" s="411"/>
      <c r="D4" s="411"/>
      <c r="E4" s="411"/>
    </row>
    <row r="5" spans="1:5" ht="12.75">
      <c r="A5" s="411"/>
      <c r="B5" s="411"/>
      <c r="C5" s="411"/>
      <c r="D5" s="411"/>
      <c r="E5" s="411"/>
    </row>
    <row r="6" spans="2:3" ht="13.5">
      <c r="B6" s="118"/>
      <c r="C6" s="119"/>
    </row>
    <row r="7" spans="1:4" ht="29.25" customHeight="1">
      <c r="A7" s="120" t="s">
        <v>135</v>
      </c>
      <c r="B7" s="414" t="s">
        <v>232</v>
      </c>
      <c r="C7" s="415"/>
      <c r="D7" s="415"/>
    </row>
    <row r="8" spans="1:4" ht="19.5" customHeight="1">
      <c r="A8" s="120"/>
      <c r="B8" s="121"/>
      <c r="C8" s="122"/>
      <c r="D8" s="122"/>
    </row>
    <row r="9" spans="2:4" ht="13.5">
      <c r="B9" s="125"/>
      <c r="C9" s="126"/>
      <c r="D9" s="8"/>
    </row>
    <row r="11" spans="1:4" ht="13.5">
      <c r="A11" s="116" t="s">
        <v>7</v>
      </c>
      <c r="B11" s="123" t="s">
        <v>194</v>
      </c>
      <c r="C11" s="124" t="s">
        <v>233</v>
      </c>
      <c r="D11" s="124" t="s">
        <v>3</v>
      </c>
    </row>
    <row r="12" spans="2:4" ht="13.5">
      <c r="B12" s="125" t="s">
        <v>136</v>
      </c>
      <c r="C12" s="126"/>
      <c r="D12" s="8"/>
    </row>
    <row r="13" spans="2:4" ht="13.5">
      <c r="B13" s="7" t="s">
        <v>137</v>
      </c>
      <c r="C13" s="8">
        <f>(753000+41600000)*0.85</f>
        <v>36000050</v>
      </c>
      <c r="D13" s="8">
        <f>SUM(C13:C13)</f>
        <v>36000050</v>
      </c>
    </row>
    <row r="14" spans="2:4" ht="13.5">
      <c r="B14" s="7" t="s">
        <v>138</v>
      </c>
      <c r="C14" s="8">
        <f>(753000+41600000)*0.1</f>
        <v>4235300</v>
      </c>
      <c r="D14" s="8">
        <f>SUM(C14:C14)</f>
        <v>4235300</v>
      </c>
    </row>
    <row r="15" spans="2:4" ht="13.5">
      <c r="B15" s="7" t="s">
        <v>139</v>
      </c>
      <c r="D15" s="8">
        <f>SUM(C15:C15)</f>
        <v>0</v>
      </c>
    </row>
    <row r="16" spans="2:4" ht="13.5">
      <c r="B16" s="7" t="s">
        <v>140</v>
      </c>
      <c r="C16" s="8">
        <f>C24-C13-C14-C15</f>
        <v>2117650</v>
      </c>
      <c r="D16" s="8">
        <f>SUM(C16:C16)</f>
        <v>2117650</v>
      </c>
    </row>
    <row r="17" spans="2:4" ht="13.5">
      <c r="B17" s="125" t="s">
        <v>3</v>
      </c>
      <c r="C17" s="126">
        <f>SUM(C13:C16)</f>
        <v>42353000</v>
      </c>
      <c r="D17" s="126">
        <f>SUM(C17:C17)</f>
        <v>42353000</v>
      </c>
    </row>
    <row r="18" spans="2:4" ht="9.75" customHeight="1">
      <c r="B18" s="7"/>
      <c r="D18" s="8"/>
    </row>
    <row r="19" spans="2:4" ht="13.5">
      <c r="B19" s="125" t="s">
        <v>141</v>
      </c>
      <c r="C19" s="126"/>
      <c r="D19" s="8"/>
    </row>
    <row r="20" spans="2:4" ht="13.5">
      <c r="B20" s="7" t="s">
        <v>17</v>
      </c>
      <c r="D20" s="8"/>
    </row>
    <row r="21" spans="2:4" ht="15" customHeight="1">
      <c r="B21" s="7" t="s">
        <v>61</v>
      </c>
      <c r="C21" s="8">
        <v>41600000</v>
      </c>
      <c r="D21" s="8">
        <f>SUM(C21:C21)</f>
        <v>41600000</v>
      </c>
    </row>
    <row r="22" spans="2:4" ht="13.5">
      <c r="B22" s="7" t="s">
        <v>15</v>
      </c>
      <c r="C22" s="8">
        <v>753000</v>
      </c>
      <c r="D22" s="8">
        <f>SUM(C22:C22)</f>
        <v>753000</v>
      </c>
    </row>
    <row r="23" spans="2:4" ht="13.5">
      <c r="B23" s="7" t="s">
        <v>142</v>
      </c>
      <c r="D23" s="8">
        <f>SUM(C23:C23)</f>
        <v>0</v>
      </c>
    </row>
    <row r="24" spans="2:4" ht="13.5">
      <c r="B24" s="125" t="s">
        <v>3</v>
      </c>
      <c r="C24" s="126">
        <f>SUM(C20:C23)</f>
        <v>42353000</v>
      </c>
      <c r="D24" s="8">
        <f>SUM(C24:C24)</f>
        <v>42353000</v>
      </c>
    </row>
    <row r="25" spans="2:4" ht="13.5">
      <c r="B25" s="125"/>
      <c r="C25" s="126"/>
      <c r="D25" s="8"/>
    </row>
    <row r="27" spans="2:4" ht="13.5">
      <c r="B27" s="125"/>
      <c r="C27" s="126"/>
      <c r="D27" s="8"/>
    </row>
    <row r="28" spans="1:4" ht="13.5">
      <c r="A28" s="116" t="s">
        <v>18</v>
      </c>
      <c r="B28" s="123" t="s">
        <v>195</v>
      </c>
      <c r="C28" s="124" t="s">
        <v>233</v>
      </c>
      <c r="D28" s="124" t="s">
        <v>3</v>
      </c>
    </row>
    <row r="29" spans="2:4" ht="13.5">
      <c r="B29" s="125" t="s">
        <v>136</v>
      </c>
      <c r="C29" s="126"/>
      <c r="D29" s="8"/>
    </row>
    <row r="30" spans="2:4" ht="13.5">
      <c r="B30" s="7" t="s">
        <v>137</v>
      </c>
      <c r="D30" s="8">
        <f>SUM(C30:C30)</f>
        <v>0</v>
      </c>
    </row>
    <row r="31" spans="2:4" ht="13.5">
      <c r="B31" s="7" t="s">
        <v>138</v>
      </c>
      <c r="C31" s="8">
        <v>39026352</v>
      </c>
      <c r="D31" s="8">
        <f>SUM(C31:C31)</f>
        <v>39026352</v>
      </c>
    </row>
    <row r="32" spans="2:4" ht="13.5">
      <c r="B32" s="7" t="s">
        <v>139</v>
      </c>
      <c r="D32" s="8">
        <f>SUM(C32:C32)</f>
        <v>0</v>
      </c>
    </row>
    <row r="33" spans="2:4" ht="13.5">
      <c r="B33" s="7" t="s">
        <v>140</v>
      </c>
      <c r="C33" s="8">
        <f>C41-C30-C31-C32</f>
        <v>7251596</v>
      </c>
      <c r="D33" s="8">
        <f>SUM(C33:C33)</f>
        <v>7251596</v>
      </c>
    </row>
    <row r="34" spans="2:4" ht="13.5">
      <c r="B34" s="125" t="s">
        <v>3</v>
      </c>
      <c r="C34" s="126">
        <f>SUM(C30:C33)</f>
        <v>46277948</v>
      </c>
      <c r="D34" s="126">
        <f>SUM(C34:C34)</f>
        <v>46277948</v>
      </c>
    </row>
    <row r="35" spans="2:4" ht="9.75" customHeight="1">
      <c r="B35" s="7"/>
      <c r="D35" s="8"/>
    </row>
    <row r="36" spans="2:4" ht="13.5">
      <c r="B36" s="125" t="s">
        <v>141</v>
      </c>
      <c r="C36" s="126"/>
      <c r="D36" s="8"/>
    </row>
    <row r="37" spans="2:4" ht="13.5">
      <c r="B37" s="7" t="s">
        <v>17</v>
      </c>
      <c r="D37" s="8"/>
    </row>
    <row r="38" spans="2:4" ht="13.5">
      <c r="B38" s="7" t="s">
        <v>61</v>
      </c>
      <c r="D38" s="8">
        <f>SUM(C38:C38)</f>
        <v>0</v>
      </c>
    </row>
    <row r="39" spans="2:4" ht="13.5">
      <c r="B39" s="7" t="s">
        <v>15</v>
      </c>
      <c r="C39" s="8">
        <v>17251596</v>
      </c>
      <c r="D39" s="8">
        <f>SUM(C39:C39)</f>
        <v>17251596</v>
      </c>
    </row>
    <row r="40" spans="2:4" ht="13.5">
      <c r="B40" s="7" t="s">
        <v>196</v>
      </c>
      <c r="C40" s="8">
        <v>29026352</v>
      </c>
      <c r="D40" s="8">
        <f>SUM(C40:C40)</f>
        <v>29026352</v>
      </c>
    </row>
    <row r="41" spans="2:4" ht="13.5">
      <c r="B41" s="125" t="s">
        <v>3</v>
      </c>
      <c r="C41" s="126">
        <f>SUM(C37:C40)</f>
        <v>46277948</v>
      </c>
      <c r="D41" s="8">
        <f>SUM(C41:C41)</f>
        <v>46277948</v>
      </c>
    </row>
    <row r="42" spans="2:4" ht="13.5">
      <c r="B42" s="125"/>
      <c r="C42" s="126"/>
      <c r="D42" s="8"/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2"/>
  <sheetViews>
    <sheetView workbookViewId="0" topLeftCell="A1">
      <selection activeCell="A3" sqref="A3"/>
    </sheetView>
  </sheetViews>
  <sheetFormatPr defaultColWidth="71.875" defaultRowHeight="12.75"/>
  <cols>
    <col min="1" max="1" width="60.875" style="316" customWidth="1"/>
    <col min="2" max="17" width="12.125" style="316" customWidth="1"/>
    <col min="18" max="18" width="10.875" style="316" customWidth="1"/>
    <col min="19" max="19" width="3.125" style="316" customWidth="1"/>
    <col min="20" max="24" width="9.25390625" style="316" customWidth="1"/>
    <col min="25" max="16384" width="71.875" style="316" customWidth="1"/>
  </cols>
  <sheetData>
    <row r="3" ht="12.75">
      <c r="A3" s="316" t="s">
        <v>337</v>
      </c>
    </row>
    <row r="4" spans="1:18" ht="21.75" customHeight="1">
      <c r="A4" s="406"/>
      <c r="B4" s="40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</row>
    <row r="5" spans="1:18" ht="15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</row>
    <row r="6" spans="1:18" ht="12.75">
      <c r="A6" s="418" t="s">
        <v>234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</row>
    <row r="7" spans="1:18" ht="12.75">
      <c r="A7" s="419" t="s">
        <v>198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</row>
    <row r="8" ht="12.75">
      <c r="A8" s="317"/>
    </row>
    <row r="9" ht="12.75">
      <c r="A9" s="317"/>
    </row>
    <row r="10" spans="1:18" ht="26.25" customHeight="1" thickBo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</row>
    <row r="11" spans="1:18" ht="30" customHeight="1" thickBot="1">
      <c r="A11" s="421" t="s">
        <v>175</v>
      </c>
      <c r="B11" s="423" t="s">
        <v>176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4"/>
    </row>
    <row r="12" spans="1:18" ht="78.75" customHeight="1" thickBot="1">
      <c r="A12" s="422"/>
      <c r="B12" s="319" t="s">
        <v>56</v>
      </c>
      <c r="C12" s="319" t="s">
        <v>144</v>
      </c>
      <c r="D12" s="319" t="s">
        <v>67</v>
      </c>
      <c r="E12" s="319" t="s">
        <v>40</v>
      </c>
      <c r="F12" s="319" t="s">
        <v>164</v>
      </c>
      <c r="G12" s="320" t="s">
        <v>235</v>
      </c>
      <c r="H12" s="321" t="s">
        <v>236</v>
      </c>
      <c r="I12" s="321" t="s">
        <v>237</v>
      </c>
      <c r="J12" s="321" t="s">
        <v>238</v>
      </c>
      <c r="K12" s="322" t="s">
        <v>239</v>
      </c>
      <c r="L12" s="362" t="s">
        <v>240</v>
      </c>
      <c r="M12" s="363" t="s">
        <v>241</v>
      </c>
      <c r="N12" s="364" t="s">
        <v>242</v>
      </c>
      <c r="O12" s="365" t="s">
        <v>243</v>
      </c>
      <c r="P12" s="366" t="s">
        <v>244</v>
      </c>
      <c r="Q12" s="323" t="s">
        <v>197</v>
      </c>
      <c r="R12" s="324" t="s">
        <v>177</v>
      </c>
    </row>
    <row r="13" spans="1:18" ht="12.75">
      <c r="A13" s="262" t="s">
        <v>178</v>
      </c>
      <c r="B13" s="325"/>
      <c r="C13" s="325"/>
      <c r="D13" s="325"/>
      <c r="E13" s="325">
        <v>52</v>
      </c>
      <c r="F13" s="325"/>
      <c r="G13" s="326"/>
      <c r="H13" s="327"/>
      <c r="I13" s="327"/>
      <c r="J13" s="327"/>
      <c r="K13" s="328"/>
      <c r="L13" s="329"/>
      <c r="M13" s="326"/>
      <c r="N13" s="327"/>
      <c r="O13" s="328"/>
      <c r="P13" s="367"/>
      <c r="Q13" s="330"/>
      <c r="R13" s="325">
        <f aca="true" t="shared" si="0" ref="R13:R20">B13+C13+D13+E13+F13+L13+P13+Q13</f>
        <v>52</v>
      </c>
    </row>
    <row r="14" spans="1:18" ht="12.75">
      <c r="A14" s="259" t="s">
        <v>179</v>
      </c>
      <c r="B14" s="331">
        <v>9</v>
      </c>
      <c r="C14" s="331">
        <v>15.5</v>
      </c>
      <c r="D14" s="331">
        <v>12</v>
      </c>
      <c r="E14" s="331"/>
      <c r="F14" s="331">
        <v>44.75</v>
      </c>
      <c r="G14" s="332">
        <v>18.25</v>
      </c>
      <c r="H14" s="333">
        <v>5.5</v>
      </c>
      <c r="I14" s="333">
        <v>10.5</v>
      </c>
      <c r="J14" s="333">
        <v>4.5</v>
      </c>
      <c r="K14" s="334">
        <v>3</v>
      </c>
      <c r="L14" s="335">
        <f>G14+H14+I14+J14+K14</f>
        <v>41.75</v>
      </c>
      <c r="M14" s="332">
        <v>18.5</v>
      </c>
      <c r="N14" s="333">
        <v>3</v>
      </c>
      <c r="O14" s="334">
        <v>3</v>
      </c>
      <c r="P14" s="368">
        <f>M14+N14+O14</f>
        <v>24.5</v>
      </c>
      <c r="Q14" s="336"/>
      <c r="R14" s="331">
        <f t="shared" si="0"/>
        <v>147.5</v>
      </c>
    </row>
    <row r="15" spans="1:18" ht="13.5" thickBot="1">
      <c r="A15" s="263" t="s">
        <v>180</v>
      </c>
      <c r="B15" s="337"/>
      <c r="C15" s="337"/>
      <c r="D15" s="337"/>
      <c r="E15" s="337">
        <v>2</v>
      </c>
      <c r="F15" s="337"/>
      <c r="G15" s="338"/>
      <c r="H15" s="339"/>
      <c r="I15" s="339"/>
      <c r="J15" s="339"/>
      <c r="K15" s="340"/>
      <c r="L15" s="341"/>
      <c r="M15" s="338"/>
      <c r="N15" s="339"/>
      <c r="O15" s="340"/>
      <c r="P15" s="369"/>
      <c r="Q15" s="342">
        <v>2.75</v>
      </c>
      <c r="R15" s="337">
        <f t="shared" si="0"/>
        <v>4.75</v>
      </c>
    </row>
    <row r="16" spans="1:18" ht="13.5" customHeight="1">
      <c r="A16" s="265" t="s">
        <v>181</v>
      </c>
      <c r="B16" s="343"/>
      <c r="C16" s="343"/>
      <c r="D16" s="343"/>
      <c r="E16" s="343"/>
      <c r="F16" s="343"/>
      <c r="G16" s="344"/>
      <c r="H16" s="345"/>
      <c r="I16" s="345"/>
      <c r="J16" s="345"/>
      <c r="K16" s="346"/>
      <c r="L16" s="347"/>
      <c r="M16" s="344"/>
      <c r="N16" s="345"/>
      <c r="O16" s="346"/>
      <c r="P16" s="370"/>
      <c r="Q16" s="348">
        <v>1</v>
      </c>
      <c r="R16" s="343">
        <f t="shared" si="0"/>
        <v>1</v>
      </c>
    </row>
    <row r="17" spans="1:18" ht="12.75">
      <c r="A17" s="260" t="s">
        <v>182</v>
      </c>
      <c r="B17" s="331"/>
      <c r="C17" s="331"/>
      <c r="D17" s="331"/>
      <c r="E17" s="331"/>
      <c r="F17" s="331"/>
      <c r="G17" s="332"/>
      <c r="H17" s="333"/>
      <c r="I17" s="333"/>
      <c r="J17" s="333"/>
      <c r="K17" s="334"/>
      <c r="L17" s="335"/>
      <c r="M17" s="332"/>
      <c r="N17" s="333"/>
      <c r="O17" s="334"/>
      <c r="P17" s="368"/>
      <c r="Q17" s="336">
        <v>9</v>
      </c>
      <c r="R17" s="331">
        <f t="shared" si="0"/>
        <v>9</v>
      </c>
    </row>
    <row r="18" spans="1:18" ht="12.75">
      <c r="A18" s="260" t="s">
        <v>183</v>
      </c>
      <c r="B18" s="331"/>
      <c r="C18" s="331"/>
      <c r="D18" s="331"/>
      <c r="E18" s="331"/>
      <c r="F18" s="331"/>
      <c r="G18" s="332"/>
      <c r="H18" s="333"/>
      <c r="I18" s="333"/>
      <c r="J18" s="333"/>
      <c r="K18" s="334"/>
      <c r="L18" s="335"/>
      <c r="M18" s="332"/>
      <c r="N18" s="333"/>
      <c r="O18" s="334"/>
      <c r="P18" s="368"/>
      <c r="Q18" s="336">
        <v>1</v>
      </c>
      <c r="R18" s="331">
        <f t="shared" si="0"/>
        <v>1</v>
      </c>
    </row>
    <row r="19" spans="1:18" ht="13.5" thickBot="1">
      <c r="A19" s="261" t="s">
        <v>184</v>
      </c>
      <c r="B19" s="349"/>
      <c r="C19" s="349"/>
      <c r="D19" s="349"/>
      <c r="E19" s="349"/>
      <c r="F19" s="349"/>
      <c r="G19" s="350"/>
      <c r="H19" s="351"/>
      <c r="I19" s="351"/>
      <c r="J19" s="351"/>
      <c r="K19" s="352"/>
      <c r="L19" s="353"/>
      <c r="M19" s="350"/>
      <c r="N19" s="351"/>
      <c r="O19" s="352"/>
      <c r="P19" s="371"/>
      <c r="Q19" s="354">
        <f>SUM(Q16:Q18)</f>
        <v>11</v>
      </c>
      <c r="R19" s="349">
        <f t="shared" si="0"/>
        <v>11</v>
      </c>
    </row>
    <row r="20" spans="1:18" ht="26.25" thickBot="1">
      <c r="A20" s="264" t="s">
        <v>185</v>
      </c>
      <c r="B20" s="355">
        <f aca="true" t="shared" si="1" ref="B20:Q20">B13+B14+B15+B19</f>
        <v>9</v>
      </c>
      <c r="C20" s="355">
        <f t="shared" si="1"/>
        <v>15.5</v>
      </c>
      <c r="D20" s="355">
        <f t="shared" si="1"/>
        <v>12</v>
      </c>
      <c r="E20" s="355">
        <f t="shared" si="1"/>
        <v>54</v>
      </c>
      <c r="F20" s="355">
        <f t="shared" si="1"/>
        <v>44.75</v>
      </c>
      <c r="G20" s="356">
        <f t="shared" si="1"/>
        <v>18.25</v>
      </c>
      <c r="H20" s="357">
        <f t="shared" si="1"/>
        <v>5.5</v>
      </c>
      <c r="I20" s="357">
        <f t="shared" si="1"/>
        <v>10.5</v>
      </c>
      <c r="J20" s="357">
        <f t="shared" si="1"/>
        <v>4.5</v>
      </c>
      <c r="K20" s="358">
        <f t="shared" si="1"/>
        <v>3</v>
      </c>
      <c r="L20" s="359">
        <f t="shared" si="1"/>
        <v>41.75</v>
      </c>
      <c r="M20" s="356">
        <f t="shared" si="1"/>
        <v>18.5</v>
      </c>
      <c r="N20" s="357">
        <f t="shared" si="1"/>
        <v>3</v>
      </c>
      <c r="O20" s="358">
        <f t="shared" si="1"/>
        <v>3</v>
      </c>
      <c r="P20" s="372">
        <f t="shared" si="1"/>
        <v>24.5</v>
      </c>
      <c r="Q20" s="360">
        <f t="shared" si="1"/>
        <v>13.75</v>
      </c>
      <c r="R20" s="361">
        <f t="shared" si="0"/>
        <v>215.25</v>
      </c>
    </row>
    <row r="21" spans="1:18" ht="12.75">
      <c r="A21" s="416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</row>
    <row r="22" spans="1:18" ht="12.75">
      <c r="A22" s="416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</row>
  </sheetData>
  <sheetProtection/>
  <mergeCells count="8">
    <mergeCell ref="A21:R21"/>
    <mergeCell ref="A22:R22"/>
    <mergeCell ref="A4:B4"/>
    <mergeCell ref="A6:R6"/>
    <mergeCell ref="A7:R7"/>
    <mergeCell ref="A10:R10"/>
    <mergeCell ref="A11:A12"/>
    <mergeCell ref="B11:R1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2018-02-16T06:59:49Z</cp:lastPrinted>
  <dcterms:created xsi:type="dcterms:W3CDTF">2007-11-15T07:32:30Z</dcterms:created>
  <dcterms:modified xsi:type="dcterms:W3CDTF">2018-02-26T09:19:55Z</dcterms:modified>
  <cp:category/>
  <cp:version/>
  <cp:contentType/>
  <cp:contentStatus/>
</cp:coreProperties>
</file>