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bookViews>
    <workbookView xWindow="0" yWindow="0" windowWidth="20490" windowHeight="7620" firstSheet="14" activeTab="17"/>
  </bookViews>
  <sheets>
    <sheet name="KV_ÖSSZEFÜGGÉSEK" sheetId="1" r:id="rId1"/>
    <sheet name="KV_1.1.sz.mell." sheetId="2" r:id="rId2"/>
    <sheet name="KV_2.1.sz.mell." sheetId="3" r:id="rId3"/>
    <sheet name="KV_2.2.sz.mell." sheetId="4" r:id="rId4"/>
    <sheet name="KV_ELLENŐRZÉS" sheetId="5" r:id="rId5"/>
    <sheet name="KV_3.sz.mell." sheetId="6" r:id="rId6"/>
    <sheet name="KV_4.sz.mell." sheetId="7" r:id="rId7"/>
    <sheet name="KV_5.sz.mell." sheetId="8" r:id="rId8"/>
    <sheet name="KV_6.sz.mell." sheetId="9" r:id="rId9"/>
    <sheet name="KV_7.sz.mell." sheetId="10" r:id="rId10"/>
    <sheet name="KV_8.sz.mell." sheetId="11" r:id="rId11"/>
    <sheet name="KV_1.sz.tájékoztató_t." sheetId="12" r:id="rId12"/>
    <sheet name="KV_2.sz.tájékoztató_t." sheetId="13" r:id="rId13"/>
    <sheet name="KV_3.sz.tájékoztató_t." sheetId="14" r:id="rId14"/>
    <sheet name="KV_4.sz.tájékoztató_t." sheetId="15" r:id="rId15"/>
    <sheet name="KV_5.sz.tájékoztató_t." sheetId="16" r:id="rId16"/>
    <sheet name="KV_6.sz.tájékoztató_t." sheetId="17" r:id="rId17"/>
    <sheet name="KV_7.sz.tájékoztató_t." sheetId="18" r:id="rId18"/>
  </sheets>
  <externalReferences>
    <externalReference r:id="rId19"/>
  </externalReferences>
  <definedNames>
    <definedName name="_xlnm.Print_Area" localSheetId="1">KV_1.1.sz.mell.!$A$1:$C$164</definedName>
    <definedName name="_xlnm.Print_Area" localSheetId="11">KV_1.sz.tájékoztató_t.!$A$1:$E$157</definedName>
    <definedName name="_xlnm.Print_Area" localSheetId="17">KV_7.sz.tájékoztató_t.!$A$1:$E$40</definedName>
  </definedNames>
  <calcPr calcId="125725"/>
</workbook>
</file>

<file path=xl/calcChain.xml><?xml version="1.0" encoding="utf-8"?>
<calcChain xmlns="http://schemas.openxmlformats.org/spreadsheetml/2006/main">
  <c r="E1" i="18"/>
  <c r="D1" i="17"/>
  <c r="C1" i="16"/>
  <c r="O1" i="15"/>
  <c r="D1" i="14"/>
  <c r="J1" i="13"/>
  <c r="E1" i="12"/>
  <c r="A1" i="11"/>
  <c r="B2" i="10"/>
  <c r="A3" i="9"/>
  <c r="B2" i="8"/>
  <c r="B2" i="7"/>
  <c r="B2" i="6"/>
  <c r="F1" i="4"/>
  <c r="F1" i="3" l="1"/>
  <c r="B2" i="2"/>
  <c r="B1"/>
  <c r="D19" i="15" l="1"/>
  <c r="E19"/>
  <c r="F19"/>
  <c r="G19"/>
  <c r="H19"/>
  <c r="I19"/>
  <c r="J19"/>
  <c r="K19"/>
  <c r="L19"/>
  <c r="M19"/>
  <c r="N19"/>
  <c r="C19"/>
  <c r="D18"/>
  <c r="E18"/>
  <c r="F18"/>
  <c r="G18"/>
  <c r="H18"/>
  <c r="I18"/>
  <c r="J18"/>
  <c r="K18"/>
  <c r="L18"/>
  <c r="M18"/>
  <c r="N18"/>
  <c r="C18"/>
  <c r="C17"/>
  <c r="D17"/>
  <c r="E17"/>
  <c r="F17"/>
  <c r="G17"/>
  <c r="H17"/>
  <c r="I17"/>
  <c r="J17"/>
  <c r="K17"/>
  <c r="L17"/>
  <c r="M17"/>
  <c r="N17"/>
  <c r="D14"/>
  <c r="E14"/>
  <c r="F14"/>
  <c r="G14"/>
  <c r="H14"/>
  <c r="I14"/>
  <c r="J14"/>
  <c r="K14"/>
  <c r="L14"/>
  <c r="M14"/>
  <c r="N14"/>
  <c r="C14"/>
  <c r="D6"/>
  <c r="E6"/>
  <c r="F6"/>
  <c r="G6"/>
  <c r="H6"/>
  <c r="J6"/>
  <c r="K6"/>
  <c r="L6"/>
  <c r="M6"/>
  <c r="C6"/>
  <c r="C6" i="18" l="1"/>
  <c r="D6"/>
  <c r="D29" s="1"/>
  <c r="E6"/>
  <c r="C8"/>
  <c r="D8" s="1"/>
  <c r="E8" s="1"/>
  <c r="C9"/>
  <c r="D9" s="1"/>
  <c r="C10"/>
  <c r="D12"/>
  <c r="D13"/>
  <c r="C14"/>
  <c r="D15"/>
  <c r="D16"/>
  <c r="E16" s="1"/>
  <c r="D17"/>
  <c r="C18"/>
  <c r="D18"/>
  <c r="E18" s="1"/>
  <c r="C19"/>
  <c r="D19"/>
  <c r="E19" s="1"/>
  <c r="C20"/>
  <c r="D20" s="1"/>
  <c r="E20" s="1"/>
  <c r="D21"/>
  <c r="E21" s="1"/>
  <c r="D22"/>
  <c r="C24"/>
  <c r="D24"/>
  <c r="E24" s="1"/>
  <c r="C29"/>
  <c r="E29"/>
  <c r="C31"/>
  <c r="D31" s="1"/>
  <c r="D33"/>
  <c r="C34"/>
  <c r="C35"/>
  <c r="D35" s="1"/>
  <c r="E35" s="1"/>
  <c r="C37"/>
  <c r="D37" s="1"/>
  <c r="E37" s="1"/>
  <c r="A2" i="17"/>
  <c r="D39"/>
  <c r="A1" i="16"/>
  <c r="B3"/>
  <c r="B25"/>
  <c r="A2" i="15"/>
  <c r="O6"/>
  <c r="O7"/>
  <c r="O8"/>
  <c r="O9"/>
  <c r="O10"/>
  <c r="O11"/>
  <c r="O12"/>
  <c r="O13"/>
  <c r="O14"/>
  <c r="C15"/>
  <c r="D15"/>
  <c r="E15"/>
  <c r="F15"/>
  <c r="G15"/>
  <c r="H15"/>
  <c r="I15"/>
  <c r="J15"/>
  <c r="K15"/>
  <c r="L15"/>
  <c r="M15"/>
  <c r="N15"/>
  <c r="O17"/>
  <c r="O18"/>
  <c r="O19"/>
  <c r="O20"/>
  <c r="O21"/>
  <c r="O22"/>
  <c r="O23"/>
  <c r="O24"/>
  <c r="O25"/>
  <c r="C26"/>
  <c r="D26"/>
  <c r="E26"/>
  <c r="F26"/>
  <c r="G26"/>
  <c r="H26"/>
  <c r="I26"/>
  <c r="J26"/>
  <c r="K26"/>
  <c r="L26"/>
  <c r="M26"/>
  <c r="M27" s="1"/>
  <c r="N26"/>
  <c r="I27"/>
  <c r="C32" i="14"/>
  <c r="D32"/>
  <c r="D3" i="13"/>
  <c r="E4"/>
  <c r="F4"/>
  <c r="G4"/>
  <c r="H4"/>
  <c r="D6"/>
  <c r="E6"/>
  <c r="F6"/>
  <c r="G6"/>
  <c r="H6"/>
  <c r="I7"/>
  <c r="I8"/>
  <c r="D9"/>
  <c r="E9"/>
  <c r="F9"/>
  <c r="G9"/>
  <c r="G18" s="1"/>
  <c r="H9"/>
  <c r="I10"/>
  <c r="I11"/>
  <c r="D12"/>
  <c r="E12"/>
  <c r="F12"/>
  <c r="G12"/>
  <c r="H12"/>
  <c r="I13"/>
  <c r="D14"/>
  <c r="I14" s="1"/>
  <c r="E14"/>
  <c r="F14"/>
  <c r="G14"/>
  <c r="H14"/>
  <c r="I15"/>
  <c r="D16"/>
  <c r="E16"/>
  <c r="F16"/>
  <c r="G16"/>
  <c r="H16"/>
  <c r="I17"/>
  <c r="C6" i="12"/>
  <c r="D6"/>
  <c r="C8"/>
  <c r="D8"/>
  <c r="E8"/>
  <c r="C15"/>
  <c r="D15"/>
  <c r="E15"/>
  <c r="C22"/>
  <c r="D22"/>
  <c r="E22"/>
  <c r="C29"/>
  <c r="D29"/>
  <c r="E29"/>
  <c r="C37"/>
  <c r="D37"/>
  <c r="E37"/>
  <c r="C49"/>
  <c r="D49"/>
  <c r="E49"/>
  <c r="C55"/>
  <c r="D55"/>
  <c r="E55"/>
  <c r="C60"/>
  <c r="D60"/>
  <c r="E60"/>
  <c r="C66"/>
  <c r="D66"/>
  <c r="E66"/>
  <c r="C70"/>
  <c r="D70"/>
  <c r="D89" s="1"/>
  <c r="E70"/>
  <c r="C75"/>
  <c r="D75"/>
  <c r="E75"/>
  <c r="C78"/>
  <c r="D78"/>
  <c r="E78"/>
  <c r="C82"/>
  <c r="D82"/>
  <c r="E82"/>
  <c r="C94"/>
  <c r="D94"/>
  <c r="C96"/>
  <c r="D96"/>
  <c r="E96"/>
  <c r="C117"/>
  <c r="D117"/>
  <c r="E117"/>
  <c r="D131"/>
  <c r="C132"/>
  <c r="D132"/>
  <c r="E132"/>
  <c r="C136"/>
  <c r="D136"/>
  <c r="E136"/>
  <c r="E156" s="1"/>
  <c r="C143"/>
  <c r="D143"/>
  <c r="E143"/>
  <c r="C148"/>
  <c r="D148"/>
  <c r="E148"/>
  <c r="B7" i="11"/>
  <c r="C7"/>
  <c r="C17" s="1"/>
  <c r="C28" s="1"/>
  <c r="C38" s="1"/>
  <c r="D7"/>
  <c r="E7"/>
  <c r="E17" s="1"/>
  <c r="E28" s="1"/>
  <c r="E38" s="1"/>
  <c r="F8"/>
  <c r="F9"/>
  <c r="F10"/>
  <c r="F11"/>
  <c r="F12"/>
  <c r="F13"/>
  <c r="F15" s="1"/>
  <c r="F14"/>
  <c r="B15"/>
  <c r="C15"/>
  <c r="D15"/>
  <c r="E15"/>
  <c r="B17"/>
  <c r="D17"/>
  <c r="F18"/>
  <c r="F19"/>
  <c r="F20"/>
  <c r="F21"/>
  <c r="F22"/>
  <c r="F23"/>
  <c r="B24"/>
  <c r="C24"/>
  <c r="D24"/>
  <c r="E24"/>
  <c r="B28"/>
  <c r="D28"/>
  <c r="D38" s="1"/>
  <c r="F29"/>
  <c r="F30"/>
  <c r="F31"/>
  <c r="F32"/>
  <c r="F33"/>
  <c r="F34"/>
  <c r="F35"/>
  <c r="C36"/>
  <c r="D36"/>
  <c r="E36"/>
  <c r="B38"/>
  <c r="F39"/>
  <c r="F40"/>
  <c r="F41"/>
  <c r="F42"/>
  <c r="F43"/>
  <c r="C44"/>
  <c r="D44"/>
  <c r="E44"/>
  <c r="A46"/>
  <c r="E51"/>
  <c r="B59"/>
  <c r="C59"/>
  <c r="C69" s="1"/>
  <c r="C80" s="1"/>
  <c r="C90" s="1"/>
  <c r="D59"/>
  <c r="E59"/>
  <c r="E69" s="1"/>
  <c r="E80" s="1"/>
  <c r="E90" s="1"/>
  <c r="F60"/>
  <c r="F61"/>
  <c r="F62"/>
  <c r="F63"/>
  <c r="F64"/>
  <c r="F65"/>
  <c r="F66"/>
  <c r="C67"/>
  <c r="D67"/>
  <c r="E67"/>
  <c r="B69"/>
  <c r="D69"/>
  <c r="D80" s="1"/>
  <c r="D90" s="1"/>
  <c r="F70"/>
  <c r="F71"/>
  <c r="F72"/>
  <c r="F73"/>
  <c r="F74"/>
  <c r="F75"/>
  <c r="C76"/>
  <c r="D76"/>
  <c r="E76"/>
  <c r="B80"/>
  <c r="F81"/>
  <c r="F82"/>
  <c r="F83"/>
  <c r="F84"/>
  <c r="F85"/>
  <c r="F86"/>
  <c r="F87"/>
  <c r="C88"/>
  <c r="D88"/>
  <c r="E88"/>
  <c r="B90"/>
  <c r="F91"/>
  <c r="F92"/>
  <c r="F93"/>
  <c r="F94"/>
  <c r="F95"/>
  <c r="C96"/>
  <c r="D96"/>
  <c r="E96"/>
  <c r="F96"/>
  <c r="A98"/>
  <c r="E103"/>
  <c r="B25" i="10"/>
  <c r="B24" i="9"/>
  <c r="C11" i="8"/>
  <c r="C14" i="7"/>
  <c r="C7" i="6"/>
  <c r="D7" s="1"/>
  <c r="E7" s="1"/>
  <c r="F9"/>
  <c r="F10"/>
  <c r="F11"/>
  <c r="F12"/>
  <c r="F13"/>
  <c r="C14"/>
  <c r="D14"/>
  <c r="E14"/>
  <c r="A4" i="5"/>
  <c r="D13"/>
  <c r="E2" i="4"/>
  <c r="C5" i="7" s="1"/>
  <c r="C5" i="8" s="1"/>
  <c r="B5" i="9" s="1"/>
  <c r="B5" i="10" s="1"/>
  <c r="C17" i="4"/>
  <c r="E17"/>
  <c r="C18"/>
  <c r="C24"/>
  <c r="C30"/>
  <c r="E30"/>
  <c r="E31"/>
  <c r="E2" i="3"/>
  <c r="C18"/>
  <c r="D6" i="5" s="1"/>
  <c r="E18" i="3"/>
  <c r="C19"/>
  <c r="C24"/>
  <c r="C29"/>
  <c r="D7" i="5" s="1"/>
  <c r="E29" i="3"/>
  <c r="D14" i="5" s="1"/>
  <c r="E30" i="3"/>
  <c r="D15" i="5" s="1"/>
  <c r="C8" i="2"/>
  <c r="C6" i="7" s="1"/>
  <c r="C10" i="2"/>
  <c r="C17"/>
  <c r="C24"/>
  <c r="C31"/>
  <c r="C39"/>
  <c r="C51"/>
  <c r="C57"/>
  <c r="C62"/>
  <c r="C68"/>
  <c r="C72"/>
  <c r="C77"/>
  <c r="C80"/>
  <c r="C84"/>
  <c r="C95"/>
  <c r="C162" s="1"/>
  <c r="C98"/>
  <c r="C119"/>
  <c r="C133" s="1"/>
  <c r="B13" i="5" s="1"/>
  <c r="E13" s="1"/>
  <c r="C134" i="2"/>
  <c r="C138"/>
  <c r="C145"/>
  <c r="C150"/>
  <c r="C158"/>
  <c r="B14" i="5" s="1"/>
  <c r="A12" i="1"/>
  <c r="A11" i="5" s="1"/>
  <c r="K27" i="15" l="1"/>
  <c r="G27"/>
  <c r="E27"/>
  <c r="C27"/>
  <c r="E14" i="5"/>
  <c r="C67" i="2"/>
  <c r="C31" i="4"/>
  <c r="F14" i="6"/>
  <c r="F88" i="11"/>
  <c r="F67"/>
  <c r="F44"/>
  <c r="E89" i="12"/>
  <c r="C89"/>
  <c r="I12" i="13"/>
  <c r="H18"/>
  <c r="F18"/>
  <c r="I6"/>
  <c r="O26" i="15"/>
  <c r="C32" i="18"/>
  <c r="C91" i="2"/>
  <c r="C31" i="3"/>
  <c r="C32" i="4"/>
  <c r="F76" i="11"/>
  <c r="F36"/>
  <c r="F24"/>
  <c r="C156" i="12"/>
  <c r="D156"/>
  <c r="D157" s="1"/>
  <c r="E131"/>
  <c r="E157" s="1"/>
  <c r="C131"/>
  <c r="D65"/>
  <c r="D90" s="1"/>
  <c r="E65"/>
  <c r="E90" s="1"/>
  <c r="C65"/>
  <c r="I16" i="13"/>
  <c r="E18"/>
  <c r="I9"/>
  <c r="N27" i="15"/>
  <c r="L27"/>
  <c r="J27"/>
  <c r="H27"/>
  <c r="F27"/>
  <c r="O15"/>
  <c r="D34" i="18"/>
  <c r="E34" s="1"/>
  <c r="E32" s="1"/>
  <c r="C11"/>
  <c r="C96" i="2"/>
  <c r="E6" i="12"/>
  <c r="E94" s="1"/>
  <c r="E5" i="6"/>
  <c r="E9" i="18"/>
  <c r="C157" i="12"/>
  <c r="E33" i="4"/>
  <c r="C33"/>
  <c r="E31" i="18"/>
  <c r="E36" s="1"/>
  <c r="E38" s="1"/>
  <c r="C90" i="12"/>
  <c r="C23" i="18"/>
  <c r="C25" s="1"/>
  <c r="C164" i="2"/>
  <c r="B7" i="5"/>
  <c r="E7" s="1"/>
  <c r="E6" i="11"/>
  <c r="E27" s="1"/>
  <c r="E58"/>
  <c r="E79" s="1"/>
  <c r="E5" i="12"/>
  <c r="C92" i="2"/>
  <c r="B6" i="5"/>
  <c r="E6" s="1"/>
  <c r="C163" i="2"/>
  <c r="E158" i="12"/>
  <c r="I18" i="13"/>
  <c r="D32" i="18"/>
  <c r="D36" s="1"/>
  <c r="D38" s="1"/>
  <c r="C159" i="2"/>
  <c r="E31" i="3"/>
  <c r="E32" i="4"/>
  <c r="D18" i="13"/>
  <c r="D27" i="15"/>
  <c r="C36" i="18"/>
  <c r="C38" s="1"/>
  <c r="D14"/>
  <c r="D10"/>
  <c r="E10" s="1"/>
  <c r="C30" i="3"/>
  <c r="C4"/>
  <c r="O27" i="15" l="1"/>
  <c r="E32" i="3"/>
  <c r="C32"/>
  <c r="D8" i="5"/>
  <c r="B15"/>
  <c r="E15" s="1"/>
  <c r="B8"/>
  <c r="E8" s="1"/>
  <c r="C160" i="2"/>
  <c r="C39" i="18"/>
  <c r="E14"/>
  <c r="E11" s="1"/>
  <c r="E23" s="1"/>
  <c r="E25" s="1"/>
  <c r="E39" s="1"/>
  <c r="D11"/>
  <c r="I2" i="13"/>
  <c r="D4" i="14" s="1"/>
  <c r="O3" i="15" s="1"/>
  <c r="E93" i="12"/>
  <c r="D23" i="18"/>
  <c r="D25" s="1"/>
  <c r="D39" s="1"/>
  <c r="E4" i="4"/>
  <c r="E4" i="3"/>
  <c r="C4" i="4"/>
  <c r="C4" i="17" l="1"/>
  <c r="E5" i="18"/>
  <c r="E28" s="1"/>
</calcChain>
</file>

<file path=xl/sharedStrings.xml><?xml version="1.0" encoding="utf-8"?>
<sst xmlns="http://schemas.openxmlformats.org/spreadsheetml/2006/main" count="1252" uniqueCount="542">
  <si>
    <t xml:space="preserve">2.1. számú melléklet E. oszlop 25. sor + 2.2. számú melléklet E. oszlop 26. sor </t>
  </si>
  <si>
    <t>1.1. sz. melléklet Kiadások táblázat C. oszlop 11 sora =</t>
  </si>
  <si>
    <t xml:space="preserve">2.1. számú melléklet E. oszlop 24. sor + 2.2. számú melléklet E. oszlop 25. sor </t>
  </si>
  <si>
    <t>1.1. sz. melléklet Kiadások táblázat C. oszlop 10 sora =</t>
  </si>
  <si>
    <t xml:space="preserve">2.1. számú melléklet E. oszlop 13. sor + 2.2. számú melléklet E. oszlop 12. sor </t>
  </si>
  <si>
    <t>1.1. sz. melléklet Kiadások táblázat C. oszlop 3 sora =</t>
  </si>
  <si>
    <t xml:space="preserve">2.1. számú melléklet C. oszlop 25. sor + 2.2. számú melléklet C. oszlop 26. sor </t>
  </si>
  <si>
    <t>1.1. sz. melléklet Bevételek táblázat C. oszlop 18 sora =</t>
  </si>
  <si>
    <t xml:space="preserve">2.1. számú melléklet C. oszlop 24. sor + 2.2. számú melléklet C. oszlop 25. sor </t>
  </si>
  <si>
    <t>1.1. sz. melléklet Bevételek táblázat C. oszlop 17 sora =</t>
  </si>
  <si>
    <t xml:space="preserve">2.1. számú melléklet C. oszlop 13. sor + 2.2. számú melléklet C. oszlop 12. sor </t>
  </si>
  <si>
    <t>1.1. sz. melléklet Bevételek táblázat C. oszlop 9 sora =</t>
  </si>
  <si>
    <t>2019. évi előirányzat BEVÉTELEK</t>
  </si>
  <si>
    <t>Költségvetési rendelet űrlapjainak összefüggései:</t>
  </si>
  <si>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</si>
  <si>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</si>
  <si>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</si>
  <si>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</si>
  <si>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</si>
  <si>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</si>
  <si>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</si>
  <si>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</si>
  <si>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</si>
  <si>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</si>
  <si>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</si>
  <si>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</si>
  <si>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</si>
  <si>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</si>
  <si>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</si>
  <si>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</si>
  <si>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</si>
  <si>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</si>
  <si>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</si>
  <si>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</si>
  <si>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</si>
  <si>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</si>
  <si>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</si>
  <si>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</si>
  <si>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</si>
  <si>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</si>
  <si>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</si>
  <si>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</si>
  <si>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</si>
  <si>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</si>
  <si>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</si>
  <si>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</si>
  <si>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</si>
  <si>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</si>
  <si>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</si>
  <si>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</si>
  <si>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</si>
  <si>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</si>
  <si>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</si>
  <si>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</si>
  <si>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</si>
  <si>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</si>
  <si>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</si>
  <si>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</si>
  <si>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</si>
  <si>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</si>
  <si>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</si>
  <si>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</si>
  <si>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</si>
  <si>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</si>
  <si>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</si>
  <si>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</si>
  <si>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</si>
  <si>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</si>
  <si>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</si>
  <si>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</si>
  <si>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</si>
  <si>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</si>
  <si>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</si>
  <si>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</si>
  <si>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</si>
  <si>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</si>
  <si>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</si>
  <si>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</si>
  <si>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</si>
  <si>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</si>
  <si>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</si>
  <si>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</si>
  <si>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</si>
  <si>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</si>
  <si>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</si>
  <si>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</si>
  <si>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</si>
  <si>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</si>
  <si>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</si>
  <si>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</si>
  <si>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</si>
  <si>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</si>
  <si>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</si>
  <si>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</si>
  <si>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</si>
  <si>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</si>
  <si>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</si>
  <si>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</si>
  <si>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</si>
  <si>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</si>
  <si>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</si>
  <si>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</si>
  <si>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</si>
  <si>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</si>
  <si>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</si>
  <si>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</si>
  <si>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</si>
  <si>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</si>
  <si>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</si>
  <si>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</si>
  <si>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</si>
  <si>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</si>
  <si>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</si>
  <si>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</si>
  <si>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</si>
  <si>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</si>
  <si>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</si>
  <si>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</si>
  <si>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</si>
  <si>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</si>
  <si>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</si>
  <si>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</si>
  <si>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</si>
  <si>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</si>
  <si>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</si>
  <si>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</si>
  <si>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</si>
  <si>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</si>
  <si>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</si>
  <si>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</si>
  <si>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</si>
  <si>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</si>
  <si>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</si>
  <si>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</si>
  <si>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</si>
  <si>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</si>
  <si>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</si>
  <si>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</si>
  <si>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</si>
  <si>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</si>
  <si>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</si>
  <si>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</si>
  <si>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</si>
  <si>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</si>
  <si>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</si>
  <si>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</si>
  <si>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</si>
  <si>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</si>
  <si>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</si>
  <si>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</si>
  <si>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</si>
  <si>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</si>
  <si>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</si>
  <si>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</si>
  <si>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</si>
  <si>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</si>
  <si>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</si>
  <si>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</si>
  <si>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</si>
  <si>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</si>
  <si>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</si>
  <si>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</si>
  <si>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</si>
  <si>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</si>
  <si>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</si>
  <si>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</si>
  <si>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</si>
  <si>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</si>
  <si>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</si>
  <si>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</si>
  <si>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</si>
  <si>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</si>
  <si>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</si>
  <si>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</si>
  <si>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</si>
  <si>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</si>
  <si>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</si>
  <si>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</si>
  <si>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</si>
  <si>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</si>
  <si>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</si>
  <si>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</si>
  <si>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</si>
  <si>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</si>
  <si>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</si>
  <si>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</si>
  <si>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</si>
  <si>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</si>
  <si>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</si>
  <si>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</si>
  <si>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</si>
  <si>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</si>
  <si>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</si>
  <si>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</si>
  <si>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</si>
  <si>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</si>
  <si>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</si>
  <si>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</si>
  <si>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</si>
  <si>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</si>
  <si>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</si>
  <si>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</si>
  <si>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</si>
  <si>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</si>
  <si>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</si>
  <si>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</si>
  <si>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</si>
  <si>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</si>
  <si>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</si>
  <si>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</si>
  <si>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</si>
  <si>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</si>
  <si>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</si>
  <si>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</si>
  <si>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</si>
  <si>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</si>
  <si>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</si>
  <si>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</si>
  <si>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</si>
  <si>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</si>
  <si>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</si>
  <si>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</si>
  <si>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</si>
  <si>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</si>
  <si>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</si>
  <si>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</si>
  <si>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</si>
  <si>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</si>
  <si>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</si>
  <si>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</si>
  <si>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</si>
  <si>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</si>
  <si>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</si>
  <si>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</si>
  <si>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</si>
  <si>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</si>
  <si>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</si>
  <si>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</si>
  <si>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</si>
  <si>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</si>
  <si>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</si>
  <si>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</si>
  <si>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</si>
  <si>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</si>
  <si>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</si>
  <si>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</si>
  <si>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</si>
  <si>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</si>
  <si>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</si>
  <si>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</si>
  <si>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</si>
  <si>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</si>
  <si>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</si>
  <si>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</si>
  <si>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</si>
  <si>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</si>
  <si>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</si>
  <si>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</si>
  <si>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</si>
  <si>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</si>
  <si>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</si>
  <si>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</si>
  <si>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</si>
  <si>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</si>
  <si>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</si>
  <si>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</si>
  <si>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</si>
  <si>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</si>
  <si>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</si>
  <si>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</si>
  <si>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</si>
  <si>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</si>
  <si>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</si>
  <si>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</si>
  <si>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</si>
  <si>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</si>
  <si>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</si>
  <si>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</si>
  <si>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</si>
  <si>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</si>
  <si>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</si>
  <si>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</si>
  <si>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ÖSSZEVONT MÉRLEGE</t>
  </si>
  <si>
    <t>2019. ÉVI KÖLTSÉGVETÉS</t>
  </si>
  <si>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</si>
  <si>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</si>
  <si>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</si>
  <si>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</si>
  <si>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</si>
  <si>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</si>
  <si>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</si>
  <si>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</si>
  <si>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</si>
  <si>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</si>
  <si>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</si>
  <si>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</si>
  <si>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23.</t>
  </si>
  <si>
    <t>22.</t>
  </si>
  <si>
    <t>Egyéb</t>
  </si>
  <si>
    <t>21.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</si>
  <si>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</si>
  <si>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</si>
  <si>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</si>
  <si>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</si>
  <si>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</si>
  <si>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</si>
  <si>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</si>
  <si>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</si>
  <si>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</si>
  <si>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</si>
  <si>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</si>
  <si>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</si>
  <si>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</si>
  <si>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</si>
  <si>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</si>
  <si>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</si>
  <si>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</si>
  <si>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</si>
  <si>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</si>
  <si>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</si>
  <si>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</si>
  <si>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</si>
  <si>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</si>
  <si>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</si>
  <si>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6.-ból EU-s támogatás (közvetlen)</t>
  </si>
  <si>
    <t>Működési célú átvett pénzeszközök</t>
  </si>
  <si>
    <t>Működési bevételek</t>
  </si>
  <si>
    <t>Közhatalmi bevételek</t>
  </si>
  <si>
    <t xml:space="preserve">Dologi kiadások </t>
  </si>
  <si>
    <t>2.-ból EU-s támogatás</t>
  </si>
  <si>
    <t>Működési célú támogatások államháztartáson belülről</t>
  </si>
  <si>
    <t>Személyi juttatások</t>
  </si>
  <si>
    <t>Önkormányzatok működési támogatásai</t>
  </si>
  <si>
    <t>D</t>
  </si>
  <si>
    <t>C</t>
  </si>
  <si>
    <t>Megnevezés</t>
  </si>
  <si>
    <t>Kiadások</t>
  </si>
  <si>
    <t>Bevételek</t>
  </si>
  <si>
    <t>I. Működési célú bevételek és kiadások mérlege
(Önkormányzati szinten)</t>
  </si>
  <si>
    <t>28.</t>
  </si>
  <si>
    <t>KIADÁSOK ÖSSZESEN (12+25)</t>
  </si>
  <si>
    <t>BEVÉTEL ÖSSZESEN (12+25)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</si>
  <si>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</si>
  <si>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</si>
  <si>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</si>
  <si>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</si>
  <si>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</si>
  <si>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</si>
  <si>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Hosszú lejáratú hitelek, kölcsönök felvétele</t>
  </si>
  <si>
    <t>Betét elhelyezése</t>
  </si>
  <si>
    <t>Hiány külső finanszírozásának bevételei (20+…+24 )</t>
  </si>
  <si>
    <t>Befektetési célú belföldi, külföldi értékpapírok vásárlása</t>
  </si>
  <si>
    <t>Egyéb belső finanszírozási bevételek</t>
  </si>
  <si>
    <t xml:space="preserve">Betét visszavonásából származó bevétel </t>
  </si>
  <si>
    <t xml:space="preserve">Vállalkozási maradvány igénybevétele </t>
  </si>
  <si>
    <t>Hitelek törlesztése</t>
  </si>
  <si>
    <t>Költségvetési maradvány igénybevétele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</si>
  <si>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</si>
  <si>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</si>
  <si>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</si>
  <si>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</si>
  <si>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Egyéb felhalmozási kiadások</t>
  </si>
  <si>
    <t>4.-ből EU-s támogatás (közvetlen)</t>
  </si>
  <si>
    <t>3.-ból EU-s forrásból megvalósuló felújítás</t>
  </si>
  <si>
    <t>Felhalmozási célú átvett pénzeszközök átvétele</t>
  </si>
  <si>
    <t>Felhalmozási bevételek</t>
  </si>
  <si>
    <t>1.-ből EU-s forrásból megvalósuló beruházás</t>
  </si>
  <si>
    <t>1.-ből EU-s támogatás</t>
  </si>
  <si>
    <t>Felhalmozási célú támogatások államháztartáson belülről</t>
  </si>
  <si>
    <t>II. Felhalmozási célú bevételek és kiadások mérlege
(Önkormányzati szinten)</t>
  </si>
  <si>
    <t>ELTÉRÉS</t>
  </si>
  <si>
    <t>ÖSSZES KÖTELEZETTSÉG</t>
  </si>
  <si>
    <t>E</t>
  </si>
  <si>
    <t>Összesen
(F=C+D+E)</t>
  </si>
  <si>
    <t>Évek</t>
  </si>
  <si>
    <t>MEGNEVEZÉS</t>
  </si>
  <si>
    <t>Sor-szám</t>
  </si>
  <si>
    <t>Nemleges</t>
  </si>
  <si>
    <t>*Az adósságot keletkeztető ügyletekhez történő hozzájárulás részletes szabályairól szóló 353/2011. (XII.31.) Korm. Rendelet 2.§ (1) bekezdése alapján.</t>
  </si>
  <si>
    <t>SAJÁT BEVÉTELEK ÖSSZESEN*</t>
  </si>
  <si>
    <t>Kezesség-, illetve garanciavállalással kapcsolatos megtérülés</t>
  </si>
  <si>
    <t>Bírság-, pótlék- és díjbevétel</t>
  </si>
  <si>
    <t>Tárgyi eszköz és az immateriális jószág, részvény, részesedés, vállalat értékesítéséből vagy privatizációból származó bevétel</t>
  </si>
  <si>
    <t>Osztalék, koncessziós díj és hozambevétel</t>
  </si>
  <si>
    <t>Az önkormányzati vagyon és az önkormányzatot megillető vagyoni értékű jog értékesítéséből és hasznosításából származó bevétel</t>
  </si>
  <si>
    <t>Helyi adóból és a települési adóból származó bevétel</t>
  </si>
  <si>
    <t>Bevételi jogcímek</t>
  </si>
  <si>
    <t>ADÓSSÁGOT KELETKEZTETŐ ÜGYLETEK VÁRHATÓ EGYÜTTES ÖSSZEGE</t>
  </si>
  <si>
    <t>Fejlesztés várható kiadása</t>
  </si>
  <si>
    <t>Fejlesztési cél leírása</t>
  </si>
  <si>
    <t>ÖSSZESEN:</t>
  </si>
  <si>
    <t>2019. évi előirányzat</t>
  </si>
  <si>
    <t>Beruházás  megnevezése</t>
  </si>
  <si>
    <t>Beruházási (felhalmozási) kiadások előirányzata beruházásonként</t>
  </si>
  <si>
    <t>VP6-7.2.1-7.4.12-16 Külterületi helyi utak felújítása</t>
  </si>
  <si>
    <t>TOP 3.2.1-15 önkormányzati épületek energetikai korszerűsítése</t>
  </si>
  <si>
    <t>Felújítás  megnevezése</t>
  </si>
  <si>
    <t>Felújítási kiadások előirányzata felújításonként</t>
  </si>
  <si>
    <t>Összesen:</t>
  </si>
  <si>
    <t>Hozzájárulás  (Ft)</t>
  </si>
  <si>
    <t>Támogatott neve</t>
  </si>
  <si>
    <t>Adminisztratív költségek</t>
  </si>
  <si>
    <t>Szolgáltatások igénybe vétele</t>
  </si>
  <si>
    <t>Beruházások, beszerzések</t>
  </si>
  <si>
    <t>Személyi jellegű</t>
  </si>
  <si>
    <t>Összesen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</si>
  <si>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</si>
  <si>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</si>
  <si>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</si>
  <si>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</si>
  <si>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</si>
  <si>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</si>
  <si>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</si>
  <si>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</si>
  <si>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Források</t>
  </si>
  <si>
    <t>EFOP-1.5.3-16 Humán szolgáltatások fejlesztése</t>
  </si>
  <si>
    <t>EU-s projekt neve, azonosítója:</t>
  </si>
  <si>
    <t>Tartalék</t>
  </si>
  <si>
    <t>Beruházások, beszerzések, felújítás</t>
  </si>
  <si>
    <t>Költségvetési maradvány</t>
  </si>
  <si>
    <t>EFOP-3.9.2-16 "Holnap itt fogant a mában"</t>
  </si>
  <si>
    <t>bevételei, kiadási, hozzájárulások</t>
  </si>
  <si>
    <t>Európai uniós támogatással megvalósuló projektek</t>
  </si>
  <si>
    <t>VP6-7.2.1-7.4.1.2-16 Külterüli helyi közutak fejlesztése</t>
  </si>
  <si>
    <t>Egyéb forrás, Maradvány</t>
  </si>
  <si>
    <t>TOP-3.2.1-15 Önkormányzati épületek energetikai korszerűsítése</t>
  </si>
  <si>
    <t>Hitelek, kölcsönök törlesztése külföldi kormányoknak nemz. Szervezeteknek</t>
  </si>
  <si>
    <t xml:space="preserve">   Rövid lejáratú  hitelek, kölcsönök felvétele</t>
  </si>
  <si>
    <t>Hitel-, kölcsönfelvétel államháztartáson kívülről  (10.1.+…+10.3.)</t>
  </si>
  <si>
    <t>Közhatalmi bevételek (4.1.+4.2.+4.3.+4.4.)</t>
  </si>
  <si>
    <t>3.5.-ből EU-s támogatás</t>
  </si>
  <si>
    <t xml:space="preserve">Egyéb működési célú támogatások bevételei </t>
  </si>
  <si>
    <t>Önkormányzatok szociális és gyermekjóléti feladatainak támogatása</t>
  </si>
  <si>
    <t>Tájékoztató a 2017. évi tény, 2018. évi várható és 2019. évi terv adatokról</t>
  </si>
  <si>
    <t>Összesen (1+4+7+9+11)</t>
  </si>
  <si>
    <t>............................</t>
  </si>
  <si>
    <t>Egyéb (Pl.: garancia és kezességvállalás, stb.)</t>
  </si>
  <si>
    <t>Felújítási kiadások felújításonként</t>
  </si>
  <si>
    <t>Beruházási kiadások beruházásonként</t>
  </si>
  <si>
    <t>Felhalmozási célú finanszírozási kiadások
(hiteltörlesztés, értékpapír vásárlás, stb.)</t>
  </si>
  <si>
    <t>Működési célú finanszírozási kiadások
(hiteltörlesztés, értékpapír vásárlás, stb.)</t>
  </si>
  <si>
    <t>I=(D+E+F+G+H)</t>
  </si>
  <si>
    <t>H</t>
  </si>
  <si>
    <t>G</t>
  </si>
  <si>
    <t>F</t>
  </si>
  <si>
    <t>Kiadás vonzata évenként</t>
  </si>
  <si>
    <t>Köt. váll.
 éve</t>
  </si>
  <si>
    <t>Kötelezettség jogcíme</t>
  </si>
  <si>
    <t>Többéves kihatással járó döntések számszerűsítése évenkénti bontásban és összesítve célok szerint</t>
  </si>
  <si>
    <t>Egyéb kölcsön elengedése</t>
  </si>
  <si>
    <t>Egyéb kedvezmény</t>
  </si>
  <si>
    <t>Eszközök hasznosítása utáni kedvezmény, mentesség</t>
  </si>
  <si>
    <t>Helyiségek hasznosítása utáni kedvezmény, mentesség</t>
  </si>
  <si>
    <t>Gépjárműadóból biztosított kedvezmény, mentesség</t>
  </si>
  <si>
    <t xml:space="preserve">Iparűzési adó állandó jelleggel végzett iparűzési tevékenység után </t>
  </si>
  <si>
    <t xml:space="preserve">Idegenforgalmi adó épület után </t>
  </si>
  <si>
    <t xml:space="preserve">Idegenforgalmi adó tartózkodás után </t>
  </si>
  <si>
    <t xml:space="preserve">Magánszemélyek kommunális adója </t>
  </si>
  <si>
    <t xml:space="preserve">Telekadó </t>
  </si>
  <si>
    <t xml:space="preserve">-ebből:            Építményadó </t>
  </si>
  <si>
    <t>Helyi adóból biztosított kedvezmény, mentesség összesen</t>
  </si>
  <si>
    <t>Lakosság részére lakásfelújításhoz nyújtott kölcsön elengedése</t>
  </si>
  <si>
    <t>Lakosság részére lakásépítéshez nyújtott kölcsön elengedése</t>
  </si>
  <si>
    <t>Ellátottak kártérítésének méltányosságból történő elengedése</t>
  </si>
  <si>
    <t>Ellátottak térítési díjának méltányosságból történő elengedése</t>
  </si>
  <si>
    <t>Kedvezmények összege</t>
  </si>
  <si>
    <t>Kedvezmény nélkül elérhető bevétel</t>
  </si>
  <si>
    <t>Az önkormányzat által adott közvetett támogatások
(kedvezmények)</t>
  </si>
  <si>
    <t>Egyenleg</t>
  </si>
  <si>
    <t>Kiadások összesen:</t>
  </si>
  <si>
    <t>Finanszírozási kiadások</t>
  </si>
  <si>
    <t xml:space="preserve"> Egyéb működési célú kiadások</t>
  </si>
  <si>
    <t>Bevételek összesen:</t>
  </si>
  <si>
    <t>Finanszírozási bevételek</t>
  </si>
  <si>
    <t>Felhalmozási célú átvett pénzeszközök</t>
  </si>
  <si>
    <t>Felhalmozási célú támogatások ÁH-on belül</t>
  </si>
  <si>
    <t>Működési célú támogatások ÁH-on belül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</si>
  <si>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</si>
  <si>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</si>
  <si>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</si>
  <si>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</si>
  <si>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</si>
  <si>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</si>
  <si>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</si>
  <si>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</si>
  <si>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</si>
  <si>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</si>
  <si>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</si>
  <si>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</si>
  <si>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Rászoruló gyermekek szünidei étkeztetésének támogatása</t>
  </si>
  <si>
    <t>Könyvtári és közművelődési feladatok támogatása</t>
  </si>
  <si>
    <t>Falugondnoki szolgáltatás</t>
  </si>
  <si>
    <t>Települési önkormányzatok szociális feladatainak támogatása</t>
  </si>
  <si>
    <t>Polgármesteri illetmény</t>
  </si>
  <si>
    <t>I.1 jogcímekhez kapcsolódó kiegészítés</t>
  </si>
  <si>
    <t>Egyéb önkormányzati feladatok támogatása</t>
  </si>
  <si>
    <t>Közutak fenntartásának támogatása</t>
  </si>
  <si>
    <t>Köztemető fenntartásával kapcsolatos feladatok támogatása</t>
  </si>
  <si>
    <t>Közvilágítás fenntartásának támogatása</t>
  </si>
  <si>
    <t>Zöldterület gazdálkodással kapcsolatos feladatok ellátásának támogatása</t>
  </si>
  <si>
    <t xml:space="preserve">Település üzemeltetéshez kapcsolódó feladatellátás támogatása </t>
  </si>
  <si>
    <t>Önkormányzati hivatal működésének támogatása</t>
  </si>
  <si>
    <t>Jogcím</t>
  </si>
  <si>
    <t>Forintban</t>
  </si>
  <si>
    <t>Nem kötelező!</t>
  </si>
  <si>
    <t>33.</t>
  </si>
  <si>
    <t>32.</t>
  </si>
  <si>
    <t>31.</t>
  </si>
  <si>
    <t>30.</t>
  </si>
  <si>
    <t>29.</t>
  </si>
  <si>
    <t>Tagdíj</t>
  </si>
  <si>
    <t>Tagdíjak megállapodás alapján</t>
  </si>
  <si>
    <t>Működési támogatás</t>
  </si>
  <si>
    <t>Református Egyház</t>
  </si>
  <si>
    <t xml:space="preserve">Közös feladat hozzájárulás </t>
  </si>
  <si>
    <t>Csengeri Közös Önkormányzati Hivatal</t>
  </si>
  <si>
    <t>Ügyeleti hozzájárulás</t>
  </si>
  <si>
    <t>Népjóléti és Szociális Szolgáltató Központ</t>
  </si>
  <si>
    <t>Szoc alapfeladatok támogatása</t>
  </si>
  <si>
    <t>Csenger Többcélú Kistérségi Társulás</t>
  </si>
  <si>
    <t>Óvoda működési támogatás</t>
  </si>
  <si>
    <t>Csenger Mikro-Térségi Óvodai Társulás</t>
  </si>
  <si>
    <t>Támogatás összge</t>
  </si>
  <si>
    <t>Támogatás célja</t>
  </si>
  <si>
    <t>Támogatott szervezet neve</t>
  </si>
  <si>
    <t>KIADÁSOK ÖSSZESEN: (3.+4.)</t>
  </si>
  <si>
    <t>FINANSZÍROZÁSI KIADÁSOK ÖSSZESEN:</t>
  </si>
  <si>
    <t xml:space="preserve">   Felhalmozási költségvetés kiadásai (2.1.+2.2.+2.3.)</t>
  </si>
  <si>
    <t xml:space="preserve">   Működési költségvetés kiadásai </t>
  </si>
  <si>
    <t>KÖLTSÉGVETÉSI ÉS FINANSZÍROZÁSI BEVÉTELEK ÖSSZESEN: (9+10)</t>
  </si>
  <si>
    <t xml:space="preserve">FINANSZÍROZÁSI BEVÉTELEK ÖSSZESEN: 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</si>
  <si>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</si>
  <si>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</si>
  <si>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</si>
  <si>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>Önkormányzat működési támogatásai</t>
  </si>
  <si>
    <t>BEVÉTELEI, KIADÁSAI</t>
  </si>
  <si>
    <t>2019. ÉVI KÖLTSÉGVETÉSI ÉVET KÖVETŐ 3 ÉV TERVEZETT</t>
  </si>
  <si>
    <t>Komlódtótfalu Község Önkormányzata adósságot keletkeztető ügyletekből és kezességvállalásokból fennálló kötelezettségei</t>
  </si>
  <si>
    <t>Komlódtótfalu Község Önkormányzata saját bevételeinek részletezése az adósságot keletkeztető ügyletből származó tárgyévi fizetési kötelezettség megállapításához</t>
  </si>
  <si>
    <t>Komlódtótfalu Község Önkormányzata 2019. évi adósságot keletkeztető fejlesztési céljai</t>
  </si>
  <si>
    <t>8. melléklet a … / 2019 ( … ) önkormányzati rendelethez</t>
  </si>
  <si>
    <t>Komlódtótfalu Község Önkormányzata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</si>
</sst>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3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10"/>
      <color indexed="17"/>
      <name val="Times New Roman CE"/>
      <charset val="238"/>
    </font>
    <font>
      <sz val="9"/>
      <color indexed="17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b/>
      <sz val="14"/>
      <color rgb="FFFF0000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sz val="14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7"/>
      <name val="Times New Roman CE"/>
      <family val="1"/>
      <charset val="238"/>
    </font>
    <font>
      <sz val="7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charset val="238"/>
    </font>
    <font>
      <i/>
      <sz val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 CE"/>
      <family val="1"/>
      <charset val="238"/>
    </font>
    <font>
      <sz val="6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b/>
      <i/>
      <sz val="10"/>
      <name val="Times New Roman"/>
      <family val="1"/>
      <charset val="238"/>
    </font>
    <font>
      <b/>
      <sz val="7"/>
      <name val="Times New Roman CE"/>
      <charset val="238"/>
    </font>
    <font>
      <sz val="7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599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8" fillId="0" borderId="0" xfId="5" applyFill="1" applyProtection="1"/>
    <xf numFmtId="0" fontId="8" fillId="0" borderId="0" xfId="5" applyFont="1" applyFill="1" applyAlignment="1" applyProtection="1">
      <alignment horizontal="right" vertical="center" indent="1"/>
    </xf>
    <xf numFmtId="0" fontId="8" fillId="0" borderId="0" xfId="5" applyFont="1" applyFill="1" applyProtection="1"/>
    <xf numFmtId="164" fontId="9" fillId="0" borderId="1" xfId="5" applyNumberFormat="1" applyFont="1" applyFill="1" applyBorder="1" applyAlignment="1" applyProtection="1">
      <alignment horizontal="right" vertical="center" wrapText="1" indent="1"/>
    </xf>
    <xf numFmtId="0" fontId="9" fillId="0" borderId="2" xfId="5" applyFont="1" applyFill="1" applyBorder="1" applyAlignment="1" applyProtection="1">
      <alignment vertical="center" wrapText="1"/>
    </xf>
    <xf numFmtId="0" fontId="9" fillId="0" borderId="3" xfId="5" applyFont="1" applyFill="1" applyBorder="1" applyAlignment="1" applyProtection="1">
      <alignment horizontal="left" vertical="center" wrapText="1" indent="1"/>
    </xf>
    <xf numFmtId="0" fontId="8" fillId="0" borderId="0" xfId="5" applyFill="1" applyBorder="1" applyProtection="1"/>
    <xf numFmtId="0" fontId="10" fillId="0" borderId="4" xfId="0" applyFont="1" applyFill="1" applyBorder="1" applyAlignment="1" applyProtection="1">
      <alignment horizontal="right" vertical="center"/>
    </xf>
    <xf numFmtId="164" fontId="13" fillId="0" borderId="0" xfId="5" applyNumberFormat="1" applyFont="1" applyFill="1" applyAlignment="1" applyProtection="1">
      <alignment horizontal="right" vertical="center" indent="1"/>
    </xf>
    <xf numFmtId="0" fontId="14" fillId="0" borderId="0" xfId="5" applyFont="1" applyFill="1" applyProtection="1">
      <protection locked="0"/>
    </xf>
    <xf numFmtId="0" fontId="15" fillId="0" borderId="0" xfId="5" applyFont="1" applyFill="1" applyProtection="1"/>
    <xf numFmtId="164" fontId="16" fillId="0" borderId="1" xfId="0" quotePrefix="1" applyNumberFormat="1" applyFont="1" applyBorder="1" applyAlignment="1" applyProtection="1">
      <alignment horizontal="right" vertical="center" wrapText="1" indent="1"/>
    </xf>
    <xf numFmtId="0" fontId="16" fillId="0" borderId="5" xfId="0" applyFont="1" applyBorder="1" applyAlignment="1" applyProtection="1">
      <alignment horizontal="left" vertical="center" wrapText="1" indent="1"/>
    </xf>
    <xf numFmtId="0" fontId="16" fillId="0" borderId="6" xfId="0" applyFont="1" applyBorder="1" applyAlignment="1" applyProtection="1">
      <alignment horizontal="left" vertical="center" wrapText="1" indent="1"/>
    </xf>
    <xf numFmtId="0" fontId="5" fillId="0" borderId="0" xfId="5" applyFont="1" applyFill="1" applyProtection="1"/>
    <xf numFmtId="0" fontId="17" fillId="0" borderId="0" xfId="5" applyFont="1" applyFill="1" applyProtection="1"/>
    <xf numFmtId="0" fontId="12" fillId="0" borderId="2" xfId="5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8" xfId="5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Border="1" applyAlignment="1" applyProtection="1">
      <alignment horizontal="right" vertical="center" wrapText="1" indent="1"/>
    </xf>
    <xf numFmtId="164" fontId="1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5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164" fontId="18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5" applyFont="1" applyFill="1" applyBorder="1" applyAlignment="1" applyProtection="1">
      <alignment horizontal="left" vertical="center" wrapText="1" indent="1"/>
    </xf>
    <xf numFmtId="49" fontId="18" fillId="0" borderId="15" xfId="5" applyNumberFormat="1" applyFont="1" applyFill="1" applyBorder="1" applyAlignment="1" applyProtection="1">
      <alignment horizontal="left" vertical="center" wrapText="1" indent="1"/>
    </xf>
    <xf numFmtId="164" fontId="12" fillId="0" borderId="1" xfId="5" applyNumberFormat="1" applyFont="1" applyFill="1" applyBorder="1" applyAlignment="1" applyProtection="1">
      <alignment horizontal="right" vertical="center" wrapText="1" indent="1"/>
    </xf>
    <xf numFmtId="0" fontId="18" fillId="0" borderId="16" xfId="5" applyFont="1" applyFill="1" applyBorder="1" applyAlignment="1" applyProtection="1">
      <alignment horizontal="left" vertical="center" wrapText="1" indent="1"/>
    </xf>
    <xf numFmtId="0" fontId="18" fillId="0" borderId="17" xfId="5" applyFont="1" applyFill="1" applyBorder="1" applyAlignment="1" applyProtection="1">
      <alignment horizontal="left" vertical="center" wrapText="1" indent="6"/>
    </xf>
    <xf numFmtId="0" fontId="18" fillId="0" borderId="8" xfId="5" applyFont="1" applyFill="1" applyBorder="1" applyAlignment="1" applyProtection="1">
      <alignment horizontal="left" vertical="center" wrapText="1" indent="6"/>
    </xf>
    <xf numFmtId="0" fontId="19" fillId="0" borderId="17" xfId="0" applyFont="1" applyBorder="1" applyAlignment="1" applyProtection="1">
      <alignment horizontal="left" vertical="center" wrapText="1" indent="1"/>
    </xf>
    <xf numFmtId="0" fontId="19" fillId="0" borderId="16" xfId="0" applyFont="1" applyBorder="1" applyAlignment="1" applyProtection="1">
      <alignment horizontal="left" vertical="center" wrapText="1" indent="1"/>
    </xf>
    <xf numFmtId="164" fontId="1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5" applyFont="1" applyFill="1" applyBorder="1" applyAlignment="1" applyProtection="1">
      <alignment horizontal="left" vertical="center" wrapText="1" indent="1"/>
    </xf>
    <xf numFmtId="164" fontId="9" fillId="0" borderId="20" xfId="5" applyNumberFormat="1" applyFont="1" applyFill="1" applyBorder="1" applyAlignment="1" applyProtection="1">
      <alignment horizontal="right" vertical="center" wrapText="1" indent="1"/>
    </xf>
    <xf numFmtId="0" fontId="9" fillId="0" borderId="5" xfId="5" applyFont="1" applyFill="1" applyBorder="1" applyAlignment="1" applyProtection="1">
      <alignment vertical="center" wrapText="1"/>
    </xf>
    <xf numFmtId="0" fontId="9" fillId="0" borderId="6" xfId="5" applyFont="1" applyFill="1" applyBorder="1" applyAlignment="1" applyProtection="1">
      <alignment horizontal="left" vertical="center" wrapText="1" indent="1"/>
    </xf>
    <xf numFmtId="164" fontId="18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5" applyFont="1" applyFill="1" applyBorder="1" applyAlignment="1" applyProtection="1">
      <alignment horizontal="left" vertical="center" wrapText="1" indent="7"/>
    </xf>
    <xf numFmtId="49" fontId="18" fillId="0" borderId="22" xfId="5" applyNumberFormat="1" applyFont="1" applyFill="1" applyBorder="1" applyAlignment="1" applyProtection="1">
      <alignment horizontal="left" vertical="center" wrapText="1" indent="1"/>
    </xf>
    <xf numFmtId="0" fontId="18" fillId="0" borderId="23" xfId="5" applyFont="1" applyFill="1" applyBorder="1" applyAlignment="1" applyProtection="1">
      <alignment horizontal="lef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5" applyFont="1" applyFill="1" applyBorder="1" applyAlignment="1" applyProtection="1">
      <alignment horizontal="left" vertical="center" wrapText="1" indent="6"/>
    </xf>
    <xf numFmtId="49" fontId="18" fillId="0" borderId="25" xfId="5" applyNumberFormat="1" applyFont="1" applyFill="1" applyBorder="1" applyAlignment="1" applyProtection="1">
      <alignment horizontal="left" vertical="center" wrapText="1" indent="1"/>
    </xf>
    <xf numFmtId="0" fontId="18" fillId="0" borderId="17" xfId="5" applyFont="1" applyFill="1" applyBorder="1" applyAlignment="1" applyProtection="1">
      <alignment horizontal="left" indent="6"/>
    </xf>
    <xf numFmtId="0" fontId="18" fillId="0" borderId="0" xfId="5" applyFont="1" applyFill="1" applyBorder="1" applyAlignment="1" applyProtection="1">
      <alignment horizontal="left" vertical="center" wrapText="1" indent="1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7" xfId="5" applyFont="1" applyFill="1" applyBorder="1" applyAlignment="1" applyProtection="1">
      <alignment horizontal="left" vertical="center" wrapText="1" indent="1"/>
    </xf>
    <xf numFmtId="49" fontId="18" fillId="0" borderId="28" xfId="5" applyNumberFormat="1" applyFont="1" applyFill="1" applyBorder="1" applyAlignment="1" applyProtection="1">
      <alignment horizontal="left" vertical="center" wrapText="1" indent="1"/>
    </xf>
    <xf numFmtId="164" fontId="9" fillId="0" borderId="29" xfId="5" applyNumberFormat="1" applyFont="1" applyFill="1" applyBorder="1" applyAlignment="1" applyProtection="1">
      <alignment horizontal="right" vertical="center" wrapText="1" indent="1"/>
    </xf>
    <xf numFmtId="0" fontId="9" fillId="0" borderId="30" xfId="5" applyFont="1" applyFill="1" applyBorder="1" applyAlignment="1" applyProtection="1">
      <alignment vertical="center" wrapText="1"/>
    </xf>
    <xf numFmtId="0" fontId="9" fillId="0" borderId="31" xfId="5" applyFont="1" applyFill="1" applyBorder="1" applyAlignment="1" applyProtection="1">
      <alignment horizontal="left" vertical="center" wrapText="1" indent="1"/>
    </xf>
    <xf numFmtId="0" fontId="18" fillId="0" borderId="0" xfId="5" applyFont="1" applyFill="1" applyProtection="1"/>
    <xf numFmtId="0" fontId="20" fillId="0" borderId="1" xfId="5" applyFont="1" applyFill="1" applyBorder="1" applyAlignment="1" applyProtection="1">
      <alignment horizontal="center" vertical="center" wrapText="1"/>
    </xf>
    <xf numFmtId="0" fontId="20" fillId="0" borderId="2" xfId="5" applyFont="1" applyFill="1" applyBorder="1" applyAlignment="1" applyProtection="1">
      <alignment horizontal="center" vertical="center" wrapText="1"/>
    </xf>
    <xf numFmtId="0" fontId="20" fillId="0" borderId="3" xfId="5" applyFont="1" applyFill="1" applyBorder="1" applyAlignment="1" applyProtection="1">
      <alignment horizontal="center" vertical="center" wrapText="1"/>
    </xf>
    <xf numFmtId="0" fontId="8" fillId="0" borderId="0" xfId="5" applyFill="1" applyAlignment="1" applyProtection="1"/>
    <xf numFmtId="0" fontId="10" fillId="0" borderId="4" xfId="0" applyFont="1" applyFill="1" applyBorder="1" applyAlignment="1" applyProtection="1">
      <alignment horizontal="right"/>
    </xf>
    <xf numFmtId="164" fontId="21" fillId="0" borderId="0" xfId="5" applyNumberFormat="1" applyFont="1" applyFill="1" applyBorder="1" applyAlignment="1" applyProtection="1">
      <alignment horizontal="right" vertical="center" wrapText="1" indent="1"/>
    </xf>
    <xf numFmtId="0" fontId="21" fillId="0" borderId="0" xfId="5" applyFont="1" applyFill="1" applyBorder="1" applyAlignment="1" applyProtection="1">
      <alignment vertical="center" wrapText="1"/>
    </xf>
    <xf numFmtId="0" fontId="21" fillId="0" borderId="0" xfId="5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wrapText="1"/>
    </xf>
    <xf numFmtId="0" fontId="16" fillId="0" borderId="6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wrapText="1"/>
    </xf>
    <xf numFmtId="0" fontId="16" fillId="0" borderId="3" xfId="0" applyFont="1" applyBorder="1" applyAlignment="1" applyProtection="1">
      <alignment vertical="center" wrapText="1"/>
    </xf>
    <xf numFmtId="164" fontId="9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" xfId="0" applyFont="1" applyBorder="1" applyAlignment="1" applyProtection="1">
      <alignment horizontal="left" vertical="center" wrapText="1" indent="1"/>
    </xf>
    <xf numFmtId="164" fontId="14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5" xfId="0" applyFont="1" applyBorder="1" applyAlignment="1" applyProtection="1">
      <alignment wrapText="1"/>
    </xf>
    <xf numFmtId="0" fontId="19" fillId="0" borderId="17" xfId="0" applyFont="1" applyBorder="1" applyAlignment="1" applyProtection="1">
      <alignment horizontal="left" wrapText="1" indent="1"/>
    </xf>
    <xf numFmtId="0" fontId="19" fillId="0" borderId="22" xfId="0" applyFont="1" applyBorder="1" applyAlignment="1" applyProtection="1">
      <alignment wrapText="1"/>
    </xf>
    <xf numFmtId="0" fontId="19" fillId="0" borderId="8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164" fontId="1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0" applyFont="1" applyBorder="1" applyAlignment="1" applyProtection="1">
      <alignment horizontal="left" vertical="center" wrapText="1" indent="1"/>
    </xf>
    <xf numFmtId="164" fontId="14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7" xfId="0" applyFont="1" applyBorder="1" applyAlignment="1" applyProtection="1">
      <alignment horizontal="left" wrapText="1" indent="1"/>
    </xf>
    <xf numFmtId="164" fontId="14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6" xfId="0" applyFont="1" applyBorder="1" applyAlignment="1" applyProtection="1">
      <alignment horizontal="left" wrapText="1" indent="1"/>
    </xf>
    <xf numFmtId="0" fontId="19" fillId="0" borderId="16" xfId="0" applyFont="1" applyBorder="1" applyAlignment="1" applyProtection="1">
      <alignment vertical="center" wrapText="1"/>
    </xf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/>
    </xf>
    <xf numFmtId="164" fontId="14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6" xfId="0" applyFont="1" applyBorder="1" applyAlignment="1" applyProtection="1">
      <alignment horizontal="left" indent="1"/>
    </xf>
    <xf numFmtId="0" fontId="15" fillId="0" borderId="0" xfId="5" applyFont="1" applyFill="1" applyAlignment="1" applyProtection="1">
      <alignment vertical="center"/>
    </xf>
    <xf numFmtId="164" fontId="18" fillId="0" borderId="24" xfId="5" applyNumberFormat="1" applyFont="1" applyFill="1" applyBorder="1" applyAlignment="1" applyProtection="1">
      <alignment horizontal="righ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</xf>
    <xf numFmtId="49" fontId="18" fillId="0" borderId="25" xfId="5" applyNumberFormat="1" applyFont="1" applyFill="1" applyBorder="1" applyAlignment="1" applyProtection="1">
      <alignment horizontal="left" vertical="center" wrapText="1"/>
    </xf>
    <xf numFmtId="0" fontId="22" fillId="0" borderId="29" xfId="5" applyFont="1" applyFill="1" applyBorder="1" applyAlignment="1" applyProtection="1">
      <alignment horizontal="center" vertical="center" wrapText="1"/>
    </xf>
    <xf numFmtId="0" fontId="22" fillId="0" borderId="30" xfId="5" applyFont="1" applyFill="1" applyBorder="1" applyAlignment="1" applyProtection="1">
      <alignment horizontal="center" vertical="center" wrapText="1"/>
    </xf>
    <xf numFmtId="0" fontId="22" fillId="0" borderId="31" xfId="5" applyFont="1" applyFill="1" applyBorder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center" vertical="center" wrapText="1"/>
      <protection locked="0"/>
    </xf>
    <xf numFmtId="0" fontId="22" fillId="0" borderId="2" xfId="5" applyFont="1" applyFill="1" applyBorder="1" applyAlignment="1" applyProtection="1">
      <alignment horizontal="center" vertical="center" wrapText="1"/>
      <protection locked="0"/>
    </xf>
    <xf numFmtId="0" fontId="22" fillId="0" borderId="3" xfId="5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right" vertical="center"/>
      <protection locked="0"/>
    </xf>
    <xf numFmtId="0" fontId="8" fillId="0" borderId="0" xfId="5" applyFont="1" applyFill="1" applyAlignment="1" applyProtection="1">
      <alignment horizontal="right" vertical="center" indent="1"/>
      <protection locked="0"/>
    </xf>
    <xf numFmtId="0" fontId="8" fillId="0" borderId="0" xfId="5" applyFont="1" applyFill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5" applyFont="1" applyFill="1" applyAlignment="1" applyProtection="1">
      <alignment horizont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3" fillId="0" borderId="33" xfId="0" applyNumberFormat="1" applyFont="1" applyFill="1" applyBorder="1" applyAlignment="1" applyProtection="1">
      <alignment horizontal="right" vertical="center" wrapText="1" indent="1"/>
    </xf>
    <xf numFmtId="164" fontId="23" fillId="0" borderId="3" xfId="0" applyNumberFormat="1" applyFont="1" applyFill="1" applyBorder="1" applyAlignment="1" applyProtection="1">
      <alignment horizontal="left" vertical="center" wrapText="1" indent="1"/>
    </xf>
    <xf numFmtId="164" fontId="23" fillId="0" borderId="34" xfId="0" applyNumberFormat="1" applyFont="1" applyFill="1" applyBorder="1" applyAlignment="1" applyProtection="1">
      <alignment horizontal="left" vertical="center" wrapText="1" indent="1"/>
    </xf>
    <xf numFmtId="164" fontId="12" fillId="0" borderId="1" xfId="0" applyNumberFormat="1" applyFont="1" applyFill="1" applyBorder="1" applyAlignment="1" applyProtection="1">
      <alignment horizontal="right" vertical="center" wrapText="1" indent="1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</xf>
    <xf numFmtId="164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left" vertical="center" wrapText="1" indent="2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36" xfId="0" applyNumberFormat="1" applyFont="1" applyFill="1" applyBorder="1" applyAlignment="1" applyProtection="1">
      <alignment horizontal="left" vertical="center" wrapText="1" indent="1"/>
    </xf>
    <xf numFmtId="164" fontId="26" fillId="0" borderId="17" xfId="0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4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center" vertical="center" wrapText="1"/>
    </xf>
    <xf numFmtId="164" fontId="22" fillId="0" borderId="3" xfId="0" applyNumberFormat="1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centerContinuous" vertical="center" wrapText="1"/>
    </xf>
    <xf numFmtId="164" fontId="22" fillId="0" borderId="3" xfId="0" applyNumberFormat="1" applyFont="1" applyFill="1" applyBorder="1" applyAlignment="1" applyProtection="1">
      <alignment horizontal="centerContinuous" vertical="center" wrapText="1"/>
    </xf>
    <xf numFmtId="164" fontId="22" fillId="0" borderId="2" xfId="0" applyNumberFormat="1" applyFont="1" applyFill="1" applyBorder="1" applyAlignment="1" applyProtection="1">
      <alignment horizontal="centerContinuous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21" fillId="0" borderId="0" xfId="0" applyNumberFormat="1" applyFont="1" applyFill="1" applyAlignment="1" applyProtection="1">
      <alignment horizontal="centerContinuous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7" xfId="0" applyNumberFormat="1" applyFont="1" applyFill="1" applyBorder="1" applyAlignment="1" applyProtection="1">
      <alignment horizontal="left" vertical="center" wrapText="1" indent="2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26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1"/>
    </xf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2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17" fillId="0" borderId="0" xfId="0" applyFont="1" applyAlignment="1">
      <alignment horizontal="center"/>
    </xf>
    <xf numFmtId="0" fontId="28" fillId="0" borderId="0" xfId="0" applyFont="1"/>
    <xf numFmtId="0" fontId="29" fillId="0" borderId="0" xfId="5" applyFont="1" applyFill="1"/>
    <xf numFmtId="0" fontId="30" fillId="0" borderId="0" xfId="5" applyFont="1" applyFill="1"/>
    <xf numFmtId="165" fontId="31" fillId="0" borderId="1" xfId="5" applyNumberFormat="1" applyFont="1" applyFill="1" applyBorder="1"/>
    <xf numFmtId="165" fontId="31" fillId="0" borderId="2" xfId="5" applyNumberFormat="1" applyFont="1" applyFill="1" applyBorder="1"/>
    <xf numFmtId="0" fontId="23" fillId="0" borderId="2" xfId="5" applyFont="1" applyFill="1" applyBorder="1"/>
    <xf numFmtId="0" fontId="23" fillId="0" borderId="3" xfId="5" applyFont="1" applyFill="1" applyBorder="1" applyAlignment="1">
      <alignment horizontal="center" vertical="center"/>
    </xf>
    <xf numFmtId="165" fontId="32" fillId="0" borderId="18" xfId="1" applyNumberFormat="1" applyFont="1" applyFill="1" applyBorder="1"/>
    <xf numFmtId="165" fontId="32" fillId="0" borderId="16" xfId="1" applyNumberFormat="1" applyFont="1" applyFill="1" applyBorder="1" applyProtection="1">
      <protection locked="0"/>
    </xf>
    <xf numFmtId="0" fontId="15" fillId="0" borderId="16" xfId="5" applyFont="1" applyFill="1" applyBorder="1" applyProtection="1">
      <protection locked="0"/>
    </xf>
    <xf numFmtId="0" fontId="15" fillId="0" borderId="25" xfId="5" applyFont="1" applyFill="1" applyBorder="1" applyAlignment="1">
      <alignment horizontal="center" vertical="center"/>
    </xf>
    <xf numFmtId="165" fontId="32" fillId="0" borderId="17" xfId="1" applyNumberFormat="1" applyFont="1" applyFill="1" applyBorder="1" applyProtection="1">
      <protection locked="0"/>
    </xf>
    <xf numFmtId="0" fontId="15" fillId="0" borderId="17" xfId="5" applyFont="1" applyFill="1" applyBorder="1" applyProtection="1">
      <protection locked="0"/>
    </xf>
    <xf numFmtId="0" fontId="15" fillId="0" borderId="22" xfId="5" applyFont="1" applyFill="1" applyBorder="1" applyAlignment="1">
      <alignment horizontal="center" vertical="center"/>
    </xf>
    <xf numFmtId="165" fontId="32" fillId="0" borderId="19" xfId="1" applyNumberFormat="1" applyFont="1" applyFill="1" applyBorder="1"/>
    <xf numFmtId="165" fontId="32" fillId="0" borderId="8" xfId="1" applyNumberFormat="1" applyFont="1" applyFill="1" applyBorder="1" applyProtection="1">
      <protection locked="0"/>
    </xf>
    <xf numFmtId="0" fontId="15" fillId="0" borderId="8" xfId="5" applyFont="1" applyFill="1" applyBorder="1" applyProtection="1">
      <protection locked="0"/>
    </xf>
    <xf numFmtId="0" fontId="15" fillId="0" borderId="9" xfId="5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center" vertical="center"/>
    </xf>
    <xf numFmtId="0" fontId="15" fillId="0" borderId="3" xfId="5" applyFont="1" applyFill="1" applyBorder="1" applyAlignment="1">
      <alignment horizontal="center" vertical="center"/>
    </xf>
    <xf numFmtId="166" fontId="23" fillId="0" borderId="16" xfId="5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 applyProtection="1"/>
    <xf numFmtId="164" fontId="34" fillId="0" borderId="0" xfId="5" applyNumberFormat="1" applyFont="1" applyFill="1" applyBorder="1" applyAlignment="1" applyProtection="1">
      <alignment horizontal="centerContinuous" vertical="center"/>
    </xf>
    <xf numFmtId="165" fontId="12" fillId="0" borderId="1" xfId="1" applyNumberFormat="1" applyFont="1" applyFill="1" applyBorder="1" applyProtection="1"/>
    <xf numFmtId="165" fontId="14" fillId="0" borderId="7" xfId="1" applyNumberFormat="1" applyFont="1" applyFill="1" applyBorder="1" applyProtection="1">
      <protection locked="0"/>
    </xf>
    <xf numFmtId="0" fontId="35" fillId="0" borderId="11" xfId="0" applyFont="1" applyBorder="1" applyAlignment="1">
      <alignment wrapText="1"/>
    </xf>
    <xf numFmtId="0" fontId="14" fillId="0" borderId="22" xfId="5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Protection="1">
      <protection locked="0"/>
    </xf>
    <xf numFmtId="0" fontId="35" fillId="0" borderId="17" xfId="0" applyFont="1" applyBorder="1" applyAlignment="1">
      <alignment wrapText="1"/>
    </xf>
    <xf numFmtId="0" fontId="14" fillId="0" borderId="25" xfId="5" applyFont="1" applyFill="1" applyBorder="1" applyAlignment="1" applyProtection="1">
      <alignment horizontal="center" vertical="center"/>
    </xf>
    <xf numFmtId="0" fontId="35" fillId="0" borderId="17" xfId="0" applyFont="1" applyBorder="1" applyAlignment="1">
      <alignment horizontal="justify" wrapText="1"/>
    </xf>
    <xf numFmtId="165" fontId="14" fillId="0" borderId="46" xfId="1" applyNumberFormat="1" applyFont="1" applyFill="1" applyBorder="1" applyProtection="1">
      <protection locked="0"/>
    </xf>
    <xf numFmtId="0" fontId="14" fillId="0" borderId="8" xfId="5" applyFont="1" applyFill="1" applyBorder="1" applyProtection="1"/>
    <xf numFmtId="0" fontId="14" fillId="0" borderId="28" xfId="5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 applyProtection="1">
      <alignment horizontal="center" vertical="center"/>
    </xf>
    <xf numFmtId="0" fontId="12" fillId="0" borderId="2" xfId="5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0" fontId="12" fillId="0" borderId="26" xfId="5" applyFont="1" applyFill="1" applyBorder="1" applyAlignment="1" applyProtection="1">
      <alignment horizontal="center" vertical="center" wrapText="1"/>
    </xf>
    <xf numFmtId="0" fontId="12" fillId="0" borderId="27" xfId="5" applyFont="1" applyFill="1" applyBorder="1" applyAlignment="1" applyProtection="1">
      <alignment horizontal="center" vertical="center" wrapText="1"/>
    </xf>
    <xf numFmtId="0" fontId="12" fillId="0" borderId="28" xfId="5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right"/>
    </xf>
    <xf numFmtId="0" fontId="5" fillId="0" borderId="0" xfId="5" applyFont="1" applyFill="1"/>
    <xf numFmtId="0" fontId="12" fillId="0" borderId="2" xfId="5" applyFont="1" applyFill="1" applyBorder="1" applyAlignment="1" applyProtection="1">
      <alignment horizontal="left" vertical="center" wrapText="1"/>
    </xf>
    <xf numFmtId="0" fontId="12" fillId="0" borderId="3" xfId="5" applyFont="1" applyFill="1" applyBorder="1" applyAlignment="1" applyProtection="1">
      <alignment horizontal="center" vertical="center"/>
    </xf>
    <xf numFmtId="165" fontId="14" fillId="0" borderId="24" xfId="1" applyNumberFormat="1" applyFont="1" applyFill="1" applyBorder="1" applyProtection="1">
      <protection locked="0"/>
    </xf>
    <xf numFmtId="0" fontId="14" fillId="0" borderId="16" xfId="5" applyFont="1" applyFill="1" applyBorder="1" applyProtection="1">
      <protection locked="0"/>
    </xf>
    <xf numFmtId="165" fontId="14" fillId="0" borderId="18" xfId="1" applyNumberFormat="1" applyFont="1" applyFill="1" applyBorder="1" applyProtection="1">
      <protection locked="0"/>
    </xf>
    <xf numFmtId="0" fontId="14" fillId="0" borderId="17" xfId="5" applyFont="1" applyFill="1" applyBorder="1" applyProtection="1">
      <protection locked="0"/>
    </xf>
    <xf numFmtId="165" fontId="14" fillId="0" borderId="26" xfId="1" applyNumberFormat="1" applyFont="1" applyFill="1" applyBorder="1" applyProtection="1">
      <protection locked="0"/>
    </xf>
    <xf numFmtId="0" fontId="14" fillId="0" borderId="27" xfId="5" applyFont="1" applyFill="1" applyBorder="1" applyProtection="1"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0" fillId="0" borderId="0" xfId="0" applyNumberFormat="1" applyFont="1" applyFill="1" applyAlignment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horizontal="left" vertical="center" wrapText="1"/>
    </xf>
    <xf numFmtId="164" fontId="18" fillId="0" borderId="24" xfId="0" applyNumberFormat="1" applyFont="1" applyFill="1" applyBorder="1" applyAlignment="1" applyProtection="1">
      <alignment vertical="center" wrapText="1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12" fillId="0" borderId="20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</xf>
    <xf numFmtId="164" fontId="37" fillId="0" borderId="24" xfId="0" applyNumberFormat="1" applyFont="1" applyFill="1" applyBorder="1" applyAlignment="1" applyProtection="1">
      <alignment vertical="center" wrapText="1"/>
    </xf>
    <xf numFmtId="164" fontId="37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37" fillId="0" borderId="18" xfId="0" applyNumberFormat="1" applyFont="1" applyFill="1" applyBorder="1" applyAlignment="1" applyProtection="1">
      <alignment vertical="center" wrapText="1"/>
    </xf>
    <xf numFmtId="164" fontId="3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3" fontId="14" fillId="0" borderId="1" xfId="0" applyNumberFormat="1" applyFont="1" applyFill="1" applyBorder="1" applyAlignment="1" applyProtection="1">
      <alignment vertical="center"/>
    </xf>
    <xf numFmtId="3" fontId="14" fillId="0" borderId="2" xfId="0" applyNumberFormat="1" applyFont="1" applyFill="1" applyBorder="1" applyAlignment="1" applyProtection="1">
      <alignment vertical="center"/>
    </xf>
    <xf numFmtId="49" fontId="27" fillId="0" borderId="47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vertical="center"/>
    </xf>
    <xf numFmtId="3" fontId="14" fillId="0" borderId="18" xfId="0" applyNumberFormat="1" applyFont="1" applyFill="1" applyBorder="1" applyAlignment="1" applyProtection="1">
      <alignment vertical="center"/>
    </xf>
    <xf numFmtId="3" fontId="14" fillId="0" borderId="16" xfId="0" applyNumberFormat="1" applyFont="1" applyFill="1" applyBorder="1" applyAlignment="1" applyProtection="1">
      <alignment vertical="center"/>
      <protection locked="0"/>
    </xf>
    <xf numFmtId="49" fontId="14" fillId="0" borderId="50" xfId="0" applyNumberFormat="1" applyFont="1" applyFill="1" applyBorder="1" applyAlignment="1" applyProtection="1">
      <alignment horizontal="center" vertical="center"/>
      <protection locked="0"/>
    </xf>
    <xf numFmtId="49" fontId="14" fillId="0" borderId="25" xfId="0" applyNumberFormat="1" applyFont="1" applyFill="1" applyBorder="1" applyAlignment="1" applyProtection="1">
      <alignment vertical="center"/>
      <protection locked="0"/>
    </xf>
    <xf numFmtId="3" fontId="14" fillId="0" borderId="17" xfId="0" applyNumberFormat="1" applyFont="1" applyFill="1" applyBorder="1" applyAlignment="1" applyProtection="1">
      <alignment vertical="center"/>
      <protection locked="0"/>
    </xf>
    <xf numFmtId="49" fontId="14" fillId="0" borderId="23" xfId="0" applyNumberFormat="1" applyFont="1" applyFill="1" applyBorder="1" applyAlignment="1" applyProtection="1">
      <alignment horizontal="center" vertical="center"/>
    </xf>
    <xf numFmtId="49" fontId="14" fillId="0" borderId="22" xfId="0" applyNumberFormat="1" applyFont="1" applyFill="1" applyBorder="1" applyAlignment="1" applyProtection="1">
      <alignment vertical="center"/>
    </xf>
    <xf numFmtId="49" fontId="14" fillId="0" borderId="22" xfId="0" applyNumberFormat="1" applyFont="1" applyFill="1" applyBorder="1" applyAlignment="1" applyProtection="1">
      <alignment horizontal="left" vertical="center"/>
    </xf>
    <xf numFmtId="3" fontId="14" fillId="0" borderId="26" xfId="0" applyNumberFormat="1" applyFont="1" applyFill="1" applyBorder="1" applyAlignment="1" applyProtection="1">
      <alignment vertical="center"/>
    </xf>
    <xf numFmtId="3" fontId="14" fillId="0" borderId="27" xfId="0" applyNumberFormat="1" applyFont="1" applyFill="1" applyBorder="1" applyAlignment="1" applyProtection="1">
      <alignment vertical="center"/>
      <protection locked="0"/>
    </xf>
    <xf numFmtId="49" fontId="14" fillId="0" borderId="53" xfId="0" applyNumberFormat="1" applyFont="1" applyFill="1" applyBorder="1" applyAlignment="1" applyProtection="1">
      <alignment horizontal="center" vertical="center"/>
    </xf>
    <xf numFmtId="49" fontId="14" fillId="0" borderId="28" xfId="0" applyNumberFormat="1" applyFont="1" applyFill="1" applyBorder="1" applyAlignment="1" applyProtection="1">
      <alignment vertical="center"/>
    </xf>
    <xf numFmtId="0" fontId="27" fillId="0" borderId="29" xfId="0" applyFont="1" applyFill="1" applyBorder="1" applyAlignment="1" applyProtection="1">
      <alignment horizontal="center" vertical="center"/>
    </xf>
    <xf numFmtId="0" fontId="27" fillId="0" borderId="30" xfId="0" applyFont="1" applyFill="1" applyBorder="1" applyAlignment="1" applyProtection="1">
      <alignment horizontal="center" vertical="center"/>
    </xf>
    <xf numFmtId="0" fontId="27" fillId="0" borderId="56" xfId="0" applyFont="1" applyFill="1" applyBorder="1" applyAlignment="1" applyProtection="1">
      <alignment horizontal="center" vertical="center"/>
    </xf>
    <xf numFmtId="0" fontId="27" fillId="0" borderId="31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26" fillId="0" borderId="18" xfId="0" applyNumberFormat="1" applyFont="1" applyFill="1" applyBorder="1" applyAlignment="1" applyProtection="1">
      <alignment vertical="center"/>
    </xf>
    <xf numFmtId="3" fontId="26" fillId="0" borderId="17" xfId="0" applyNumberFormat="1" applyFont="1" applyFill="1" applyBorder="1" applyAlignment="1" applyProtection="1">
      <alignment vertical="center"/>
      <protection locked="0"/>
    </xf>
    <xf numFmtId="49" fontId="26" fillId="0" borderId="23" xfId="0" quotePrefix="1" applyNumberFormat="1" applyFont="1" applyFill="1" applyBorder="1" applyAlignment="1" applyProtection="1">
      <alignment horizontal="center" vertical="center"/>
    </xf>
    <xf numFmtId="49" fontId="26" fillId="0" borderId="22" xfId="0" quotePrefix="1" applyNumberFormat="1" applyFont="1" applyFill="1" applyBorder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49" fontId="14" fillId="0" borderId="23" xfId="0" applyNumberFormat="1" applyFont="1" applyFill="1" applyBorder="1" applyAlignment="1" applyProtection="1">
      <alignment horizontal="center" vertical="center"/>
      <protection locked="0"/>
    </xf>
    <xf numFmtId="49" fontId="14" fillId="0" borderId="22" xfId="0" applyNumberFormat="1" applyFont="1" applyFill="1" applyBorder="1" applyAlignment="1" applyProtection="1">
      <alignment vertical="center"/>
      <protection locked="0"/>
    </xf>
    <xf numFmtId="0" fontId="27" fillId="0" borderId="29" xfId="0" applyFont="1" applyFill="1" applyBorder="1" applyAlignment="1" applyProtection="1">
      <alignment horizontal="center" vertical="center"/>
      <protection locked="0"/>
    </xf>
    <xf numFmtId="0" fontId="27" fillId="0" borderId="30" xfId="0" applyFont="1" applyFill="1" applyBorder="1" applyAlignment="1" applyProtection="1">
      <alignment horizontal="center" vertical="center"/>
      <protection locked="0"/>
    </xf>
    <xf numFmtId="0" fontId="27" fillId="0" borderId="56" xfId="0" applyFont="1" applyFill="1" applyBorder="1" applyAlignment="1" applyProtection="1">
      <alignment horizontal="center" vertical="center"/>
      <protection locked="0"/>
    </xf>
    <xf numFmtId="0" fontId="27" fillId="0" borderId="31" xfId="0" applyFont="1" applyFill="1" applyBorder="1" applyAlignment="1" applyProtection="1">
      <alignment vertical="center"/>
      <protection locked="0"/>
    </xf>
    <xf numFmtId="0" fontId="39" fillId="0" borderId="0" xfId="0" applyFont="1" applyAlignment="1" applyProtection="1">
      <alignment horizontal="right"/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Alignment="1" applyProtection="1">
      <alignment horizontal="right"/>
      <protection locked="0"/>
    </xf>
    <xf numFmtId="0" fontId="0" fillId="0" borderId="0" xfId="0" applyFill="1" applyAlignment="1"/>
    <xf numFmtId="0" fontId="8" fillId="0" borderId="0" xfId="5" applyFill="1"/>
    <xf numFmtId="0" fontId="8" fillId="0" borderId="0" xfId="5" applyFont="1" applyFill="1"/>
    <xf numFmtId="0" fontId="8" fillId="0" borderId="0" xfId="5" applyFont="1" applyFill="1" applyAlignment="1">
      <alignment horizontal="right" vertical="center" indent="1"/>
    </xf>
    <xf numFmtId="164" fontId="40" fillId="0" borderId="0" xfId="5" applyNumberFormat="1" applyFont="1" applyFill="1"/>
    <xf numFmtId="0" fontId="15" fillId="0" borderId="0" xfId="5" applyFont="1" applyFill="1"/>
    <xf numFmtId="164" fontId="41" fillId="0" borderId="2" xfId="0" quotePrefix="1" applyNumberFormat="1" applyFont="1" applyBorder="1" applyAlignment="1" applyProtection="1">
      <alignment horizontal="right" vertical="center" wrapText="1" indent="1"/>
    </xf>
    <xf numFmtId="0" fontId="41" fillId="0" borderId="5" xfId="0" applyFont="1" applyBorder="1" applyAlignment="1" applyProtection="1">
      <alignment horizontal="left" vertical="center" wrapText="1" indent="1"/>
    </xf>
    <xf numFmtId="164" fontId="16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Border="1" applyAlignment="1" applyProtection="1">
      <alignment horizontal="right" vertical="center" wrapText="1" indent="1"/>
    </xf>
    <xf numFmtId="164" fontId="12" fillId="0" borderId="2" xfId="5" applyNumberFormat="1" applyFont="1" applyFill="1" applyBorder="1" applyAlignment="1" applyProtection="1">
      <alignment horizontal="right" vertical="center" wrapText="1" indent="1"/>
    </xf>
    <xf numFmtId="164" fontId="9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5" applyNumberFormat="1" applyFont="1" applyFill="1" applyBorder="1" applyAlignment="1" applyProtection="1">
      <alignment horizontal="right" vertical="center" wrapText="1" indent="1"/>
    </xf>
    <xf numFmtId="164" fontId="1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5" applyFont="1" applyFill="1"/>
    <xf numFmtId="164" fontId="18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5" applyFont="1" applyFill="1" applyBorder="1"/>
    <xf numFmtId="164" fontId="9" fillId="0" borderId="30" xfId="5" applyNumberFormat="1" applyFont="1" applyFill="1" applyBorder="1" applyAlignment="1" applyProtection="1">
      <alignment horizontal="right" vertical="center" wrapText="1" indent="1"/>
    </xf>
    <xf numFmtId="0" fontId="9" fillId="0" borderId="33" xfId="5" applyFont="1" applyFill="1" applyBorder="1" applyAlignment="1" applyProtection="1">
      <alignment horizontal="center" vertical="center" wrapText="1"/>
    </xf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22" fillId="0" borderId="33" xfId="5" applyFont="1" applyFill="1" applyBorder="1" applyAlignment="1" applyProtection="1">
      <alignment horizontal="center" vertical="center" wrapText="1"/>
    </xf>
    <xf numFmtId="0" fontId="22" fillId="0" borderId="2" xfId="5" applyFont="1" applyFill="1" applyBorder="1" applyAlignment="1" applyProtection="1">
      <alignment horizontal="center" vertical="center" wrapText="1"/>
    </xf>
    <xf numFmtId="0" fontId="22" fillId="0" borderId="3" xfId="5" applyFont="1" applyFill="1" applyBorder="1" applyAlignment="1" applyProtection="1">
      <alignment horizontal="center" vertical="center" wrapText="1"/>
    </xf>
    <xf numFmtId="0" fontId="36" fillId="0" borderId="4" xfId="0" applyFont="1" applyFill="1" applyBorder="1" applyAlignment="1" applyProtection="1">
      <alignment horizontal="right" vertical="center"/>
    </xf>
    <xf numFmtId="164" fontId="11" fillId="0" borderId="4" xfId="5" applyNumberFormat="1" applyFont="1" applyFill="1" applyBorder="1" applyAlignment="1" applyProtection="1">
      <alignment horizontal="left" vertical="center"/>
    </xf>
    <xf numFmtId="164" fontId="14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2" xfId="5" applyFont="1" applyFill="1" applyBorder="1" applyAlignment="1" applyProtection="1">
      <alignment horizontal="right" vertical="center" wrapText="1" indent="1"/>
      <protection locked="0"/>
    </xf>
    <xf numFmtId="164" fontId="21" fillId="0" borderId="32" xfId="5" applyNumberFormat="1" applyFont="1" applyFill="1" applyBorder="1" applyAlignment="1" applyProtection="1">
      <alignment horizontal="right" vertical="center" wrapText="1" indent="1"/>
    </xf>
    <xf numFmtId="0" fontId="21" fillId="0" borderId="32" xfId="5" applyFont="1" applyFill="1" applyBorder="1" applyAlignment="1" applyProtection="1">
      <alignment vertical="center" wrapText="1"/>
    </xf>
    <xf numFmtId="0" fontId="21" fillId="0" borderId="32" xfId="5" applyFont="1" applyFill="1" applyBorder="1" applyAlignment="1" applyProtection="1">
      <alignment horizontal="center" vertical="center" wrapText="1"/>
    </xf>
    <xf numFmtId="164" fontId="9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4" xfId="0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wrapText="1" indent="1"/>
    </xf>
    <xf numFmtId="0" fontId="17" fillId="0" borderId="0" xfId="5" applyFont="1" applyFill="1"/>
    <xf numFmtId="164" fontId="14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7" xfId="5" applyFont="1" applyFill="1" applyBorder="1" applyAlignment="1" applyProtection="1">
      <alignment horizontal="center" vertical="center" wrapText="1"/>
    </xf>
    <xf numFmtId="0" fontId="24" fillId="0" borderId="0" xfId="5" applyFont="1" applyFill="1" applyAlignment="1">
      <alignment horizontal="right"/>
    </xf>
    <xf numFmtId="164" fontId="18" fillId="0" borderId="34" xfId="0" applyNumberFormat="1" applyFont="1" applyFill="1" applyBorder="1" applyAlignment="1" applyProtection="1">
      <alignment vertical="center" wrapText="1"/>
    </xf>
    <xf numFmtId="164" fontId="32" fillId="0" borderId="1" xfId="0" applyNumberFormat="1" applyFont="1" applyFill="1" applyBorder="1" applyAlignment="1" applyProtection="1">
      <alignment vertical="center" wrapText="1"/>
    </xf>
    <xf numFmtId="164" fontId="32" fillId="0" borderId="2" xfId="0" applyNumberFormat="1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164" fontId="32" fillId="0" borderId="34" xfId="0" applyNumberFormat="1" applyFont="1" applyFill="1" applyBorder="1" applyAlignment="1" applyProtection="1">
      <alignment vertical="center" wrapText="1"/>
    </xf>
    <xf numFmtId="164" fontId="32" fillId="2" borderId="58" xfId="0" applyNumberFormat="1" applyFont="1" applyFill="1" applyBorder="1" applyAlignment="1" applyProtection="1">
      <alignment horizontal="left" vertical="center" wrapText="1" indent="2"/>
    </xf>
    <xf numFmtId="164" fontId="18" fillId="0" borderId="36" xfId="0" applyNumberFormat="1" applyFont="1" applyFill="1" applyBorder="1" applyAlignment="1" applyProtection="1">
      <alignment vertical="center" wrapText="1"/>
    </xf>
    <xf numFmtId="164" fontId="32" fillId="0" borderId="35" xfId="0" applyNumberFormat="1" applyFont="1" applyFill="1" applyBorder="1" applyAlignment="1" applyProtection="1">
      <alignment vertical="center" wrapText="1"/>
      <protection locked="0"/>
    </xf>
    <xf numFmtId="164" fontId="32" fillId="0" borderId="14" xfId="0" applyNumberFormat="1" applyFont="1" applyFill="1" applyBorder="1" applyAlignment="1" applyProtection="1">
      <alignment vertical="center" wrapText="1"/>
      <protection locked="0"/>
    </xf>
    <xf numFmtId="164" fontId="32" fillId="0" borderId="15" xfId="0" applyNumberFormat="1" applyFont="1" applyFill="1" applyBorder="1" applyAlignment="1" applyProtection="1">
      <alignment vertical="center" wrapText="1"/>
      <protection locked="0"/>
    </xf>
    <xf numFmtId="164" fontId="32" fillId="0" borderId="36" xfId="0" applyNumberFormat="1" applyFont="1" applyFill="1" applyBorder="1" applyAlignment="1" applyProtection="1">
      <alignment vertical="center" wrapText="1"/>
      <protection locked="0"/>
    </xf>
    <xf numFmtId="49" fontId="32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49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34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18" fillId="0" borderId="59" xfId="0" applyNumberFormat="1" applyFont="1" applyFill="1" applyBorder="1" applyAlignment="1" applyProtection="1">
      <alignment vertical="center" wrapText="1"/>
    </xf>
    <xf numFmtId="164" fontId="32" fillId="0" borderId="24" xfId="0" applyNumberFormat="1" applyFont="1" applyFill="1" applyBorder="1" applyAlignment="1" applyProtection="1">
      <alignment vertical="center" wrapText="1"/>
      <protection locked="0"/>
    </xf>
    <xf numFmtId="164" fontId="32" fillId="0" borderId="16" xfId="0" applyNumberFormat="1" applyFont="1" applyFill="1" applyBorder="1" applyAlignment="1" applyProtection="1">
      <alignment vertical="center" wrapText="1"/>
      <protection locked="0"/>
    </xf>
    <xf numFmtId="164" fontId="32" fillId="0" borderId="25" xfId="0" applyNumberFormat="1" applyFont="1" applyFill="1" applyBorder="1" applyAlignment="1" applyProtection="1">
      <alignment vertical="center" wrapText="1"/>
      <protection locked="0"/>
    </xf>
    <xf numFmtId="164" fontId="32" fillId="0" borderId="59" xfId="0" applyNumberFormat="1" applyFont="1" applyFill="1" applyBorder="1" applyAlignment="1" applyProtection="1">
      <alignment vertical="center" wrapText="1"/>
      <protection locked="0"/>
    </xf>
    <xf numFmtId="49" fontId="3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5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center" vertical="center" wrapText="1"/>
    </xf>
    <xf numFmtId="164" fontId="9" fillId="0" borderId="34" xfId="0" applyNumberFormat="1" applyFont="1" applyFill="1" applyBorder="1" applyAlignment="1" applyProtection="1">
      <alignment horizontal="left" vertical="center" wrapText="1" indent="1"/>
    </xf>
    <xf numFmtId="164" fontId="18" fillId="0" borderId="37" xfId="0" applyNumberFormat="1" applyFont="1" applyFill="1" applyBorder="1" applyAlignment="1" applyProtection="1">
      <alignment vertical="center" wrapText="1"/>
    </xf>
    <xf numFmtId="164" fontId="32" fillId="0" borderId="18" xfId="0" applyNumberFormat="1" applyFont="1" applyFill="1" applyBorder="1" applyAlignment="1" applyProtection="1">
      <alignment vertical="center" wrapText="1"/>
      <protection locked="0"/>
    </xf>
    <xf numFmtId="164" fontId="32" fillId="0" borderId="17" xfId="0" applyNumberFormat="1" applyFont="1" applyFill="1" applyBorder="1" applyAlignment="1" applyProtection="1">
      <alignment vertical="center" wrapText="1"/>
      <protection locked="0"/>
    </xf>
    <xf numFmtId="164" fontId="32" fillId="0" borderId="22" xfId="0" applyNumberFormat="1" applyFont="1" applyFill="1" applyBorder="1" applyAlignment="1" applyProtection="1">
      <alignment vertical="center" wrapText="1"/>
      <protection locked="0"/>
    </xf>
    <xf numFmtId="164" fontId="32" fillId="0" borderId="37" xfId="0" applyNumberFormat="1" applyFont="1" applyFill="1" applyBorder="1" applyAlignment="1" applyProtection="1">
      <alignment vertical="center" wrapText="1"/>
      <protection locked="0"/>
    </xf>
    <xf numFmtId="49" fontId="32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58" xfId="0" applyNumberFormat="1" applyFont="1" applyFill="1" applyBorder="1" applyAlignment="1" applyProtection="1">
      <alignment horizontal="center" vertical="center" wrapText="1"/>
    </xf>
    <xf numFmtId="164" fontId="9" fillId="0" borderId="49" xfId="0" applyNumberFormat="1" applyFont="1" applyFill="1" applyBorder="1" applyAlignment="1" applyProtection="1">
      <alignment horizontal="center" vertical="center" wrapText="1"/>
    </xf>
    <xf numFmtId="164" fontId="9" fillId="0" borderId="34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22" fillId="0" borderId="21" xfId="0" applyNumberFormat="1" applyFont="1" applyFill="1" applyBorder="1" applyAlignment="1" applyProtection="1">
      <alignment horizontal="center" vertical="center" wrapText="1"/>
    </xf>
    <xf numFmtId="164" fontId="22" fillId="0" borderId="60" xfId="0" applyNumberFormat="1" applyFont="1" applyFill="1" applyBorder="1" applyAlignment="1" applyProtection="1">
      <alignment horizontal="center" vertical="center"/>
    </xf>
    <xf numFmtId="164" fontId="34" fillId="0" borderId="0" xfId="0" applyNumberFormat="1" applyFont="1" applyFill="1" applyAlignment="1" applyProtection="1">
      <alignment vertical="center"/>
    </xf>
    <xf numFmtId="164" fontId="36" fillId="0" borderId="0" xfId="0" applyNumberFormat="1" applyFont="1" applyFill="1" applyAlignment="1" applyProtection="1">
      <alignment horizontal="right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64" fontId="12" fillId="0" borderId="20" xfId="0" applyNumberFormat="1" applyFont="1" applyFill="1" applyBorder="1" applyAlignment="1" applyProtection="1">
      <alignment vertical="center" wrapText="1"/>
    </xf>
    <xf numFmtId="164" fontId="12" fillId="0" borderId="5" xfId="0" applyNumberFormat="1" applyFont="1" applyFill="1" applyBorder="1" applyAlignment="1" applyProtection="1">
      <alignment vertical="center" wrapText="1"/>
    </xf>
    <xf numFmtId="0" fontId="27" fillId="0" borderId="5" xfId="0" applyFont="1" applyFill="1" applyBorder="1" applyAlignment="1" applyProtection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 applyProtection="1">
      <alignment vertical="center" wrapText="1"/>
      <protection locked="0"/>
    </xf>
    <xf numFmtId="0" fontId="14" fillId="0" borderId="2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vertical="center" wrapText="1"/>
      <protection locked="0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0" applyFont="1" applyFill="1" applyBorder="1" applyAlignment="1" applyProtection="1">
      <alignment horizontal="left" vertical="center" wrapText="1" indent="1"/>
    </xf>
    <xf numFmtId="0" fontId="19" fillId="0" borderId="23" xfId="0" applyFont="1" applyFill="1" applyBorder="1" applyAlignment="1" applyProtection="1">
      <alignment horizontal="left" vertical="center" wrapText="1" indent="8"/>
    </xf>
    <xf numFmtId="164" fontId="14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1" xfId="0" applyFont="1" applyFill="1" applyBorder="1" applyAlignment="1" applyProtection="1">
      <alignment horizontal="left" vertical="center" wrapText="1" indent="1"/>
    </xf>
    <xf numFmtId="0" fontId="14" fillId="0" borderId="2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vertical="center" wrapText="1"/>
    </xf>
    <xf numFmtId="164" fontId="36" fillId="0" borderId="0" xfId="0" applyNumberFormat="1" applyFont="1" applyFill="1" applyAlignment="1">
      <alignment horizontal="right" vertical="center"/>
    </xf>
    <xf numFmtId="0" fontId="43" fillId="0" borderId="0" xfId="0" applyFont="1" applyAlignment="1">
      <alignment horizontal="center" wrapText="1"/>
    </xf>
    <xf numFmtId="164" fontId="42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right" vertical="center"/>
    </xf>
    <xf numFmtId="0" fontId="8" fillId="0" borderId="0" xfId="6" applyFill="1" applyProtection="1">
      <protection locked="0"/>
    </xf>
    <xf numFmtId="0" fontId="8" fillId="0" borderId="0" xfId="6" applyFill="1" applyProtection="1"/>
    <xf numFmtId="0" fontId="5" fillId="0" borderId="0" xfId="6" applyFont="1" applyFill="1" applyProtection="1">
      <protection locked="0"/>
    </xf>
    <xf numFmtId="0" fontId="30" fillId="0" borderId="0" xfId="6" applyFont="1" applyFill="1" applyProtection="1">
      <protection locked="0"/>
    </xf>
    <xf numFmtId="0" fontId="15" fillId="0" borderId="0" xfId="6" applyFont="1" applyFill="1" applyProtection="1"/>
    <xf numFmtId="164" fontId="9" fillId="0" borderId="1" xfId="6" applyNumberFormat="1" applyFont="1" applyFill="1" applyBorder="1" applyProtection="1"/>
    <xf numFmtId="164" fontId="44" fillId="0" borderId="2" xfId="6" applyNumberFormat="1" applyFont="1" applyFill="1" applyBorder="1" applyProtection="1"/>
    <xf numFmtId="0" fontId="22" fillId="0" borderId="2" xfId="6" applyFont="1" applyFill="1" applyBorder="1" applyAlignment="1" applyProtection="1">
      <alignment horizontal="left" indent="1"/>
    </xf>
    <xf numFmtId="0" fontId="9" fillId="0" borderId="3" xfId="6" applyFont="1" applyFill="1" applyBorder="1" applyAlignment="1" applyProtection="1">
      <alignment horizontal="left" vertical="center" indent="1"/>
    </xf>
    <xf numFmtId="0" fontId="8" fillId="0" borderId="0" xfId="6" applyFill="1" applyAlignment="1" applyProtection="1">
      <alignment vertical="center"/>
    </xf>
    <xf numFmtId="164" fontId="9" fillId="0" borderId="1" xfId="6" applyNumberFormat="1" applyFont="1" applyFill="1" applyBorder="1" applyAlignment="1" applyProtection="1">
      <alignment vertical="center"/>
    </xf>
    <xf numFmtId="164" fontId="44" fillId="0" borderId="2" xfId="6" applyNumberFormat="1" applyFont="1" applyFill="1" applyBorder="1" applyAlignment="1" applyProtection="1">
      <alignment vertical="center"/>
    </xf>
    <xf numFmtId="0" fontId="22" fillId="0" borderId="2" xfId="6" applyFont="1" applyFill="1" applyBorder="1" applyAlignment="1" applyProtection="1">
      <alignment horizontal="left" vertical="center" indent="1"/>
    </xf>
    <xf numFmtId="0" fontId="8" fillId="0" borderId="0" xfId="6" applyFill="1" applyAlignment="1" applyProtection="1">
      <alignment vertical="center"/>
      <protection locked="0"/>
    </xf>
    <xf numFmtId="164" fontId="18" fillId="0" borderId="18" xfId="6" applyNumberFormat="1" applyFont="1" applyFill="1" applyBorder="1" applyAlignment="1" applyProtection="1">
      <alignment vertical="center"/>
    </xf>
    <xf numFmtId="164" fontId="45" fillId="0" borderId="17" xfId="6" applyNumberFormat="1" applyFont="1" applyFill="1" applyBorder="1" applyAlignment="1" applyProtection="1">
      <alignment vertical="center"/>
      <protection locked="0"/>
    </xf>
    <xf numFmtId="0" fontId="18" fillId="0" borderId="17" xfId="6" applyFont="1" applyFill="1" applyBorder="1" applyAlignment="1" applyProtection="1">
      <alignment horizontal="left" vertical="center" indent="1"/>
    </xf>
    <xf numFmtId="0" fontId="18" fillId="0" borderId="22" xfId="6" applyFont="1" applyFill="1" applyBorder="1" applyAlignment="1" applyProtection="1">
      <alignment horizontal="left" vertical="center" indent="1"/>
    </xf>
    <xf numFmtId="0" fontId="18" fillId="0" borderId="17" xfId="6" applyFont="1" applyFill="1" applyBorder="1" applyAlignment="1" applyProtection="1">
      <alignment horizontal="left" vertical="center" wrapText="1" indent="1"/>
    </xf>
    <xf numFmtId="164" fontId="18" fillId="0" borderId="19" xfId="6" applyNumberFormat="1" applyFont="1" applyFill="1" applyBorder="1" applyAlignment="1" applyProtection="1">
      <alignment vertical="center"/>
    </xf>
    <xf numFmtId="164" fontId="45" fillId="0" borderId="8" xfId="6" applyNumberFormat="1" applyFont="1" applyFill="1" applyBorder="1" applyAlignment="1" applyProtection="1">
      <alignment vertical="center"/>
      <protection locked="0"/>
    </xf>
    <xf numFmtId="0" fontId="18" fillId="0" borderId="8" xfId="6" applyFont="1" applyFill="1" applyBorder="1" applyAlignment="1" applyProtection="1">
      <alignment horizontal="left" vertical="center" indent="1"/>
    </xf>
    <xf numFmtId="0" fontId="18" fillId="0" borderId="9" xfId="6" applyFont="1" applyFill="1" applyBorder="1" applyAlignment="1" applyProtection="1">
      <alignment horizontal="left" vertical="center" indent="1"/>
    </xf>
    <xf numFmtId="0" fontId="18" fillId="0" borderId="3" xfId="6" applyFont="1" applyFill="1" applyBorder="1" applyAlignment="1" applyProtection="1">
      <alignment horizontal="left" vertical="center" indent="1"/>
    </xf>
    <xf numFmtId="0" fontId="18" fillId="0" borderId="8" xfId="6" applyFont="1" applyFill="1" applyBorder="1" applyAlignment="1" applyProtection="1">
      <alignment horizontal="left" vertical="center" wrapText="1" indent="1"/>
    </xf>
    <xf numFmtId="0" fontId="8" fillId="0" borderId="0" xfId="6" applyFill="1" applyAlignment="1" applyProtection="1">
      <alignment vertical="center" wrapText="1"/>
    </xf>
    <xf numFmtId="164" fontId="18" fillId="0" borderId="35" xfId="6" applyNumberFormat="1" applyFont="1" applyFill="1" applyBorder="1" applyAlignment="1" applyProtection="1">
      <alignment vertical="center"/>
    </xf>
    <xf numFmtId="164" fontId="45" fillId="0" borderId="14" xfId="6" applyNumberFormat="1" applyFont="1" applyFill="1" applyBorder="1" applyAlignment="1" applyProtection="1">
      <alignment vertical="center"/>
      <protection locked="0"/>
    </xf>
    <xf numFmtId="0" fontId="18" fillId="0" borderId="14" xfId="6" applyFont="1" applyFill="1" applyBorder="1" applyAlignment="1" applyProtection="1">
      <alignment horizontal="left" vertical="center" wrapText="1" indent="1"/>
    </xf>
    <xf numFmtId="0" fontId="18" fillId="0" borderId="15" xfId="6" applyFont="1" applyFill="1" applyBorder="1" applyAlignment="1" applyProtection="1">
      <alignment horizontal="left" vertical="center" indent="1"/>
    </xf>
    <xf numFmtId="0" fontId="27" fillId="0" borderId="29" xfId="6" applyFont="1" applyFill="1" applyBorder="1" applyAlignment="1" applyProtection="1">
      <alignment horizontal="center" vertical="center"/>
    </xf>
    <xf numFmtId="0" fontId="27" fillId="0" borderId="30" xfId="6" applyFont="1" applyFill="1" applyBorder="1" applyAlignment="1" applyProtection="1">
      <alignment horizontal="center" vertical="center"/>
    </xf>
    <xf numFmtId="0" fontId="27" fillId="0" borderId="31" xfId="6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horizontal="right"/>
    </xf>
    <xf numFmtId="0" fontId="0" fillId="0" borderId="0" xfId="0" applyAlignment="1"/>
    <xf numFmtId="0" fontId="46" fillId="0" borderId="0" xfId="6" applyFont="1" applyFill="1" applyAlignment="1" applyProtection="1">
      <protection locked="0"/>
    </xf>
    <xf numFmtId="0" fontId="0" fillId="0" borderId="0" xfId="0" applyFill="1" applyAlignment="1">
      <alignment horizontal="left"/>
    </xf>
    <xf numFmtId="0" fontId="39" fillId="0" borderId="32" xfId="0" applyFont="1" applyBorder="1"/>
    <xf numFmtId="164" fontId="16" fillId="0" borderId="1" xfId="0" applyNumberFormat="1" applyFont="1" applyFill="1" applyBorder="1" applyAlignment="1" applyProtection="1">
      <alignment horizontal="right" vertical="center" wrapText="1"/>
    </xf>
    <xf numFmtId="0" fontId="41" fillId="0" borderId="3" xfId="0" applyFont="1" applyFill="1" applyBorder="1" applyAlignment="1" applyProtection="1">
      <alignment vertical="center" wrapText="1"/>
    </xf>
    <xf numFmtId="164" fontId="19" fillId="0" borderId="62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63" xfId="0" applyFont="1" applyFill="1" applyBorder="1" applyAlignment="1" applyProtection="1">
      <alignment horizontal="left" vertical="center" wrapText="1"/>
      <protection locked="0"/>
    </xf>
    <xf numFmtId="164" fontId="47" fillId="0" borderId="62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63" xfId="0" applyFont="1" applyFill="1" applyBorder="1" applyAlignment="1" applyProtection="1">
      <alignment horizontal="left" vertical="center" wrapText="1"/>
      <protection locked="0"/>
    </xf>
    <xf numFmtId="164" fontId="48" fillId="0" borderId="62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63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Fill="1" applyAlignment="1">
      <alignment vertical="center"/>
    </xf>
    <xf numFmtId="0" fontId="49" fillId="0" borderId="1" xfId="0" applyFont="1" applyFill="1" applyBorder="1" applyAlignment="1" applyProtection="1">
      <alignment horizontal="center" vertical="center" wrapText="1"/>
    </xf>
    <xf numFmtId="0" fontId="49" fillId="0" borderId="3" xfId="0" applyFont="1" applyFill="1" applyBorder="1" applyAlignment="1" applyProtection="1">
      <alignment horizontal="center" vertical="center" wrapText="1"/>
    </xf>
    <xf numFmtId="0" fontId="41" fillId="0" borderId="29" xfId="0" applyFont="1" applyFill="1" applyBorder="1" applyAlignment="1" applyProtection="1">
      <alignment horizontal="center" vertical="center" wrapText="1"/>
    </xf>
    <xf numFmtId="0" fontId="41" fillId="0" borderId="31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right"/>
    </xf>
    <xf numFmtId="0" fontId="43" fillId="0" borderId="0" xfId="0" applyFont="1" applyFill="1" applyBorder="1" applyAlignment="1" applyProtection="1">
      <alignment horizontal="center" vertical="center"/>
    </xf>
    <xf numFmtId="3" fontId="51" fillId="0" borderId="1" xfId="0" applyNumberFormat="1" applyFont="1" applyFill="1" applyBorder="1" applyAlignment="1" applyProtection="1">
      <alignment horizontal="right" vertical="center" indent="1"/>
    </xf>
    <xf numFmtId="164" fontId="15" fillId="3" borderId="34" xfId="0" applyNumberFormat="1" applyFont="1" applyFill="1" applyBorder="1" applyAlignment="1" applyProtection="1">
      <alignment horizontal="left" vertical="center" wrapText="1" indent="2"/>
    </xf>
    <xf numFmtId="3" fontId="52" fillId="0" borderId="24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6" xfId="0" applyFont="1" applyBorder="1" applyAlignment="1" applyProtection="1">
      <alignment horizontal="left" vertical="center" indent="1"/>
      <protection locked="0"/>
    </xf>
    <xf numFmtId="0" fontId="14" fillId="0" borderId="25" xfId="0" applyFont="1" applyBorder="1" applyAlignment="1" applyProtection="1">
      <alignment horizontal="right" vertical="center" indent="1"/>
    </xf>
    <xf numFmtId="3" fontId="52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7" xfId="0" applyFont="1" applyBorder="1" applyAlignment="1" applyProtection="1">
      <alignment horizontal="left" vertical="center" indent="1"/>
      <protection locked="0"/>
    </xf>
    <xf numFmtId="0" fontId="14" fillId="0" borderId="22" xfId="0" applyFont="1" applyBorder="1" applyAlignment="1" applyProtection="1">
      <alignment horizontal="right" vertical="center" indent="1"/>
    </xf>
    <xf numFmtId="3" fontId="52" fillId="0" borderId="18" xfId="0" applyNumberFormat="1" applyFont="1" applyBorder="1" applyAlignment="1" applyProtection="1">
      <alignment horizontal="right" vertical="center" indent="1"/>
      <protection locked="0"/>
    </xf>
    <xf numFmtId="3" fontId="52" fillId="0" borderId="26" xfId="0" applyNumberFormat="1" applyFont="1" applyBorder="1" applyAlignment="1" applyProtection="1">
      <alignment horizontal="right" vertical="center" indent="1"/>
      <protection locked="0"/>
    </xf>
    <xf numFmtId="0" fontId="14" fillId="0" borderId="27" xfId="0" applyFont="1" applyBorder="1" applyAlignment="1" applyProtection="1">
      <alignment horizontal="left" vertical="center" indent="1"/>
      <protection locked="0"/>
    </xf>
    <xf numFmtId="0" fontId="14" fillId="0" borderId="28" xfId="0" applyFont="1" applyBorder="1" applyAlignment="1" applyProtection="1">
      <alignment horizontal="right" vertical="center" indent="1"/>
    </xf>
    <xf numFmtId="0" fontId="23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center" vertical="center"/>
    </xf>
    <xf numFmtId="0" fontId="23" fillId="0" borderId="31" xfId="0" applyFont="1" applyBorder="1" applyAlignment="1" applyProtection="1">
      <alignment horizontal="center" vertical="center" wrapText="1"/>
    </xf>
    <xf numFmtId="0" fontId="0" fillId="0" borderId="0" xfId="0" applyProtection="1"/>
    <xf numFmtId="0" fontId="5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  <xf numFmtId="0" fontId="46" fillId="0" borderId="0" xfId="0" applyFont="1" applyAlignment="1"/>
    <xf numFmtId="164" fontId="40" fillId="0" borderId="0" xfId="5" applyNumberFormat="1" applyFont="1" applyFill="1" applyProtection="1"/>
    <xf numFmtId="164" fontId="41" fillId="0" borderId="33" xfId="0" quotePrefix="1" applyNumberFormat="1" applyFont="1" applyBorder="1" applyAlignment="1" applyProtection="1">
      <alignment horizontal="right" vertical="center" wrapText="1" indent="1"/>
    </xf>
    <xf numFmtId="164" fontId="41" fillId="0" borderId="2" xfId="0" quotePrefix="1" applyNumberFormat="1" applyFont="1" applyBorder="1" applyAlignment="1" applyProtection="1">
      <alignment horizontal="right" vertical="center" wrapText="1" indent="1"/>
      <protection locked="0"/>
    </xf>
    <xf numFmtId="164" fontId="9" fillId="0" borderId="33" xfId="5" applyNumberFormat="1" applyFont="1" applyFill="1" applyBorder="1" applyAlignment="1" applyProtection="1">
      <alignment horizontal="right" vertical="center" wrapText="1" indent="1"/>
    </xf>
    <xf numFmtId="164" fontId="18" fillId="0" borderId="64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5" xfId="5" applyNumberFormat="1" applyFont="1" applyFill="1" applyBorder="1" applyAlignment="1" applyProtection="1">
      <alignment horizontal="right" vertical="center" wrapText="1" indent="1"/>
    </xf>
    <xf numFmtId="164" fontId="12" fillId="0" borderId="5" xfId="5" applyNumberFormat="1" applyFont="1" applyFill="1" applyBorder="1" applyAlignment="1" applyProtection="1">
      <alignment horizontal="right" vertical="center" wrapText="1" indent="1"/>
    </xf>
    <xf numFmtId="0" fontId="12" fillId="0" borderId="5" xfId="5" applyFont="1" applyFill="1" applyBorder="1" applyAlignment="1" applyProtection="1">
      <alignment vertical="center" wrapText="1"/>
    </xf>
    <xf numFmtId="0" fontId="15" fillId="0" borderId="0" xfId="5" applyFont="1" applyFill="1" applyBorder="1" applyProtection="1"/>
    <xf numFmtId="0" fontId="9" fillId="0" borderId="66" xfId="5" applyFont="1" applyFill="1" applyBorder="1" applyAlignment="1" applyProtection="1">
      <alignment horizontal="center" vertical="center" wrapText="1"/>
    </xf>
    <xf numFmtId="0" fontId="9" fillId="0" borderId="30" xfId="5" applyFont="1" applyFill="1" applyBorder="1" applyAlignment="1" applyProtection="1">
      <alignment horizontal="center" vertical="center" wrapText="1"/>
    </xf>
    <xf numFmtId="0" fontId="9" fillId="0" borderId="31" xfId="5" applyFont="1" applyFill="1" applyBorder="1" applyAlignment="1" applyProtection="1">
      <alignment horizontal="center" vertical="center" wrapText="1"/>
    </xf>
    <xf numFmtId="164" fontId="14" fillId="0" borderId="32" xfId="5" applyNumberFormat="1" applyFont="1" applyFill="1" applyBorder="1" applyAlignment="1" applyProtection="1">
      <alignment horizontal="right" vertical="center" wrapText="1" indent="1"/>
    </xf>
    <xf numFmtId="0" fontId="18" fillId="0" borderId="32" xfId="5" applyFont="1" applyFill="1" applyBorder="1" applyAlignment="1" applyProtection="1">
      <alignment horizontal="right" vertical="center" wrapText="1" indent="1"/>
    </xf>
    <xf numFmtId="164" fontId="12" fillId="0" borderId="33" xfId="5" applyNumberFormat="1" applyFont="1" applyFill="1" applyBorder="1" applyAlignment="1" applyProtection="1">
      <alignment horizontal="right" vertical="center" wrapText="1" indent="1"/>
    </xf>
    <xf numFmtId="164" fontId="1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0" xfId="5" applyFont="1" applyFill="1" applyAlignment="1" applyProtection="1">
      <alignment vertical="center"/>
    </xf>
    <xf numFmtId="164" fontId="24" fillId="0" borderId="0" xfId="0" applyNumberFormat="1" applyFont="1" applyFill="1" applyAlignment="1" applyProtection="1">
      <alignment vertical="center" wrapText="1"/>
      <protection locked="0"/>
    </xf>
    <xf numFmtId="164" fontId="11" fillId="0" borderId="4" xfId="5" applyNumberFormat="1" applyFont="1" applyFill="1" applyBorder="1" applyAlignment="1" applyProtection="1">
      <alignment horizontal="left" vertical="center"/>
    </xf>
    <xf numFmtId="164" fontId="21" fillId="0" borderId="0" xfId="5" applyNumberFormat="1" applyFont="1" applyFill="1" applyBorder="1" applyAlignment="1" applyProtection="1">
      <alignment horizontal="center" vertical="center"/>
    </xf>
    <xf numFmtId="0" fontId="24" fillId="0" borderId="0" xfId="5" applyFont="1" applyFill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164" fontId="21" fillId="0" borderId="0" xfId="5" applyNumberFormat="1" applyFont="1" applyFill="1" applyBorder="1" applyAlignment="1" applyProtection="1">
      <alignment horizontal="center" vertical="center"/>
      <protection locked="0"/>
    </xf>
    <xf numFmtId="164" fontId="11" fillId="0" borderId="4" xfId="5" applyNumberFormat="1" applyFont="1" applyFill="1" applyBorder="1" applyAlignment="1" applyProtection="1">
      <alignment horizontal="left" vertical="center"/>
      <protection locked="0"/>
    </xf>
    <xf numFmtId="164" fontId="11" fillId="0" borderId="4" xfId="5" applyNumberFormat="1" applyFont="1" applyFill="1" applyBorder="1" applyAlignment="1" applyProtection="1">
      <alignment horizontal="left"/>
    </xf>
    <xf numFmtId="0" fontId="12" fillId="0" borderId="0" xfId="5" applyFont="1" applyFill="1" applyAlignment="1" applyProtection="1">
      <alignment horizontal="center"/>
    </xf>
    <xf numFmtId="164" fontId="27" fillId="0" borderId="42" xfId="0" applyNumberFormat="1" applyFont="1" applyFill="1" applyBorder="1" applyAlignment="1" applyProtection="1">
      <alignment horizontal="center" vertical="center" wrapText="1"/>
    </xf>
    <xf numFmtId="164" fontId="27" fillId="0" borderId="4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textRotation="180" wrapText="1"/>
    </xf>
    <xf numFmtId="164" fontId="25" fillId="0" borderId="32" xfId="0" applyNumberFormat="1" applyFont="1" applyFill="1" applyBorder="1" applyAlignment="1" applyProtection="1">
      <alignment horizontal="center" vertical="center" wrapText="1"/>
    </xf>
    <xf numFmtId="164" fontId="27" fillId="0" borderId="45" xfId="0" applyNumberFormat="1" applyFont="1" applyFill="1" applyBorder="1" applyAlignment="1" applyProtection="1">
      <alignment horizontal="center" vertical="center" wrapText="1"/>
    </xf>
    <xf numFmtId="164" fontId="27" fillId="0" borderId="44" xfId="0" applyNumberFormat="1" applyFont="1" applyFill="1" applyBorder="1" applyAlignment="1" applyProtection="1">
      <alignment horizontal="center" vertical="center" wrapText="1"/>
    </xf>
    <xf numFmtId="0" fontId="24" fillId="0" borderId="0" xfId="5" applyFont="1" applyFill="1" applyAlignment="1">
      <alignment horizontal="right"/>
    </xf>
    <xf numFmtId="164" fontId="3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right"/>
    </xf>
    <xf numFmtId="0" fontId="23" fillId="0" borderId="26" xfId="5" applyFont="1" applyFill="1" applyBorder="1" applyAlignment="1">
      <alignment horizontal="center" vertical="center" wrapText="1"/>
    </xf>
    <xf numFmtId="0" fontId="23" fillId="0" borderId="24" xfId="5" applyFont="1" applyFill="1" applyBorder="1" applyAlignment="1">
      <alignment horizontal="center" vertical="center" wrapText="1"/>
    </xf>
    <xf numFmtId="0" fontId="23" fillId="0" borderId="28" xfId="5" applyFont="1" applyFill="1" applyBorder="1" applyAlignment="1">
      <alignment horizontal="center" vertical="center" wrapText="1"/>
    </xf>
    <xf numFmtId="0" fontId="23" fillId="0" borderId="25" xfId="5" applyFont="1" applyFill="1" applyBorder="1" applyAlignment="1">
      <alignment horizontal="center" vertical="center" wrapText="1"/>
    </xf>
    <xf numFmtId="0" fontId="23" fillId="0" borderId="27" xfId="5" applyFont="1" applyFill="1" applyBorder="1" applyAlignment="1">
      <alignment horizontal="center" vertical="center" wrapText="1"/>
    </xf>
    <xf numFmtId="0" fontId="23" fillId="0" borderId="16" xfId="5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right"/>
    </xf>
    <xf numFmtId="164" fontId="21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5" applyFont="1" applyFill="1" applyBorder="1" applyAlignment="1" applyProtection="1">
      <alignment horizontal="left"/>
    </xf>
    <xf numFmtId="0" fontId="27" fillId="0" borderId="2" xfId="5" applyFont="1" applyFill="1" applyBorder="1" applyAlignment="1" applyProtection="1">
      <alignment horizontal="left"/>
    </xf>
    <xf numFmtId="0" fontId="18" fillId="0" borderId="32" xfId="5" applyFont="1" applyFill="1" applyBorder="1" applyAlignment="1">
      <alignment horizontal="justify" vertical="center" wrapText="1"/>
    </xf>
    <xf numFmtId="164" fontId="5" fillId="0" borderId="0" xfId="0" applyNumberFormat="1" applyFon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horizontal="right"/>
      <protection locked="0"/>
    </xf>
    <xf numFmtId="0" fontId="39" fillId="0" borderId="0" xfId="0" applyFont="1" applyAlignment="1" applyProtection="1">
      <alignment horizontal="right"/>
      <protection locked="0"/>
    </xf>
    <xf numFmtId="0" fontId="0" fillId="0" borderId="0" xfId="0" applyFill="1" applyAlignment="1" applyProtection="1">
      <alignment horizontal="left"/>
      <protection locked="0"/>
    </xf>
    <xf numFmtId="0" fontId="3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8" fillId="0" borderId="0" xfId="0" applyFont="1" applyFill="1" applyBorder="1" applyAlignment="1" applyProtection="1">
      <alignment horizontal="right"/>
    </xf>
    <xf numFmtId="0" fontId="14" fillId="0" borderId="52" xfId="0" applyFont="1" applyFill="1" applyBorder="1" applyAlignment="1" applyProtection="1">
      <alignment horizontal="left" indent="1"/>
      <protection locked="0"/>
    </xf>
    <xf numFmtId="0" fontId="14" fillId="0" borderId="51" xfId="0" applyFont="1" applyFill="1" applyBorder="1" applyAlignment="1" applyProtection="1">
      <alignment horizontal="left" indent="1"/>
      <protection locked="0"/>
    </xf>
    <xf numFmtId="0" fontId="14" fillId="0" borderId="50" xfId="0" applyFont="1" applyFill="1" applyBorder="1" applyAlignment="1" applyProtection="1">
      <alignment horizontal="left" indent="1"/>
      <protection locked="0"/>
    </xf>
    <xf numFmtId="0" fontId="14" fillId="0" borderId="16" xfId="0" applyFont="1" applyFill="1" applyBorder="1" applyAlignment="1" applyProtection="1">
      <alignment horizontal="right" indent="1"/>
      <protection locked="0"/>
    </xf>
    <xf numFmtId="0" fontId="14" fillId="0" borderId="24" xfId="0" applyFont="1" applyFill="1" applyBorder="1" applyAlignment="1" applyProtection="1">
      <alignment horizontal="right" indent="1"/>
      <protection locked="0"/>
    </xf>
    <xf numFmtId="0" fontId="27" fillId="0" borderId="49" xfId="0" applyFont="1" applyFill="1" applyBorder="1" applyAlignment="1" applyProtection="1">
      <alignment horizontal="left" indent="1"/>
    </xf>
    <xf numFmtId="0" fontId="27" fillId="0" borderId="48" xfId="0" applyFont="1" applyFill="1" applyBorder="1" applyAlignment="1" applyProtection="1">
      <alignment horizontal="left" indent="1"/>
    </xf>
    <xf numFmtId="0" fontId="27" fillId="0" borderId="47" xfId="0" applyFont="1" applyFill="1" applyBorder="1" applyAlignment="1" applyProtection="1">
      <alignment horizontal="left" indent="1"/>
    </xf>
    <xf numFmtId="0" fontId="12" fillId="0" borderId="2" xfId="0" applyFont="1" applyFill="1" applyBorder="1" applyAlignment="1" applyProtection="1">
      <alignment horizontal="right" indent="1"/>
    </xf>
    <xf numFmtId="0" fontId="12" fillId="0" borderId="1" xfId="0" applyFont="1" applyFill="1" applyBorder="1" applyAlignment="1" applyProtection="1">
      <alignment horizontal="right" indent="1"/>
    </xf>
    <xf numFmtId="0" fontId="27" fillId="0" borderId="57" xfId="0" applyFont="1" applyFill="1" applyBorder="1" applyAlignment="1" applyProtection="1">
      <alignment horizontal="center"/>
    </xf>
    <xf numFmtId="0" fontId="27" fillId="0" borderId="32" xfId="0" applyFont="1" applyFill="1" applyBorder="1" applyAlignment="1" applyProtection="1">
      <alignment horizontal="center"/>
    </xf>
    <xf numFmtId="0" fontId="27" fillId="0" borderId="56" xfId="0" applyFont="1" applyFill="1" applyBorder="1" applyAlignment="1" applyProtection="1">
      <alignment horizontal="center"/>
    </xf>
    <xf numFmtId="0" fontId="27" fillId="0" borderId="30" xfId="0" applyFont="1" applyFill="1" applyBorder="1" applyAlignment="1" applyProtection="1">
      <alignment horizontal="center"/>
    </xf>
    <xf numFmtId="0" fontId="27" fillId="0" borderId="29" xfId="0" applyFont="1" applyFill="1" applyBorder="1" applyAlignment="1" applyProtection="1">
      <alignment horizontal="center"/>
    </xf>
    <xf numFmtId="0" fontId="14" fillId="0" borderId="55" xfId="0" applyFont="1" applyFill="1" applyBorder="1" applyAlignment="1" applyProtection="1">
      <alignment horizontal="left" indent="1"/>
      <protection locked="0"/>
    </xf>
    <xf numFmtId="0" fontId="14" fillId="0" borderId="54" xfId="0" applyFont="1" applyFill="1" applyBorder="1" applyAlignment="1" applyProtection="1">
      <alignment horizontal="left" indent="1"/>
      <protection locked="0"/>
    </xf>
    <xf numFmtId="0" fontId="14" fillId="0" borderId="53" xfId="0" applyFont="1" applyFill="1" applyBorder="1" applyAlignment="1" applyProtection="1">
      <alignment horizontal="left" indent="1"/>
      <protection locked="0"/>
    </xf>
    <xf numFmtId="0" fontId="14" fillId="0" borderId="27" xfId="0" applyFont="1" applyFill="1" applyBorder="1" applyAlignment="1" applyProtection="1">
      <alignment horizontal="right" indent="1"/>
      <protection locked="0"/>
    </xf>
    <xf numFmtId="0" fontId="14" fillId="0" borderId="26" xfId="0" applyFont="1" applyFill="1" applyBorder="1" applyAlignment="1" applyProtection="1">
      <alignment horizontal="right" indent="1"/>
      <protection locked="0"/>
    </xf>
    <xf numFmtId="0" fontId="30" fillId="0" borderId="0" xfId="5" applyFont="1" applyFill="1" applyAlignment="1">
      <alignment horizontal="center"/>
    </xf>
    <xf numFmtId="0" fontId="30" fillId="0" borderId="0" xfId="5" applyFont="1" applyFill="1" applyAlignment="1">
      <alignment horizontal="center" vertical="center"/>
    </xf>
    <xf numFmtId="164" fontId="24" fillId="0" borderId="0" xfId="0" applyNumberFormat="1" applyFont="1" applyFill="1" applyBorder="1" applyAlignment="1" applyProtection="1">
      <alignment horizontal="right" textRotation="180" wrapText="1"/>
    </xf>
    <xf numFmtId="164" fontId="22" fillId="0" borderId="49" xfId="0" applyNumberFormat="1" applyFont="1" applyFill="1" applyBorder="1" applyAlignment="1" applyProtection="1">
      <alignment horizontal="left" vertical="center" wrapText="1" indent="2"/>
    </xf>
    <xf numFmtId="164" fontId="22" fillId="0" borderId="33" xfId="0" applyNumberFormat="1" applyFont="1" applyFill="1" applyBorder="1" applyAlignment="1" applyProtection="1">
      <alignment horizontal="left" vertical="center" wrapText="1" indent="2"/>
    </xf>
    <xf numFmtId="164" fontId="22" fillId="0" borderId="42" xfId="0" applyNumberFormat="1" applyFont="1" applyFill="1" applyBorder="1" applyAlignment="1" applyProtection="1">
      <alignment horizontal="center" vertical="center"/>
    </xf>
    <xf numFmtId="164" fontId="22" fillId="0" borderId="41" xfId="0" applyNumberFormat="1" applyFont="1" applyFill="1" applyBorder="1" applyAlignment="1" applyProtection="1">
      <alignment horizontal="center" vertical="center"/>
    </xf>
    <xf numFmtId="164" fontId="22" fillId="0" borderId="55" xfId="0" applyNumberFormat="1" applyFont="1" applyFill="1" applyBorder="1" applyAlignment="1" applyProtection="1">
      <alignment horizontal="center" vertical="center"/>
    </xf>
    <xf numFmtId="164" fontId="22" fillId="0" borderId="54" xfId="0" applyNumberFormat="1" applyFont="1" applyFill="1" applyBorder="1" applyAlignment="1" applyProtection="1">
      <alignment horizontal="center" vertical="center"/>
    </xf>
    <xf numFmtId="164" fontId="22" fillId="0" borderId="46" xfId="0" applyNumberFormat="1" applyFont="1" applyFill="1" applyBorder="1" applyAlignment="1" applyProtection="1">
      <alignment horizontal="center" vertical="center"/>
    </xf>
    <xf numFmtId="164" fontId="22" fillId="0" borderId="42" xfId="0" applyNumberFormat="1" applyFont="1" applyFill="1" applyBorder="1" applyAlignment="1" applyProtection="1">
      <alignment horizontal="center" vertical="center" wrapText="1"/>
    </xf>
    <xf numFmtId="164" fontId="22" fillId="0" borderId="41" xfId="0" applyNumberFormat="1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>
      <alignment horizontal="justify" vertical="center" wrapText="1"/>
    </xf>
    <xf numFmtId="0" fontId="43" fillId="0" borderId="0" xfId="0" applyFont="1" applyAlignment="1" applyProtection="1">
      <alignment horizontal="center" wrapText="1"/>
      <protection locked="0"/>
    </xf>
    <xf numFmtId="0" fontId="10" fillId="0" borderId="58" xfId="6" applyFont="1" applyFill="1" applyBorder="1" applyAlignment="1" applyProtection="1">
      <alignment horizontal="left" vertical="center" indent="1"/>
    </xf>
    <xf numFmtId="0" fontId="10" fillId="0" borderId="48" xfId="6" applyFont="1" applyFill="1" applyBorder="1" applyAlignment="1" applyProtection="1">
      <alignment horizontal="left" vertical="center" indent="1"/>
    </xf>
    <xf numFmtId="0" fontId="10" fillId="0" borderId="33" xfId="6" applyFont="1" applyFill="1" applyBorder="1" applyAlignment="1" applyProtection="1">
      <alignment horizontal="left" vertical="center" indent="1"/>
    </xf>
    <xf numFmtId="0" fontId="5" fillId="0" borderId="0" xfId="6" applyFont="1" applyFill="1" applyAlignment="1" applyProtection="1">
      <alignment horizontal="center" wrapText="1"/>
    </xf>
    <xf numFmtId="0" fontId="5" fillId="0" borderId="0" xfId="6" applyFont="1" applyFill="1" applyAlignment="1" applyProtection="1">
      <alignment horizontal="center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textRotation="180"/>
    </xf>
    <xf numFmtId="0" fontId="11" fillId="0" borderId="0" xfId="0" applyFont="1" applyAlignment="1" applyProtection="1">
      <alignment horizontal="right"/>
    </xf>
    <xf numFmtId="0" fontId="27" fillId="0" borderId="49" xfId="0" applyFont="1" applyBorder="1" applyAlignment="1" applyProtection="1">
      <alignment horizontal="left" vertical="center" indent="2"/>
    </xf>
    <xf numFmtId="0" fontId="27" fillId="0" borderId="47" xfId="0" applyFont="1" applyBorder="1" applyAlignment="1" applyProtection="1">
      <alignment horizontal="left" vertical="center" indent="2"/>
    </xf>
    <xf numFmtId="0" fontId="5" fillId="0" borderId="0" xfId="0" applyFont="1" applyAlignment="1" applyProtection="1">
      <alignment horizontal="center" wrapText="1"/>
      <protection locked="0"/>
    </xf>
    <xf numFmtId="0" fontId="30" fillId="0" borderId="0" xfId="5" applyFont="1" applyFill="1" applyAlignment="1" applyProtection="1">
      <alignment horizontal="center"/>
    </xf>
    <xf numFmtId="0" fontId="30" fillId="0" borderId="0" xfId="0" applyFont="1" applyAlignment="1">
      <alignment horizontal="center"/>
    </xf>
    <xf numFmtId="0" fontId="30" fillId="0" borderId="0" xfId="5" applyFont="1" applyFill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SEGEDLETEK" xfId="6"/>
    <cellStyle name="Százalék 2" xfId="7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3/AppData/Local/Temp/t&#225;blasorozat%20Koml&#243;dt&#243;tfal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Komlódtótfalu Község Önkormányzata</v>
          </cell>
        </row>
        <row r="7">
          <cell r="A7" t="str">
            <v>a</v>
          </cell>
          <cell r="B7">
            <v>1</v>
          </cell>
          <cell r="C7" t="str">
            <v>/</v>
          </cell>
          <cell r="D7">
            <v>2019</v>
          </cell>
          <cell r="E7" t="str">
            <v>(</v>
          </cell>
          <cell r="F7" t="str">
            <v>III.13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="120" zoomScaleNormal="120" workbookViewId="0">
      <selection activeCell="A3" sqref="A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5.75">
      <c r="A2" s="5" t="s">
        <v>13</v>
      </c>
    </row>
    <row r="4" spans="1:2">
      <c r="A4" s="1"/>
      <c r="B4" s="1"/>
    </row>
    <row r="5" spans="1:2" s="2" customFormat="1" ht="15.75">
      <c r="A5" s="4" t="s">
        <v>12</v>
      </c>
      <c r="B5" s="3"/>
    </row>
    <row r="6" spans="1:2">
      <c r="A6" s="1"/>
      <c r="B6" s="1"/>
    </row>
    <row r="7" spans="1:2">
      <c r="A7" s="1" t="s">
        <v>11</v>
      </c>
      <c r="B7" s="1" t="s">
        <v>10</v>
      </c>
    </row>
    <row r="8" spans="1:2">
      <c r="A8" s="1" t="s">
        <v>9</v>
      </c>
      <c r="B8" s="1" t="s">
        <v>8</v>
      </c>
    </row>
    <row r="9" spans="1:2">
      <c r="A9" s="1" t="s">
        <v>7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2" customFormat="1" ht="15.75">
      <c r="A12" s="4" t="str">
        <f>+CONCATENATE(LEFT(A5,4),". évi előirányzat KIADÁSOK")</f>
        <v>2019. évi előirányzat KIADÁSOK</v>
      </c>
      <c r="B12" s="3"/>
    </row>
    <row r="13" spans="1:2">
      <c r="A13" s="1"/>
      <c r="B13" s="1"/>
    </row>
    <row r="14" spans="1:2">
      <c r="A14" s="1" t="s">
        <v>5</v>
      </c>
      <c r="B14" s="1" t="s">
        <v>4</v>
      </c>
    </row>
    <row r="15" spans="1:2">
      <c r="A15" s="1" t="s">
        <v>3</v>
      </c>
      <c r="B15" s="1" t="s">
        <v>2</v>
      </c>
    </row>
    <row r="16" spans="1:2">
      <c r="A16" s="1" t="s">
        <v>1</v>
      </c>
      <c r="B16" s="1" t="s">
        <v>0</v>
      </c>
    </row>
  </sheetData>
  <sheetProtection sheet="1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5"/>
  <sheetViews>
    <sheetView view="pageLayout" zoomScaleNormal="120" workbookViewId="0">
      <selection activeCell="B2" sqref="B2:E2"/>
    </sheetView>
  </sheetViews>
  <sheetFormatPr defaultRowHeight="12.75"/>
  <cols>
    <col min="1" max="1" width="82" style="235" customWidth="1"/>
    <col min="2" max="2" width="26.33203125" style="234" customWidth="1"/>
    <col min="3" max="4" width="12.83203125" style="234" customWidth="1"/>
    <col min="5" max="5" width="13.83203125" style="234" customWidth="1"/>
    <col min="6" max="16384" width="9.33203125" style="234"/>
  </cols>
  <sheetData>
    <row r="1" spans="1:5">
      <c r="A1" s="249"/>
      <c r="B1" s="257"/>
    </row>
    <row r="2" spans="1:5" ht="21.2" customHeight="1">
      <c r="A2" s="511"/>
      <c r="B2" s="541" t="str">
        <f>CONCATENATE("7. melléklet ",[1]ALAPADATOK!A7," ",[1]ALAPADATOK!B7," ",[1]ALAPADATOK!C7," ",[1]ALAPADATOK!D7," ",[1]ALAPADATOK!E7," ",[1]ALAPADATOK!F7," ",[1]ALAPADATOK!G7," ",[1]ALAPADATOK!H7)</f>
        <v>7. melléklet a 1 / 2019 ( III.13 ) önkormányzati rendelethez</v>
      </c>
      <c r="C2" s="541"/>
      <c r="D2" s="541"/>
      <c r="E2" s="541"/>
    </row>
    <row r="3" spans="1:5">
      <c r="A3" s="249"/>
      <c r="B3" s="257"/>
    </row>
    <row r="4" spans="1:5" ht="24.75" customHeight="1">
      <c r="A4" s="540" t="s">
        <v>397</v>
      </c>
      <c r="B4" s="540"/>
    </row>
    <row r="5" spans="1:5" ht="23.25" customHeight="1" thickBot="1">
      <c r="A5" s="249"/>
      <c r="B5" s="248" t="str">
        <f>KV_6.sz.mell.!B5</f>
        <v>Forintban!</v>
      </c>
    </row>
    <row r="6" spans="1:5" s="245" customFormat="1" ht="48.75" customHeight="1" thickBot="1">
      <c r="A6" s="247" t="s">
        <v>396</v>
      </c>
      <c r="B6" s="246" t="s">
        <v>391</v>
      </c>
    </row>
    <row r="7" spans="1:5" s="109" customFormat="1" ht="15.2" customHeight="1" thickBot="1">
      <c r="A7" s="244" t="s">
        <v>141</v>
      </c>
      <c r="B7" s="256" t="s">
        <v>140</v>
      </c>
    </row>
    <row r="8" spans="1:5" ht="15.95" customHeight="1">
      <c r="A8" s="255" t="s">
        <v>395</v>
      </c>
      <c r="B8" s="254">
        <v>18847855</v>
      </c>
    </row>
    <row r="9" spans="1:5" ht="15.95" customHeight="1">
      <c r="A9" s="255" t="s">
        <v>394</v>
      </c>
      <c r="B9" s="254">
        <v>86558594</v>
      </c>
    </row>
    <row r="10" spans="1:5" ht="15.95" customHeight="1">
      <c r="A10" s="255"/>
      <c r="B10" s="254"/>
    </row>
    <row r="11" spans="1:5" ht="15.95" customHeight="1">
      <c r="A11" s="255"/>
      <c r="B11" s="254"/>
    </row>
    <row r="12" spans="1:5" ht="15.95" customHeight="1">
      <c r="A12" s="255"/>
      <c r="B12" s="254"/>
    </row>
    <row r="13" spans="1:5" ht="15.95" customHeight="1">
      <c r="A13" s="255"/>
      <c r="B13" s="254"/>
    </row>
    <row r="14" spans="1:5" ht="15.95" customHeight="1">
      <c r="A14" s="255"/>
      <c r="B14" s="254"/>
    </row>
    <row r="15" spans="1:5" ht="15.95" customHeight="1">
      <c r="A15" s="255"/>
      <c r="B15" s="254"/>
    </row>
    <row r="16" spans="1:5" ht="15.95" customHeight="1">
      <c r="A16" s="255"/>
      <c r="B16" s="254"/>
    </row>
    <row r="17" spans="1:2" ht="15.95" customHeight="1">
      <c r="A17" s="255"/>
      <c r="B17" s="254"/>
    </row>
    <row r="18" spans="1:2" ht="15.95" customHeight="1">
      <c r="A18" s="255"/>
      <c r="B18" s="254"/>
    </row>
    <row r="19" spans="1:2" ht="15.95" customHeight="1">
      <c r="A19" s="255"/>
      <c r="B19" s="254"/>
    </row>
    <row r="20" spans="1:2" ht="15.95" customHeight="1">
      <c r="A20" s="255"/>
      <c r="B20" s="254"/>
    </row>
    <row r="21" spans="1:2" ht="15.95" customHeight="1">
      <c r="A21" s="255"/>
      <c r="B21" s="254"/>
    </row>
    <row r="22" spans="1:2" ht="15.95" customHeight="1">
      <c r="A22" s="255"/>
      <c r="B22" s="254"/>
    </row>
    <row r="23" spans="1:2" ht="15.95" customHeight="1">
      <c r="A23" s="255"/>
      <c r="B23" s="254"/>
    </row>
    <row r="24" spans="1:2" ht="15.95" customHeight="1" thickBot="1">
      <c r="A24" s="253"/>
      <c r="B24" s="252"/>
    </row>
    <row r="25" spans="1:2" s="236" customFormat="1" ht="18" customHeight="1" thickBot="1">
      <c r="A25" s="238" t="s">
        <v>390</v>
      </c>
      <c r="B25" s="251">
        <f>SUM(B8:B24)</f>
        <v>105406449</v>
      </c>
    </row>
  </sheetData>
  <mergeCells count="2">
    <mergeCell ref="A4:B4"/>
    <mergeCell ref="B2:E2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74"/>
  <sheetViews>
    <sheetView view="pageBreakPreview" zoomScaleNormal="120" zoomScaleSheetLayoutView="100" workbookViewId="0">
      <selection activeCell="A2" sqref="A2"/>
    </sheetView>
  </sheetViews>
  <sheetFormatPr defaultRowHeight="12.75"/>
  <cols>
    <col min="1" max="1" width="38.6640625" style="258" customWidth="1"/>
    <col min="2" max="2" width="14.83203125" style="259" customWidth="1"/>
    <col min="3" max="6" width="13.83203125" style="258" customWidth="1"/>
    <col min="7" max="16384" width="9.33203125" style="258"/>
  </cols>
  <sheetData>
    <row r="1" spans="1:6" ht="15">
      <c r="A1" s="543" t="str">
        <f>CONCATENATE("8. melléklet ",[1]ALAPADATOK!A7," ",[1]ALAPADATOK!B7," ",[1]ALAPADATOK!C7," ",[1]ALAPADATOK!D7," ",[1]ALAPADATOK!E7," ",[1]ALAPADATOK!F7," ",[1]ALAPADATOK!G7," ",[1]ALAPADATOK!H7)</f>
        <v>8. melléklet a 1 / 2019 ( III.13 ) önkormányzati rendelethez</v>
      </c>
      <c r="B1" s="543"/>
      <c r="C1" s="544"/>
      <c r="D1" s="544"/>
      <c r="E1" s="544"/>
      <c r="F1" s="544"/>
    </row>
    <row r="2" spans="1:6" ht="11.1" customHeight="1">
      <c r="A2" s="300"/>
      <c r="B2" s="299"/>
      <c r="C2" s="298"/>
      <c r="D2" s="298"/>
      <c r="E2" s="298"/>
      <c r="F2" s="298"/>
    </row>
    <row r="3" spans="1:6" ht="15.75">
      <c r="A3" s="547" t="s">
        <v>422</v>
      </c>
      <c r="B3" s="547"/>
      <c r="C3" s="548"/>
      <c r="D3" s="548"/>
      <c r="E3" s="548"/>
      <c r="F3" s="548"/>
    </row>
    <row r="4" spans="1:6" ht="15.75">
      <c r="A4" s="547" t="s">
        <v>421</v>
      </c>
      <c r="B4" s="547"/>
      <c r="C4" s="547"/>
      <c r="D4" s="547"/>
      <c r="E4" s="547"/>
      <c r="F4" s="547"/>
    </row>
    <row r="5" spans="1:6" ht="15.75">
      <c r="A5" s="291" t="s">
        <v>416</v>
      </c>
      <c r="B5" s="290"/>
      <c r="C5" s="545" t="s">
        <v>425</v>
      </c>
      <c r="D5" s="545"/>
      <c r="E5" s="545"/>
      <c r="F5" s="545"/>
    </row>
    <row r="6" spans="1:6" ht="14.25" thickBot="1">
      <c r="A6" s="260"/>
      <c r="B6" s="261"/>
      <c r="C6" s="260"/>
      <c r="D6" s="260"/>
      <c r="E6" s="546" t="str">
        <f>KV_7.sz.mell.!B5</f>
        <v>Forintban!</v>
      </c>
      <c r="F6" s="546"/>
    </row>
    <row r="7" spans="1:6" ht="15.2" customHeight="1" thickBot="1">
      <c r="A7" s="297" t="s">
        <v>414</v>
      </c>
      <c r="B7" s="296" t="str">
        <f>CONCATENATE((LEFT(KV_ÖSSZEFÜGGÉSEK!A5,4))-1,".")</f>
        <v>2018.</v>
      </c>
      <c r="C7" s="295" t="str">
        <f>CONCATENATE((LEFT(KV_ÖSSZEFÜGGÉSEK!A5,4)),".")</f>
        <v>2019.</v>
      </c>
      <c r="D7" s="295" t="str">
        <f>CONCATENATE((LEFT(KV_ÖSSZEFÜGGÉSEK!A5,4))+1,".")</f>
        <v>2020.</v>
      </c>
      <c r="E7" s="295" t="str">
        <f>CONCATENATE((LEFT(KV_ÖSSZEFÜGGÉSEK!A5,4))+1,". után")</f>
        <v>2020. után</v>
      </c>
      <c r="F7" s="294" t="s">
        <v>405</v>
      </c>
    </row>
    <row r="8" spans="1:6">
      <c r="A8" s="279" t="s">
        <v>413</v>
      </c>
      <c r="B8" s="278"/>
      <c r="C8" s="277"/>
      <c r="D8" s="277"/>
      <c r="E8" s="277"/>
      <c r="F8" s="276">
        <f>SUM(C8:E8)</f>
        <v>0</v>
      </c>
    </row>
    <row r="9" spans="1:6">
      <c r="A9" s="289" t="s">
        <v>412</v>
      </c>
      <c r="B9" s="288"/>
      <c r="C9" s="287"/>
      <c r="D9" s="287"/>
      <c r="E9" s="287"/>
      <c r="F9" s="286">
        <f>SUM(C9:E9)</f>
        <v>0</v>
      </c>
    </row>
    <row r="10" spans="1:6">
      <c r="A10" s="274" t="s">
        <v>411</v>
      </c>
      <c r="B10" s="272">
        <v>15368469</v>
      </c>
      <c r="C10" s="272">
        <v>6586486</v>
      </c>
      <c r="D10" s="272"/>
      <c r="E10" s="272"/>
      <c r="F10" s="268">
        <f>SUM(B10:E10)</f>
        <v>21954955</v>
      </c>
    </row>
    <row r="11" spans="1:6">
      <c r="A11" s="274" t="s">
        <v>410</v>
      </c>
      <c r="B11" s="273"/>
      <c r="C11" s="272"/>
      <c r="D11" s="272"/>
      <c r="E11" s="272"/>
      <c r="F11" s="268">
        <f>SUM(C11:E11)</f>
        <v>0</v>
      </c>
    </row>
    <row r="12" spans="1:6">
      <c r="A12" s="274" t="s">
        <v>409</v>
      </c>
      <c r="B12" s="273"/>
      <c r="C12" s="272"/>
      <c r="D12" s="272"/>
      <c r="E12" s="272"/>
      <c r="F12" s="268">
        <f>SUM(C12:E12)</f>
        <v>0</v>
      </c>
    </row>
    <row r="13" spans="1:6">
      <c r="A13" s="274" t="s">
        <v>424</v>
      </c>
      <c r="B13" s="273"/>
      <c r="C13" s="272"/>
      <c r="D13" s="272"/>
      <c r="E13" s="272"/>
      <c r="F13" s="268">
        <f>SUM(C13:E13)</f>
        <v>0</v>
      </c>
    </row>
    <row r="14" spans="1:6" ht="13.5" thickBot="1">
      <c r="A14" s="271"/>
      <c r="B14" s="270"/>
      <c r="C14" s="269"/>
      <c r="D14" s="269"/>
      <c r="E14" s="269"/>
      <c r="F14" s="268">
        <f>SUM(C14:E14)</f>
        <v>0</v>
      </c>
    </row>
    <row r="15" spans="1:6" ht="13.5" thickBot="1">
      <c r="A15" s="267" t="s">
        <v>407</v>
      </c>
      <c r="B15" s="265">
        <f>B8+SUM(B10:B14)</f>
        <v>15368469</v>
      </c>
      <c r="C15" s="265">
        <f>C8+SUM(C10:C14)</f>
        <v>6586486</v>
      </c>
      <c r="D15" s="265">
        <f>D8+SUM(D10:D14)</f>
        <v>0</v>
      </c>
      <c r="E15" s="265">
        <f>E8+SUM(E10:E14)</f>
        <v>0</v>
      </c>
      <c r="F15" s="264">
        <f>F8+SUM(F10:F14)</f>
        <v>21954955</v>
      </c>
    </row>
    <row r="16" spans="1:6" ht="13.5" thickBot="1">
      <c r="A16" s="284"/>
      <c r="B16" s="285"/>
      <c r="C16" s="284"/>
      <c r="D16" s="284"/>
      <c r="E16" s="284"/>
      <c r="F16" s="284"/>
    </row>
    <row r="17" spans="1:6" ht="15.2" customHeight="1" thickBot="1">
      <c r="A17" s="283" t="s">
        <v>406</v>
      </c>
      <c r="B17" s="282" t="str">
        <f>B7</f>
        <v>2018.</v>
      </c>
      <c r="C17" s="281" t="str">
        <f>+C7</f>
        <v>2019.</v>
      </c>
      <c r="D17" s="281" t="str">
        <f>+D7</f>
        <v>2020.</v>
      </c>
      <c r="E17" s="281" t="str">
        <f>+E7</f>
        <v>2020. után</v>
      </c>
      <c r="F17" s="280" t="s">
        <v>405</v>
      </c>
    </row>
    <row r="18" spans="1:6">
      <c r="A18" s="279" t="s">
        <v>404</v>
      </c>
      <c r="B18" s="278"/>
      <c r="C18" s="277"/>
      <c r="D18" s="277"/>
      <c r="E18" s="277"/>
      <c r="F18" s="276">
        <f>SUM(C18:E18)</f>
        <v>0</v>
      </c>
    </row>
    <row r="19" spans="1:6">
      <c r="A19" s="275" t="s">
        <v>418</v>
      </c>
      <c r="B19" s="273"/>
      <c r="C19" s="272">
        <v>18847855</v>
      </c>
      <c r="D19" s="272"/>
      <c r="E19" s="272"/>
      <c r="F19" s="268">
        <f>SUM(C19:E19)</f>
        <v>18847855</v>
      </c>
    </row>
    <row r="20" spans="1:6">
      <c r="A20" s="274" t="s">
        <v>402</v>
      </c>
      <c r="B20" s="272">
        <v>381000</v>
      </c>
      <c r="C20" s="272">
        <v>1726100</v>
      </c>
      <c r="D20" s="272"/>
      <c r="E20" s="272"/>
      <c r="F20" s="268">
        <f>SUM(B20:E20)</f>
        <v>2107100</v>
      </c>
    </row>
    <row r="21" spans="1:6">
      <c r="A21" s="274" t="s">
        <v>401</v>
      </c>
      <c r="B21" s="273"/>
      <c r="C21" s="272"/>
      <c r="D21" s="272"/>
      <c r="E21" s="272"/>
      <c r="F21" s="268">
        <f>SUM(B21:E21)</f>
        <v>0</v>
      </c>
    </row>
    <row r="22" spans="1:6">
      <c r="A22" s="293" t="s">
        <v>417</v>
      </c>
      <c r="B22" s="292"/>
      <c r="C22" s="272">
        <v>1000000</v>
      </c>
      <c r="D22" s="272"/>
      <c r="E22" s="272"/>
      <c r="F22" s="268">
        <f>SUM(B22:E22)</f>
        <v>1000000</v>
      </c>
    </row>
    <row r="23" spans="1:6" ht="13.5" thickBot="1">
      <c r="A23" s="271"/>
      <c r="B23" s="270"/>
      <c r="C23" s="269"/>
      <c r="D23" s="269"/>
      <c r="E23" s="269"/>
      <c r="F23" s="268">
        <f>SUM(B23:E23)</f>
        <v>0</v>
      </c>
    </row>
    <row r="24" spans="1:6" ht="13.5" thickBot="1">
      <c r="A24" s="267" t="s">
        <v>398</v>
      </c>
      <c r="B24" s="265">
        <f>SUM(B18:B23)</f>
        <v>381000</v>
      </c>
      <c r="C24" s="265">
        <f>SUM(C18:C23)</f>
        <v>21573955</v>
      </c>
      <c r="D24" s="265">
        <f>SUM(D18:D23)</f>
        <v>0</v>
      </c>
      <c r="E24" s="265">
        <f>SUM(E18:E23)</f>
        <v>0</v>
      </c>
      <c r="F24" s="264">
        <f>SUM(F18:F23)</f>
        <v>21954955</v>
      </c>
    </row>
    <row r="25" spans="1:6">
      <c r="A25" s="262"/>
      <c r="B25" s="263"/>
      <c r="C25" s="262"/>
      <c r="D25" s="262"/>
      <c r="E25" s="262"/>
      <c r="F25" s="262"/>
    </row>
    <row r="26" spans="1:6" ht="15.75">
      <c r="A26" s="291" t="s">
        <v>416</v>
      </c>
      <c r="B26" s="290"/>
      <c r="C26" s="545" t="s">
        <v>423</v>
      </c>
      <c r="D26" s="545"/>
      <c r="E26" s="545"/>
      <c r="F26" s="545"/>
    </row>
    <row r="27" spans="1:6" ht="14.25" thickBot="1">
      <c r="A27" s="262"/>
      <c r="B27" s="263"/>
      <c r="C27" s="262"/>
      <c r="D27" s="262"/>
      <c r="E27" s="549" t="str">
        <f>E6</f>
        <v>Forintban!</v>
      </c>
      <c r="F27" s="549"/>
    </row>
    <row r="28" spans="1:6" ht="13.5" thickBot="1">
      <c r="A28" s="283" t="s">
        <v>414</v>
      </c>
      <c r="B28" s="282" t="str">
        <f>B7</f>
        <v>2018.</v>
      </c>
      <c r="C28" s="281" t="str">
        <f>+C17</f>
        <v>2019.</v>
      </c>
      <c r="D28" s="281" t="str">
        <f>+D17</f>
        <v>2020.</v>
      </c>
      <c r="E28" s="281" t="str">
        <f>+E17</f>
        <v>2020. után</v>
      </c>
      <c r="F28" s="280" t="s">
        <v>405</v>
      </c>
    </row>
    <row r="29" spans="1:6">
      <c r="A29" s="279" t="s">
        <v>413</v>
      </c>
      <c r="B29" s="278"/>
      <c r="C29" s="277">
        <v>4554856</v>
      </c>
      <c r="D29" s="277"/>
      <c r="E29" s="277"/>
      <c r="F29" s="276">
        <f t="shared" ref="F29:F35" si="0">SUM(C29:E29)</f>
        <v>4554856</v>
      </c>
    </row>
    <row r="30" spans="1:6">
      <c r="A30" s="289" t="s">
        <v>412</v>
      </c>
      <c r="B30" s="288"/>
      <c r="C30" s="287"/>
      <c r="D30" s="287"/>
      <c r="E30" s="287"/>
      <c r="F30" s="286">
        <f t="shared" si="0"/>
        <v>0</v>
      </c>
    </row>
    <row r="31" spans="1:6">
      <c r="A31" s="274" t="s">
        <v>411</v>
      </c>
      <c r="B31" s="273"/>
      <c r="C31" s="272">
        <v>86542262</v>
      </c>
      <c r="D31" s="272"/>
      <c r="E31" s="272"/>
      <c r="F31" s="268">
        <f t="shared" si="0"/>
        <v>86542262</v>
      </c>
    </row>
    <row r="32" spans="1:6">
      <c r="A32" s="274" t="s">
        <v>410</v>
      </c>
      <c r="B32" s="273"/>
      <c r="C32" s="272"/>
      <c r="D32" s="272"/>
      <c r="E32" s="272"/>
      <c r="F32" s="268">
        <f t="shared" si="0"/>
        <v>0</v>
      </c>
    </row>
    <row r="33" spans="1:9">
      <c r="A33" s="274" t="s">
        <v>409</v>
      </c>
      <c r="B33" s="273"/>
      <c r="C33" s="272"/>
      <c r="D33" s="272"/>
      <c r="E33" s="272"/>
      <c r="F33" s="268">
        <f t="shared" si="0"/>
        <v>0</v>
      </c>
    </row>
    <row r="34" spans="1:9">
      <c r="A34" s="274" t="s">
        <v>408</v>
      </c>
      <c r="B34" s="273"/>
      <c r="C34" s="272"/>
      <c r="D34" s="272"/>
      <c r="E34" s="272"/>
      <c r="F34" s="268">
        <f t="shared" si="0"/>
        <v>0</v>
      </c>
    </row>
    <row r="35" spans="1:9" ht="13.5" thickBot="1">
      <c r="A35" s="271"/>
      <c r="B35" s="270"/>
      <c r="C35" s="269"/>
      <c r="D35" s="269"/>
      <c r="E35" s="269"/>
      <c r="F35" s="268">
        <f t="shared" si="0"/>
        <v>0</v>
      </c>
    </row>
    <row r="36" spans="1:9" ht="13.5" thickBot="1">
      <c r="A36" s="267" t="s">
        <v>407</v>
      </c>
      <c r="B36" s="266"/>
      <c r="C36" s="265">
        <f>C29+SUM(C31:C35)</f>
        <v>91097118</v>
      </c>
      <c r="D36" s="265">
        <f>D29+SUM(D31:D35)</f>
        <v>0</v>
      </c>
      <c r="E36" s="265">
        <f>E29+SUM(E31:E35)</f>
        <v>0</v>
      </c>
      <c r="F36" s="264">
        <f>F29+SUM(F31:F35)</f>
        <v>91097118</v>
      </c>
    </row>
    <row r="37" spans="1:9" ht="13.5" thickBot="1">
      <c r="A37" s="284"/>
      <c r="B37" s="285"/>
      <c r="C37" s="284"/>
      <c r="D37" s="284"/>
      <c r="E37" s="284"/>
      <c r="F37" s="284"/>
    </row>
    <row r="38" spans="1:9" ht="13.5" thickBot="1">
      <c r="A38" s="283" t="s">
        <v>406</v>
      </c>
      <c r="B38" s="282" t="str">
        <f>B7</f>
        <v>2018.</v>
      </c>
      <c r="C38" s="281" t="str">
        <f>+C28</f>
        <v>2019.</v>
      </c>
      <c r="D38" s="281" t="str">
        <f>+D28</f>
        <v>2020.</v>
      </c>
      <c r="E38" s="281" t="str">
        <f>+E28</f>
        <v>2020. után</v>
      </c>
      <c r="F38" s="280" t="s">
        <v>405</v>
      </c>
    </row>
    <row r="39" spans="1:9">
      <c r="A39" s="279" t="s">
        <v>404</v>
      </c>
      <c r="B39" s="278"/>
      <c r="C39" s="277"/>
      <c r="D39" s="277"/>
      <c r="E39" s="277"/>
      <c r="F39" s="276">
        <f>SUM(C39:E39)</f>
        <v>0</v>
      </c>
    </row>
    <row r="40" spans="1:9">
      <c r="A40" s="275" t="s">
        <v>403</v>
      </c>
      <c r="B40" s="273"/>
      <c r="C40" s="272">
        <v>91097118</v>
      </c>
      <c r="D40" s="272"/>
      <c r="E40" s="272"/>
      <c r="F40" s="268">
        <f>SUM(C40:E40)</f>
        <v>91097118</v>
      </c>
    </row>
    <row r="41" spans="1:9">
      <c r="A41" s="274" t="s">
        <v>402</v>
      </c>
      <c r="B41" s="273"/>
      <c r="C41" s="272"/>
      <c r="D41" s="272"/>
      <c r="E41" s="272"/>
      <c r="F41" s="268">
        <f>SUM(C41:E41)</f>
        <v>0</v>
      </c>
    </row>
    <row r="42" spans="1:9">
      <c r="A42" s="274" t="s">
        <v>401</v>
      </c>
      <c r="B42" s="273"/>
      <c r="C42" s="272"/>
      <c r="D42" s="272"/>
      <c r="E42" s="272"/>
      <c r="F42" s="268">
        <f>SUM(C42:E42)</f>
        <v>0</v>
      </c>
    </row>
    <row r="43" spans="1:9" ht="13.5" thickBot="1">
      <c r="A43" s="271"/>
      <c r="B43" s="270"/>
      <c r="C43" s="269"/>
      <c r="D43" s="269"/>
      <c r="E43" s="269"/>
      <c r="F43" s="268">
        <f>SUM(C43:E43)</f>
        <v>0</v>
      </c>
    </row>
    <row r="44" spans="1:9" ht="13.5" thickBot="1">
      <c r="A44" s="267" t="s">
        <v>398</v>
      </c>
      <c r="B44" s="266"/>
      <c r="C44" s="265">
        <f>SUM(C39:C43)</f>
        <v>91097118</v>
      </c>
      <c r="D44" s="265">
        <f>SUM(D39:D43)</f>
        <v>0</v>
      </c>
      <c r="E44" s="265">
        <f>SUM(E39:E43)</f>
        <v>0</v>
      </c>
      <c r="F44" s="264">
        <f>SUM(F39:F43)</f>
        <v>91097118</v>
      </c>
    </row>
    <row r="45" spans="1:9">
      <c r="A45" s="262"/>
      <c r="B45" s="263"/>
      <c r="C45" s="262"/>
      <c r="D45" s="262"/>
      <c r="E45" s="262"/>
      <c r="F45" s="262"/>
    </row>
    <row r="46" spans="1:9" ht="14.25">
      <c r="A46" s="542" t="str">
        <f>+CONCATENATE("Önkormányzaton kívüli EU-s projektekhez történő hozzájárulás ",LEFT(KV_ÖSSZEFÜGGÉSEK!A5,4),". évi előirányzat")</f>
        <v>Önkormányzaton kívüli EU-s projektekhez történő hozzájárulás 2019. évi előirányzat</v>
      </c>
      <c r="B46" s="542"/>
      <c r="C46" s="542"/>
      <c r="D46" s="542"/>
      <c r="E46" s="542"/>
      <c r="F46" s="542"/>
    </row>
    <row r="47" spans="1:9" ht="13.5" thickBot="1">
      <c r="A47" s="262"/>
      <c r="B47" s="263"/>
      <c r="C47" s="262"/>
      <c r="D47" s="262"/>
      <c r="E47" s="262"/>
      <c r="F47" s="262"/>
    </row>
    <row r="48" spans="1:9" ht="13.5" thickBot="1">
      <c r="A48" s="560" t="s">
        <v>400</v>
      </c>
      <c r="B48" s="561"/>
      <c r="C48" s="561"/>
      <c r="D48" s="562"/>
      <c r="E48" s="563" t="s">
        <v>399</v>
      </c>
      <c r="F48" s="564"/>
      <c r="I48" s="301"/>
    </row>
    <row r="49" spans="1:6">
      <c r="A49" s="565"/>
      <c r="B49" s="566"/>
      <c r="C49" s="566"/>
      <c r="D49" s="567"/>
      <c r="E49" s="568"/>
      <c r="F49" s="569"/>
    </row>
    <row r="50" spans="1:6" ht="13.5" thickBot="1">
      <c r="A50" s="550"/>
      <c r="B50" s="551"/>
      <c r="C50" s="551"/>
      <c r="D50" s="552"/>
      <c r="E50" s="553"/>
      <c r="F50" s="554"/>
    </row>
    <row r="51" spans="1:6" ht="13.5" thickBot="1">
      <c r="A51" s="555" t="s">
        <v>398</v>
      </c>
      <c r="B51" s="556"/>
      <c r="C51" s="556"/>
      <c r="D51" s="557"/>
      <c r="E51" s="558">
        <f>SUM(E49:F50)</f>
        <v>0</v>
      </c>
      <c r="F51" s="559"/>
    </row>
    <row r="52" spans="1:6">
      <c r="A52" s="260"/>
      <c r="B52" s="261"/>
      <c r="C52" s="260"/>
      <c r="D52" s="260"/>
      <c r="E52" s="260"/>
      <c r="F52" s="260"/>
    </row>
    <row r="53" spans="1:6" ht="15">
      <c r="A53" s="543" t="s">
        <v>540</v>
      </c>
      <c r="B53" s="543"/>
      <c r="C53" s="544"/>
      <c r="D53" s="544"/>
      <c r="E53" s="544"/>
      <c r="F53" s="544"/>
    </row>
    <row r="54" spans="1:6" ht="15">
      <c r="A54" s="300"/>
      <c r="B54" s="299"/>
      <c r="C54" s="298"/>
      <c r="D54" s="298"/>
      <c r="E54" s="298"/>
      <c r="F54" s="298"/>
    </row>
    <row r="55" spans="1:6" ht="13.5" customHeight="1">
      <c r="A55" s="547" t="s">
        <v>422</v>
      </c>
      <c r="B55" s="547"/>
      <c r="C55" s="548"/>
      <c r="D55" s="548"/>
      <c r="E55" s="548"/>
      <c r="F55" s="548"/>
    </row>
    <row r="56" spans="1:6" ht="13.5" customHeight="1">
      <c r="A56" s="547" t="s">
        <v>421</v>
      </c>
      <c r="B56" s="547"/>
      <c r="C56" s="547"/>
      <c r="D56" s="547"/>
      <c r="E56" s="547"/>
      <c r="F56" s="547"/>
    </row>
    <row r="57" spans="1:6" ht="13.5" customHeight="1">
      <c r="A57" s="291" t="s">
        <v>416</v>
      </c>
      <c r="B57" s="290"/>
      <c r="C57" s="545" t="s">
        <v>420</v>
      </c>
      <c r="D57" s="545"/>
      <c r="E57" s="545"/>
      <c r="F57" s="545"/>
    </row>
    <row r="58" spans="1:6" ht="13.5" customHeight="1" thickBot="1">
      <c r="A58" s="260"/>
      <c r="B58" s="261"/>
      <c r="C58" s="260"/>
      <c r="D58" s="260"/>
      <c r="E58" s="546" t="str">
        <f>KV_7.sz.mell.!B5</f>
        <v>Forintban!</v>
      </c>
      <c r="F58" s="546"/>
    </row>
    <row r="59" spans="1:6" ht="13.5" thickBot="1">
      <c r="A59" s="297" t="s">
        <v>414</v>
      </c>
      <c r="B59" s="296" t="str">
        <f>B7</f>
        <v>2018.</v>
      </c>
      <c r="C59" s="295" t="str">
        <f>CONCATENATE((LEFT(KV_ÖSSZEFÜGGÉSEK!A5,4)),".")</f>
        <v>2019.</v>
      </c>
      <c r="D59" s="295" t="str">
        <f>CONCATENATE((LEFT(KV_ÖSSZEFÜGGÉSEK!A5,4))+1,".")</f>
        <v>2020.</v>
      </c>
      <c r="E59" s="295" t="str">
        <f>CONCATENATE((LEFT(KV_ÖSSZEFÜGGÉSEK!A5,4))+1,". után")</f>
        <v>2020. után</v>
      </c>
      <c r="F59" s="294" t="s">
        <v>405</v>
      </c>
    </row>
    <row r="60" spans="1:6">
      <c r="A60" s="279" t="s">
        <v>413</v>
      </c>
      <c r="B60" s="278"/>
      <c r="C60" s="277"/>
      <c r="D60" s="277"/>
      <c r="E60" s="277"/>
      <c r="F60" s="276">
        <f t="shared" ref="F60:F66" si="1">SUM(C60:E60)</f>
        <v>0</v>
      </c>
    </row>
    <row r="61" spans="1:6">
      <c r="A61" s="289" t="s">
        <v>412</v>
      </c>
      <c r="B61" s="288"/>
      <c r="C61" s="287"/>
      <c r="D61" s="287"/>
      <c r="E61" s="287"/>
      <c r="F61" s="286">
        <f t="shared" si="1"/>
        <v>0</v>
      </c>
    </row>
    <row r="62" spans="1:6">
      <c r="A62" s="274" t="s">
        <v>411</v>
      </c>
      <c r="B62" s="273"/>
      <c r="C62" s="272">
        <v>4258040</v>
      </c>
      <c r="D62" s="272"/>
      <c r="E62" s="272"/>
      <c r="F62" s="268">
        <f t="shared" si="1"/>
        <v>4258040</v>
      </c>
    </row>
    <row r="63" spans="1:6">
      <c r="A63" s="274" t="s">
        <v>410</v>
      </c>
      <c r="B63" s="273"/>
      <c r="C63" s="272"/>
      <c r="D63" s="272"/>
      <c r="E63" s="272"/>
      <c r="F63" s="268">
        <f t="shared" si="1"/>
        <v>0</v>
      </c>
    </row>
    <row r="64" spans="1:6">
      <c r="A64" s="274" t="s">
        <v>409</v>
      </c>
      <c r="B64" s="273"/>
      <c r="C64" s="272"/>
      <c r="D64" s="272"/>
      <c r="E64" s="272"/>
      <c r="F64" s="268">
        <f t="shared" si="1"/>
        <v>0</v>
      </c>
    </row>
    <row r="65" spans="1:6">
      <c r="A65" s="274" t="s">
        <v>419</v>
      </c>
      <c r="B65" s="273"/>
      <c r="C65" s="272">
        <v>223237</v>
      </c>
      <c r="D65" s="272"/>
      <c r="E65" s="272"/>
      <c r="F65" s="268">
        <f t="shared" si="1"/>
        <v>223237</v>
      </c>
    </row>
    <row r="66" spans="1:6" ht="13.5" thickBot="1">
      <c r="A66" s="271"/>
      <c r="B66" s="270"/>
      <c r="C66" s="269"/>
      <c r="D66" s="269"/>
      <c r="E66" s="269"/>
      <c r="F66" s="268">
        <f t="shared" si="1"/>
        <v>0</v>
      </c>
    </row>
    <row r="67" spans="1:6" ht="13.5" thickBot="1">
      <c r="A67" s="267" t="s">
        <v>407</v>
      </c>
      <c r="B67" s="266"/>
      <c r="C67" s="265">
        <f>C60+SUM(C62:C66)</f>
        <v>4481277</v>
      </c>
      <c r="D67" s="265">
        <f>D60+SUM(D62:D66)</f>
        <v>0</v>
      </c>
      <c r="E67" s="265">
        <f>E60+SUM(E62:E66)</f>
        <v>0</v>
      </c>
      <c r="F67" s="264">
        <f>F60+SUM(F62:F66)</f>
        <v>4481277</v>
      </c>
    </row>
    <row r="68" spans="1:6" ht="13.5" thickBot="1">
      <c r="A68" s="284"/>
      <c r="B68" s="285"/>
      <c r="C68" s="284"/>
      <c r="D68" s="284"/>
      <c r="E68" s="284"/>
      <c r="F68" s="284"/>
    </row>
    <row r="69" spans="1:6" ht="13.5" thickBot="1">
      <c r="A69" s="283" t="s">
        <v>406</v>
      </c>
      <c r="B69" s="282" t="str">
        <f>B7</f>
        <v>2018.</v>
      </c>
      <c r="C69" s="281" t="str">
        <f>+C59</f>
        <v>2019.</v>
      </c>
      <c r="D69" s="281" t="str">
        <f>+D59</f>
        <v>2020.</v>
      </c>
      <c r="E69" s="281" t="str">
        <f>+E59</f>
        <v>2020. után</v>
      </c>
      <c r="F69" s="280" t="s">
        <v>405</v>
      </c>
    </row>
    <row r="70" spans="1:6">
      <c r="A70" s="279" t="s">
        <v>404</v>
      </c>
      <c r="B70" s="278"/>
      <c r="C70" s="277"/>
      <c r="D70" s="277"/>
      <c r="E70" s="277"/>
      <c r="F70" s="276">
        <f t="shared" ref="F70:F75" si="2">SUM(C70:E70)</f>
        <v>0</v>
      </c>
    </row>
    <row r="71" spans="1:6">
      <c r="A71" s="275" t="s">
        <v>418</v>
      </c>
      <c r="B71" s="273"/>
      <c r="C71" s="272"/>
      <c r="D71" s="272"/>
      <c r="E71" s="272"/>
      <c r="F71" s="268">
        <f t="shared" si="2"/>
        <v>0</v>
      </c>
    </row>
    <row r="72" spans="1:6">
      <c r="A72" s="274" t="s">
        <v>402</v>
      </c>
      <c r="B72" s="273"/>
      <c r="C72" s="272">
        <v>4481277</v>
      </c>
      <c r="D72" s="272"/>
      <c r="E72" s="272"/>
      <c r="F72" s="268">
        <f t="shared" si="2"/>
        <v>4481277</v>
      </c>
    </row>
    <row r="73" spans="1:6">
      <c r="A73" s="274" t="s">
        <v>401</v>
      </c>
      <c r="B73" s="273"/>
      <c r="C73" s="272"/>
      <c r="D73" s="272"/>
      <c r="E73" s="272"/>
      <c r="F73" s="268">
        <f t="shared" si="2"/>
        <v>0</v>
      </c>
    </row>
    <row r="74" spans="1:6">
      <c r="A74" s="293" t="s">
        <v>417</v>
      </c>
      <c r="B74" s="292"/>
      <c r="C74" s="272"/>
      <c r="D74" s="272"/>
      <c r="E74" s="272"/>
      <c r="F74" s="268">
        <f t="shared" si="2"/>
        <v>0</v>
      </c>
    </row>
    <row r="75" spans="1:6" ht="13.5" thickBot="1">
      <c r="A75" s="271"/>
      <c r="B75" s="270"/>
      <c r="C75" s="269"/>
      <c r="D75" s="269"/>
      <c r="E75" s="269"/>
      <c r="F75" s="268">
        <f t="shared" si="2"/>
        <v>0</v>
      </c>
    </row>
    <row r="76" spans="1:6" ht="13.5" thickBot="1">
      <c r="A76" s="267" t="s">
        <v>398</v>
      </c>
      <c r="B76" s="266"/>
      <c r="C76" s="265">
        <f>SUM(C70:C75)</f>
        <v>4481277</v>
      </c>
      <c r="D76" s="265">
        <f>SUM(D70:D75)</f>
        <v>0</v>
      </c>
      <c r="E76" s="265">
        <f>SUM(E70:E75)</f>
        <v>0</v>
      </c>
      <c r="F76" s="264">
        <f>SUM(F70:F75)</f>
        <v>4481277</v>
      </c>
    </row>
    <row r="77" spans="1:6">
      <c r="A77" s="262"/>
      <c r="B77" s="263"/>
      <c r="C77" s="262"/>
      <c r="D77" s="262"/>
      <c r="E77" s="262"/>
      <c r="F77" s="262"/>
    </row>
    <row r="78" spans="1:6" ht="15.75">
      <c r="A78" s="291" t="s">
        <v>416</v>
      </c>
      <c r="B78" s="290"/>
      <c r="C78" s="545" t="s">
        <v>415</v>
      </c>
      <c r="D78" s="545"/>
      <c r="E78" s="545"/>
      <c r="F78" s="545"/>
    </row>
    <row r="79" spans="1:6" ht="14.25" thickBot="1">
      <c r="A79" s="262"/>
      <c r="B79" s="263"/>
      <c r="C79" s="262"/>
      <c r="D79" s="262"/>
      <c r="E79" s="549" t="str">
        <f>E58</f>
        <v>Forintban!</v>
      </c>
      <c r="F79" s="549"/>
    </row>
    <row r="80" spans="1:6" ht="13.5" thickBot="1">
      <c r="A80" s="283" t="s">
        <v>414</v>
      </c>
      <c r="B80" s="282" t="str">
        <f>B7</f>
        <v>2018.</v>
      </c>
      <c r="C80" s="281" t="str">
        <f>+C69</f>
        <v>2019.</v>
      </c>
      <c r="D80" s="281" t="str">
        <f>+D69</f>
        <v>2020.</v>
      </c>
      <c r="E80" s="281" t="str">
        <f>+E69</f>
        <v>2020. után</v>
      </c>
      <c r="F80" s="280" t="s">
        <v>405</v>
      </c>
    </row>
    <row r="81" spans="1:6">
      <c r="A81" s="279" t="s">
        <v>413</v>
      </c>
      <c r="B81" s="278"/>
      <c r="C81" s="277"/>
      <c r="D81" s="277"/>
      <c r="E81" s="277"/>
      <c r="F81" s="276">
        <f t="shared" ref="F81:F87" si="3">SUM(C81:E81)</f>
        <v>0</v>
      </c>
    </row>
    <row r="82" spans="1:6">
      <c r="A82" s="289" t="s">
        <v>412</v>
      </c>
      <c r="B82" s="288"/>
      <c r="C82" s="287"/>
      <c r="D82" s="287"/>
      <c r="E82" s="287"/>
      <c r="F82" s="286">
        <f t="shared" si="3"/>
        <v>0</v>
      </c>
    </row>
    <row r="83" spans="1:6">
      <c r="A83" s="274" t="s">
        <v>411</v>
      </c>
      <c r="B83" s="273"/>
      <c r="C83" s="272">
        <v>2514200</v>
      </c>
      <c r="D83" s="272"/>
      <c r="E83" s="272"/>
      <c r="F83" s="268">
        <f t="shared" si="3"/>
        <v>2514200</v>
      </c>
    </row>
    <row r="84" spans="1:6">
      <c r="A84" s="274" t="s">
        <v>410</v>
      </c>
      <c r="B84" s="273"/>
      <c r="C84" s="272"/>
      <c r="D84" s="272"/>
      <c r="E84" s="272"/>
      <c r="F84" s="268">
        <f t="shared" si="3"/>
        <v>0</v>
      </c>
    </row>
    <row r="85" spans="1:6">
      <c r="A85" s="274" t="s">
        <v>409</v>
      </c>
      <c r="B85" s="273"/>
      <c r="C85" s="272"/>
      <c r="D85" s="272"/>
      <c r="E85" s="272"/>
      <c r="F85" s="268">
        <f t="shared" si="3"/>
        <v>0</v>
      </c>
    </row>
    <row r="86" spans="1:6">
      <c r="A86" s="274" t="s">
        <v>408</v>
      </c>
      <c r="B86" s="273"/>
      <c r="C86" s="272">
        <v>1879600</v>
      </c>
      <c r="D86" s="272"/>
      <c r="E86" s="272"/>
      <c r="F86" s="268">
        <f t="shared" si="3"/>
        <v>1879600</v>
      </c>
    </row>
    <row r="87" spans="1:6" ht="13.5" thickBot="1">
      <c r="A87" s="271"/>
      <c r="B87" s="270"/>
      <c r="C87" s="269"/>
      <c r="D87" s="269"/>
      <c r="E87" s="269"/>
      <c r="F87" s="268">
        <f t="shared" si="3"/>
        <v>0</v>
      </c>
    </row>
    <row r="88" spans="1:6" ht="13.5" thickBot="1">
      <c r="A88" s="267" t="s">
        <v>407</v>
      </c>
      <c r="B88" s="266"/>
      <c r="C88" s="265">
        <f>C81+SUM(C83:C87)</f>
        <v>4393800</v>
      </c>
      <c r="D88" s="265">
        <f>D81+SUM(D83:D87)</f>
        <v>0</v>
      </c>
      <c r="E88" s="265">
        <f>E81+SUM(E83:E87)</f>
        <v>0</v>
      </c>
      <c r="F88" s="264">
        <f>F81+SUM(F83:F87)</f>
        <v>4393800</v>
      </c>
    </row>
    <row r="89" spans="1:6" ht="13.5" thickBot="1">
      <c r="A89" s="284"/>
      <c r="B89" s="285"/>
      <c r="C89" s="284"/>
      <c r="D89" s="284"/>
      <c r="E89" s="284"/>
      <c r="F89" s="284"/>
    </row>
    <row r="90" spans="1:6" ht="13.5" thickBot="1">
      <c r="A90" s="283" t="s">
        <v>406</v>
      </c>
      <c r="B90" s="282" t="str">
        <f>B7</f>
        <v>2018.</v>
      </c>
      <c r="C90" s="281" t="str">
        <f>+C80</f>
        <v>2019.</v>
      </c>
      <c r="D90" s="281" t="str">
        <f>+D80</f>
        <v>2020.</v>
      </c>
      <c r="E90" s="281" t="str">
        <f>+E80</f>
        <v>2020. után</v>
      </c>
      <c r="F90" s="280" t="s">
        <v>405</v>
      </c>
    </row>
    <row r="91" spans="1:6">
      <c r="A91" s="279" t="s">
        <v>404</v>
      </c>
      <c r="B91" s="278"/>
      <c r="C91" s="277"/>
      <c r="D91" s="277"/>
      <c r="E91" s="277"/>
      <c r="F91" s="276">
        <f>SUM(C91:E91)</f>
        <v>0</v>
      </c>
    </row>
    <row r="92" spans="1:6">
      <c r="A92" s="275" t="s">
        <v>403</v>
      </c>
      <c r="B92" s="273"/>
      <c r="C92" s="272"/>
      <c r="D92" s="272"/>
      <c r="E92" s="272"/>
      <c r="F92" s="268">
        <f>SUM(C92:E92)</f>
        <v>0</v>
      </c>
    </row>
    <row r="93" spans="1:6">
      <c r="A93" s="274" t="s">
        <v>402</v>
      </c>
      <c r="B93" s="273"/>
      <c r="C93" s="272">
        <v>4393800</v>
      </c>
      <c r="D93" s="272"/>
      <c r="E93" s="272"/>
      <c r="F93" s="268">
        <f>SUM(C93:E93)</f>
        <v>4393800</v>
      </c>
    </row>
    <row r="94" spans="1:6">
      <c r="A94" s="274" t="s">
        <v>401</v>
      </c>
      <c r="B94" s="273"/>
      <c r="C94" s="272"/>
      <c r="D94" s="272"/>
      <c r="E94" s="272"/>
      <c r="F94" s="268">
        <f>SUM(C94:E94)</f>
        <v>0</v>
      </c>
    </row>
    <row r="95" spans="1:6" ht="13.5" thickBot="1">
      <c r="A95" s="271"/>
      <c r="B95" s="270"/>
      <c r="C95" s="269"/>
      <c r="D95" s="269"/>
      <c r="E95" s="269"/>
      <c r="F95" s="268">
        <f>SUM(C95:E95)</f>
        <v>0</v>
      </c>
    </row>
    <row r="96" spans="1:6" ht="13.5" thickBot="1">
      <c r="A96" s="267" t="s">
        <v>398</v>
      </c>
      <c r="B96" s="266"/>
      <c r="C96" s="265">
        <f>SUM(C91:C95)</f>
        <v>4393800</v>
      </c>
      <c r="D96" s="265">
        <f>SUM(D91:D95)</f>
        <v>0</v>
      </c>
      <c r="E96" s="265">
        <f>SUM(E91:E95)</f>
        <v>0</v>
      </c>
      <c r="F96" s="264">
        <f>SUM(F91:F95)</f>
        <v>4393800</v>
      </c>
    </row>
    <row r="97" spans="1:6">
      <c r="A97" s="262"/>
      <c r="B97" s="263"/>
      <c r="C97" s="262"/>
      <c r="D97" s="262"/>
      <c r="E97" s="262"/>
      <c r="F97" s="262"/>
    </row>
    <row r="98" spans="1:6" ht="14.25">
      <c r="A98" s="542" t="str">
        <f>+CONCATENATE("Önkormányzaton kívüli EU-s projektekhez történő hozzájárulás ",LEFT(KV_ÖSSZEFÜGGÉSEK!A57,4),". évi előirányzat")</f>
        <v>Önkormányzaton kívüli EU-s projektekhez történő hozzájárulás . évi előirányzat</v>
      </c>
      <c r="B98" s="542"/>
      <c r="C98" s="542"/>
      <c r="D98" s="542"/>
      <c r="E98" s="542"/>
      <c r="F98" s="542"/>
    </row>
    <row r="99" spans="1:6" ht="13.5" thickBot="1">
      <c r="A99" s="262"/>
      <c r="B99" s="263"/>
      <c r="C99" s="262"/>
      <c r="D99" s="262"/>
      <c r="E99" s="262"/>
      <c r="F99" s="262"/>
    </row>
    <row r="100" spans="1:6" ht="13.5" thickBot="1">
      <c r="A100" s="560" t="s">
        <v>400</v>
      </c>
      <c r="B100" s="561"/>
      <c r="C100" s="561"/>
      <c r="D100" s="562"/>
      <c r="E100" s="563" t="s">
        <v>399</v>
      </c>
      <c r="F100" s="564"/>
    </row>
    <row r="101" spans="1:6">
      <c r="A101" s="565"/>
      <c r="B101" s="566"/>
      <c r="C101" s="566"/>
      <c r="D101" s="567"/>
      <c r="E101" s="568"/>
      <c r="F101" s="569"/>
    </row>
    <row r="102" spans="1:6" ht="13.5" thickBot="1">
      <c r="A102" s="550"/>
      <c r="B102" s="551"/>
      <c r="C102" s="551"/>
      <c r="D102" s="552"/>
      <c r="E102" s="553"/>
      <c r="F102" s="554"/>
    </row>
    <row r="103" spans="1:6" ht="13.5" thickBot="1">
      <c r="A103" s="555" t="s">
        <v>398</v>
      </c>
      <c r="B103" s="556"/>
      <c r="C103" s="556"/>
      <c r="D103" s="557"/>
      <c r="E103" s="558">
        <f>SUM(E101:F102)</f>
        <v>0</v>
      </c>
      <c r="F103" s="559"/>
    </row>
    <row r="104" spans="1:6">
      <c r="A104" s="260"/>
      <c r="B104" s="261"/>
      <c r="C104" s="260"/>
      <c r="D104" s="260"/>
      <c r="E104" s="260"/>
      <c r="F104" s="260"/>
    </row>
    <row r="105" spans="1:6">
      <c r="A105" s="260"/>
      <c r="B105" s="261"/>
      <c r="C105" s="260"/>
      <c r="D105" s="260"/>
      <c r="E105" s="260"/>
      <c r="F105" s="260"/>
    </row>
    <row r="106" spans="1:6">
      <c r="A106" s="260"/>
      <c r="B106" s="261"/>
      <c r="C106" s="260"/>
      <c r="D106" s="260"/>
      <c r="E106" s="260"/>
      <c r="F106" s="260"/>
    </row>
    <row r="107" spans="1:6">
      <c r="A107" s="260"/>
      <c r="B107" s="261"/>
      <c r="C107" s="260"/>
      <c r="D107" s="260"/>
      <c r="E107" s="260"/>
      <c r="F107" s="260"/>
    </row>
    <row r="108" spans="1:6">
      <c r="A108" s="260"/>
      <c r="B108" s="261"/>
      <c r="C108" s="260"/>
      <c r="D108" s="260"/>
      <c r="E108" s="260"/>
      <c r="F108" s="260"/>
    </row>
    <row r="109" spans="1:6">
      <c r="A109" s="260"/>
      <c r="B109" s="261"/>
      <c r="C109" s="260"/>
      <c r="D109" s="260"/>
      <c r="E109" s="260"/>
      <c r="F109" s="260"/>
    </row>
    <row r="110" spans="1:6">
      <c r="A110" s="260"/>
      <c r="B110" s="261"/>
      <c r="C110" s="260"/>
      <c r="D110" s="260"/>
      <c r="E110" s="260"/>
      <c r="F110" s="260"/>
    </row>
    <row r="111" spans="1:6">
      <c r="A111" s="260"/>
      <c r="B111" s="261"/>
      <c r="C111" s="260"/>
      <c r="D111" s="260"/>
      <c r="E111" s="260"/>
      <c r="F111" s="260"/>
    </row>
    <row r="112" spans="1:6">
      <c r="A112" s="260"/>
      <c r="B112" s="261"/>
      <c r="C112" s="260"/>
      <c r="D112" s="260"/>
      <c r="E112" s="260"/>
      <c r="F112" s="260"/>
    </row>
    <row r="113" spans="1:6">
      <c r="A113" s="260"/>
      <c r="B113" s="261"/>
      <c r="C113" s="260"/>
      <c r="D113" s="260"/>
      <c r="E113" s="260"/>
      <c r="F113" s="260"/>
    </row>
    <row r="114" spans="1:6">
      <c r="A114" s="260"/>
      <c r="B114" s="261"/>
      <c r="C114" s="260"/>
      <c r="D114" s="260"/>
      <c r="E114" s="260"/>
      <c r="F114" s="260"/>
    </row>
    <row r="115" spans="1:6">
      <c r="A115" s="260"/>
      <c r="B115" s="261"/>
      <c r="C115" s="260"/>
      <c r="D115" s="260"/>
      <c r="E115" s="260"/>
      <c r="F115" s="260"/>
    </row>
    <row r="116" spans="1:6">
      <c r="A116" s="260"/>
      <c r="B116" s="261"/>
      <c r="C116" s="260"/>
      <c r="D116" s="260"/>
      <c r="E116" s="260"/>
      <c r="F116" s="260"/>
    </row>
    <row r="117" spans="1:6">
      <c r="A117" s="260"/>
      <c r="B117" s="261"/>
      <c r="C117" s="260"/>
      <c r="D117" s="260"/>
      <c r="E117" s="260"/>
      <c r="F117" s="260"/>
    </row>
    <row r="118" spans="1:6">
      <c r="A118" s="260"/>
      <c r="B118" s="261"/>
      <c r="C118" s="260"/>
      <c r="D118" s="260"/>
      <c r="E118" s="260"/>
      <c r="F118" s="260"/>
    </row>
    <row r="119" spans="1:6">
      <c r="A119" s="260"/>
      <c r="B119" s="261"/>
      <c r="C119" s="260"/>
      <c r="D119" s="260"/>
      <c r="E119" s="260"/>
      <c r="F119" s="260"/>
    </row>
    <row r="120" spans="1:6">
      <c r="A120" s="260"/>
      <c r="B120" s="261"/>
      <c r="C120" s="260"/>
      <c r="D120" s="260"/>
      <c r="E120" s="260"/>
      <c r="F120" s="260"/>
    </row>
    <row r="121" spans="1:6">
      <c r="A121" s="260"/>
      <c r="B121" s="261"/>
      <c r="C121" s="260"/>
      <c r="D121" s="260"/>
      <c r="E121" s="260"/>
      <c r="F121" s="260"/>
    </row>
    <row r="122" spans="1:6">
      <c r="A122" s="260"/>
      <c r="B122" s="261"/>
      <c r="C122" s="260"/>
      <c r="D122" s="260"/>
      <c r="E122" s="260"/>
      <c r="F122" s="260"/>
    </row>
    <row r="123" spans="1:6">
      <c r="A123" s="260"/>
      <c r="B123" s="261"/>
      <c r="C123" s="260"/>
      <c r="D123" s="260"/>
      <c r="E123" s="260"/>
      <c r="F123" s="260"/>
    </row>
    <row r="124" spans="1:6">
      <c r="A124" s="260"/>
      <c r="B124" s="261"/>
      <c r="C124" s="260"/>
      <c r="D124" s="260"/>
      <c r="E124" s="260"/>
      <c r="F124" s="260"/>
    </row>
    <row r="125" spans="1:6">
      <c r="A125" s="260"/>
      <c r="B125" s="261"/>
      <c r="C125" s="260"/>
      <c r="D125" s="260"/>
      <c r="E125" s="260"/>
      <c r="F125" s="260"/>
    </row>
    <row r="126" spans="1:6">
      <c r="A126" s="260"/>
      <c r="B126" s="261"/>
      <c r="C126" s="260"/>
      <c r="D126" s="260"/>
      <c r="E126" s="260"/>
      <c r="F126" s="260"/>
    </row>
    <row r="127" spans="1:6">
      <c r="A127" s="260"/>
      <c r="B127" s="261"/>
      <c r="C127" s="260"/>
      <c r="D127" s="260"/>
      <c r="E127" s="260"/>
      <c r="F127" s="260"/>
    </row>
    <row r="128" spans="1:6">
      <c r="A128" s="260"/>
      <c r="B128" s="261"/>
      <c r="C128" s="260"/>
      <c r="D128" s="260"/>
      <c r="E128" s="260"/>
      <c r="F128" s="260"/>
    </row>
    <row r="129" spans="1:6">
      <c r="A129" s="260"/>
      <c r="B129" s="261"/>
      <c r="C129" s="260"/>
      <c r="D129" s="260"/>
      <c r="E129" s="260"/>
      <c r="F129" s="260"/>
    </row>
    <row r="130" spans="1:6">
      <c r="A130" s="260"/>
      <c r="B130" s="261"/>
      <c r="C130" s="260"/>
      <c r="D130" s="260"/>
      <c r="E130" s="260"/>
      <c r="F130" s="260"/>
    </row>
    <row r="131" spans="1:6">
      <c r="A131" s="260"/>
      <c r="B131" s="261"/>
      <c r="C131" s="260"/>
      <c r="D131" s="260"/>
      <c r="E131" s="260"/>
      <c r="F131" s="260"/>
    </row>
    <row r="132" spans="1:6">
      <c r="A132" s="260"/>
      <c r="B132" s="261"/>
      <c r="C132" s="260"/>
      <c r="D132" s="260"/>
      <c r="E132" s="260"/>
      <c r="F132" s="260"/>
    </row>
    <row r="133" spans="1:6">
      <c r="A133" s="260"/>
      <c r="B133" s="261"/>
      <c r="C133" s="260"/>
      <c r="D133" s="260"/>
      <c r="E133" s="260"/>
      <c r="F133" s="260"/>
    </row>
    <row r="134" spans="1:6">
      <c r="A134" s="260"/>
      <c r="B134" s="261"/>
      <c r="C134" s="260"/>
      <c r="D134" s="260"/>
      <c r="E134" s="260"/>
      <c r="F134" s="260"/>
    </row>
    <row r="135" spans="1:6">
      <c r="A135" s="260"/>
      <c r="B135" s="261"/>
      <c r="C135" s="260"/>
      <c r="D135" s="260"/>
      <c r="E135" s="260"/>
      <c r="F135" s="260"/>
    </row>
    <row r="136" spans="1:6">
      <c r="A136" s="260"/>
      <c r="B136" s="261"/>
      <c r="C136" s="260"/>
      <c r="D136" s="260"/>
      <c r="E136" s="260"/>
      <c r="F136" s="260"/>
    </row>
    <row r="137" spans="1:6">
      <c r="A137" s="260"/>
      <c r="B137" s="261"/>
      <c r="C137" s="260"/>
      <c r="D137" s="260"/>
      <c r="E137" s="260"/>
      <c r="F137" s="260"/>
    </row>
    <row r="138" spans="1:6">
      <c r="A138" s="260"/>
      <c r="B138" s="261"/>
      <c r="C138" s="260"/>
      <c r="D138" s="260"/>
      <c r="E138" s="260"/>
      <c r="F138" s="260"/>
    </row>
    <row r="139" spans="1:6">
      <c r="A139" s="260"/>
      <c r="B139" s="261"/>
      <c r="C139" s="260"/>
      <c r="D139" s="260"/>
      <c r="E139" s="260"/>
      <c r="F139" s="260"/>
    </row>
    <row r="140" spans="1:6">
      <c r="A140" s="260"/>
      <c r="B140" s="261"/>
      <c r="C140" s="260"/>
      <c r="D140" s="260"/>
      <c r="E140" s="260"/>
      <c r="F140" s="260"/>
    </row>
    <row r="141" spans="1:6">
      <c r="A141" s="260"/>
      <c r="B141" s="261"/>
      <c r="C141" s="260"/>
      <c r="D141" s="260"/>
      <c r="E141" s="260"/>
      <c r="F141" s="260"/>
    </row>
    <row r="142" spans="1:6">
      <c r="A142" s="260"/>
      <c r="B142" s="261"/>
      <c r="C142" s="260"/>
      <c r="D142" s="260"/>
      <c r="E142" s="260"/>
      <c r="F142" s="260"/>
    </row>
    <row r="143" spans="1:6">
      <c r="A143" s="260"/>
      <c r="B143" s="261"/>
      <c r="C143" s="260"/>
      <c r="D143" s="260"/>
      <c r="E143" s="260"/>
      <c r="F143" s="260"/>
    </row>
    <row r="144" spans="1:6">
      <c r="A144" s="260"/>
      <c r="B144" s="261"/>
      <c r="C144" s="260"/>
      <c r="D144" s="260"/>
      <c r="E144" s="260"/>
      <c r="F144" s="260"/>
    </row>
    <row r="145" spans="1:6">
      <c r="A145" s="260"/>
      <c r="B145" s="261"/>
      <c r="C145" s="260"/>
      <c r="D145" s="260"/>
      <c r="E145" s="260"/>
      <c r="F145" s="260"/>
    </row>
    <row r="146" spans="1:6">
      <c r="A146" s="260"/>
      <c r="B146" s="261"/>
      <c r="C146" s="260"/>
      <c r="D146" s="260"/>
      <c r="E146" s="260"/>
      <c r="F146" s="260"/>
    </row>
    <row r="147" spans="1:6">
      <c r="A147" s="260"/>
      <c r="B147" s="261"/>
      <c r="C147" s="260"/>
      <c r="D147" s="260"/>
      <c r="E147" s="260"/>
      <c r="F147" s="260"/>
    </row>
    <row r="148" spans="1:6">
      <c r="A148" s="260"/>
      <c r="B148" s="261"/>
      <c r="C148" s="260"/>
      <c r="D148" s="260"/>
      <c r="E148" s="260"/>
      <c r="F148" s="260"/>
    </row>
    <row r="149" spans="1:6">
      <c r="A149" s="260"/>
      <c r="B149" s="261"/>
      <c r="C149" s="260"/>
      <c r="D149" s="260"/>
      <c r="E149" s="260"/>
      <c r="F149" s="260"/>
    </row>
    <row r="150" spans="1:6">
      <c r="A150" s="260"/>
      <c r="B150" s="261"/>
      <c r="C150" s="260"/>
      <c r="D150" s="260"/>
      <c r="E150" s="260"/>
      <c r="F150" s="260"/>
    </row>
    <row r="151" spans="1:6">
      <c r="A151" s="260"/>
      <c r="B151" s="261"/>
      <c r="C151" s="260"/>
      <c r="D151" s="260"/>
      <c r="E151" s="260"/>
      <c r="F151" s="260"/>
    </row>
    <row r="152" spans="1:6">
      <c r="A152" s="260"/>
      <c r="B152" s="261"/>
      <c r="C152" s="260"/>
      <c r="D152" s="260"/>
      <c r="E152" s="260"/>
      <c r="F152" s="260"/>
    </row>
    <row r="153" spans="1:6">
      <c r="A153" s="260"/>
      <c r="B153" s="261"/>
      <c r="C153" s="260"/>
      <c r="D153" s="260"/>
      <c r="E153" s="260"/>
      <c r="F153" s="260"/>
    </row>
    <row r="154" spans="1:6">
      <c r="A154" s="260"/>
      <c r="B154" s="261"/>
      <c r="C154" s="260"/>
      <c r="D154" s="260"/>
      <c r="E154" s="260"/>
      <c r="F154" s="260"/>
    </row>
    <row r="155" spans="1:6">
      <c r="A155" s="260"/>
      <c r="B155" s="261"/>
      <c r="C155" s="260"/>
      <c r="D155" s="260"/>
      <c r="E155" s="260"/>
      <c r="F155" s="260"/>
    </row>
    <row r="156" spans="1:6">
      <c r="A156" s="260"/>
      <c r="B156" s="261"/>
      <c r="C156" s="260"/>
      <c r="D156" s="260"/>
      <c r="E156" s="260"/>
      <c r="F156" s="260"/>
    </row>
    <row r="157" spans="1:6">
      <c r="A157" s="260"/>
      <c r="B157" s="261"/>
      <c r="C157" s="260"/>
      <c r="D157" s="260"/>
      <c r="E157" s="260"/>
      <c r="F157" s="260"/>
    </row>
    <row r="158" spans="1:6">
      <c r="A158" s="260"/>
      <c r="B158" s="261"/>
      <c r="C158" s="260"/>
      <c r="D158" s="260"/>
      <c r="E158" s="260"/>
      <c r="F158" s="260"/>
    </row>
    <row r="159" spans="1:6">
      <c r="A159" s="260"/>
      <c r="B159" s="261"/>
      <c r="C159" s="260"/>
      <c r="D159" s="260"/>
      <c r="E159" s="260"/>
      <c r="F159" s="260"/>
    </row>
    <row r="160" spans="1:6">
      <c r="A160" s="260"/>
      <c r="B160" s="261"/>
      <c r="C160" s="260"/>
      <c r="D160" s="260"/>
      <c r="E160" s="260"/>
      <c r="F160" s="260"/>
    </row>
    <row r="161" spans="1:6">
      <c r="A161" s="260"/>
      <c r="B161" s="261"/>
      <c r="C161" s="260"/>
      <c r="D161" s="260"/>
      <c r="E161" s="260"/>
      <c r="F161" s="260"/>
    </row>
    <row r="162" spans="1:6">
      <c r="A162" s="260"/>
      <c r="B162" s="261"/>
      <c r="C162" s="260"/>
      <c r="D162" s="260"/>
      <c r="E162" s="260"/>
      <c r="F162" s="260"/>
    </row>
    <row r="163" spans="1:6">
      <c r="A163" s="260"/>
      <c r="B163" s="261"/>
      <c r="C163" s="260"/>
      <c r="D163" s="260"/>
      <c r="E163" s="260"/>
      <c r="F163" s="260"/>
    </row>
    <row r="164" spans="1:6">
      <c r="A164" s="260"/>
      <c r="B164" s="261"/>
      <c r="C164" s="260"/>
      <c r="D164" s="260"/>
      <c r="E164" s="260"/>
      <c r="F164" s="260"/>
    </row>
    <row r="165" spans="1:6">
      <c r="A165" s="260"/>
      <c r="B165" s="261"/>
      <c r="C165" s="260"/>
      <c r="D165" s="260"/>
      <c r="E165" s="260"/>
      <c r="F165" s="260"/>
    </row>
    <row r="166" spans="1:6">
      <c r="A166" s="260"/>
      <c r="B166" s="261"/>
      <c r="C166" s="260"/>
      <c r="D166" s="260"/>
      <c r="E166" s="260"/>
      <c r="F166" s="260"/>
    </row>
    <row r="167" spans="1:6">
      <c r="A167" s="260"/>
      <c r="B167" s="261"/>
      <c r="C167" s="260"/>
      <c r="D167" s="260"/>
      <c r="E167" s="260"/>
      <c r="F167" s="260"/>
    </row>
    <row r="168" spans="1:6">
      <c r="A168" s="260"/>
      <c r="B168" s="261"/>
      <c r="C168" s="260"/>
      <c r="D168" s="260"/>
      <c r="E168" s="260"/>
      <c r="F168" s="260"/>
    </row>
    <row r="169" spans="1:6">
      <c r="A169" s="260"/>
      <c r="B169" s="261"/>
      <c r="C169" s="260"/>
      <c r="D169" s="260"/>
      <c r="E169" s="260"/>
      <c r="F169" s="260"/>
    </row>
    <row r="170" spans="1:6">
      <c r="A170" s="260"/>
      <c r="B170" s="261"/>
      <c r="C170" s="260"/>
      <c r="D170" s="260"/>
      <c r="E170" s="260"/>
      <c r="F170" s="260"/>
    </row>
    <row r="171" spans="1:6">
      <c r="A171" s="260"/>
      <c r="B171" s="261"/>
      <c r="C171" s="260"/>
      <c r="D171" s="260"/>
      <c r="E171" s="260"/>
      <c r="F171" s="260"/>
    </row>
    <row r="172" spans="1:6">
      <c r="A172" s="260"/>
      <c r="B172" s="261"/>
      <c r="C172" s="260"/>
      <c r="D172" s="260"/>
      <c r="E172" s="260"/>
      <c r="F172" s="260"/>
    </row>
    <row r="173" spans="1:6">
      <c r="A173" s="260"/>
      <c r="B173" s="261"/>
      <c r="C173" s="260"/>
      <c r="D173" s="260"/>
      <c r="E173" s="260"/>
      <c r="F173" s="260"/>
    </row>
    <row r="174" spans="1:6">
      <c r="A174" s="260"/>
      <c r="B174" s="261"/>
      <c r="C174" s="260"/>
      <c r="D174" s="260"/>
      <c r="E174" s="260"/>
      <c r="F174" s="260"/>
    </row>
  </sheetData>
  <mergeCells count="32">
    <mergeCell ref="A1:F1"/>
    <mergeCell ref="A51:D51"/>
    <mergeCell ref="E49:F49"/>
    <mergeCell ref="E50:F50"/>
    <mergeCell ref="A46:F46"/>
    <mergeCell ref="E51:F51"/>
    <mergeCell ref="E48:F48"/>
    <mergeCell ref="A48:D48"/>
    <mergeCell ref="A49:D49"/>
    <mergeCell ref="A50:D50"/>
    <mergeCell ref="C5:F5"/>
    <mergeCell ref="C26:F26"/>
    <mergeCell ref="E6:F6"/>
    <mergeCell ref="E27:F27"/>
    <mergeCell ref="A3:F3"/>
    <mergeCell ref="A4:F4"/>
    <mergeCell ref="A102:D102"/>
    <mergeCell ref="E102:F102"/>
    <mergeCell ref="A103:D103"/>
    <mergeCell ref="E103:F103"/>
    <mergeCell ref="A100:D100"/>
    <mergeCell ref="E100:F100"/>
    <mergeCell ref="A101:D101"/>
    <mergeCell ref="E101:F101"/>
    <mergeCell ref="A98:F98"/>
    <mergeCell ref="A53:F53"/>
    <mergeCell ref="C57:F57"/>
    <mergeCell ref="E58:F58"/>
    <mergeCell ref="A55:F55"/>
    <mergeCell ref="A56:F56"/>
    <mergeCell ref="C78:F78"/>
    <mergeCell ref="E79:F79"/>
  </mergeCells>
  <conditionalFormatting sqref="C44:E44 E51:F51 F29:F36 C36:E36 F39:F44 C24:F24 F8:F15 C15:E15 F18:F23">
    <cfRule type="cellIs" dxfId="4" priority="4" stopIfTrue="1" operator="equal">
      <formula>0</formula>
    </cfRule>
  </conditionalFormatting>
  <conditionalFormatting sqref="C96:E96 E103:F103 F81:F88 C88:E88 F91:F96 C76:F76 F60:F67 C67:E67 F70:F75">
    <cfRule type="cellIs" dxfId="3" priority="3" stopIfTrue="1" operator="equal">
      <formula>0</formula>
    </cfRule>
  </conditionalFormatting>
  <conditionalFormatting sqref="B24">
    <cfRule type="cellIs" dxfId="2" priority="2" stopIfTrue="1" operator="equal">
      <formula>0</formula>
    </cfRule>
  </conditionalFormatting>
  <conditionalFormatting sqref="B15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7" fitToHeight="2" orientation="portrait" r:id="rId1"/>
  <headerFooter alignWithMargins="0"/>
  <rowBreaks count="1" manualBreakCount="1">
    <brk id="5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0"/>
  <sheetViews>
    <sheetView view="pageBreakPreview" zoomScaleNormal="120" zoomScaleSheetLayoutView="100" workbookViewId="0">
      <selection activeCell="D7" sqref="D7"/>
    </sheetView>
  </sheetViews>
  <sheetFormatPr defaultRowHeight="15.75"/>
  <cols>
    <col min="1" max="1" width="9" style="303" customWidth="1"/>
    <col min="2" max="2" width="75.83203125" style="303" customWidth="1"/>
    <col min="3" max="3" width="15.5" style="304" customWidth="1"/>
    <col min="4" max="5" width="15.5" style="303" customWidth="1"/>
    <col min="6" max="6" width="9" style="302" customWidth="1"/>
    <col min="7" max="16384" width="9.33203125" style="302"/>
  </cols>
  <sheetData>
    <row r="1" spans="1:5" ht="14.45" customHeight="1">
      <c r="E1" s="343" t="str">
        <f>CONCATENATE("1. tájékoztató tábla ",[1]ALAPADATOK!A7," ",[1]ALAPADATOK!B7," ",[1]ALAPADATOK!C7," ",[1]ALAPADATOK!D7," ",[1]ALAPADATOK!E7," ",[1]ALAPADATOK!F7," ",[1]ALAPADATOK!G7," ",[1]ALAPADATOK!H7)</f>
        <v>1. tájékoztató tábla a 1 / 2019 ( III.13 ) önkormányzati rendelethez</v>
      </c>
    </row>
    <row r="2" spans="1:5">
      <c r="A2" s="570" t="s">
        <v>541</v>
      </c>
      <c r="B2" s="570"/>
      <c r="C2" s="571"/>
      <c r="D2" s="570"/>
      <c r="E2" s="570"/>
    </row>
    <row r="3" spans="1:5">
      <c r="A3" s="570" t="s">
        <v>433</v>
      </c>
      <c r="B3" s="570"/>
      <c r="C3" s="571"/>
      <c r="D3" s="570"/>
      <c r="E3" s="570"/>
    </row>
    <row r="4" spans="1:5" ht="15.95" customHeight="1">
      <c r="A4" s="513" t="s">
        <v>281</v>
      </c>
      <c r="B4" s="513"/>
      <c r="C4" s="513"/>
      <c r="D4" s="513"/>
      <c r="E4" s="513"/>
    </row>
    <row r="5" spans="1:5" ht="15.95" customHeight="1" thickBot="1">
      <c r="A5" s="512" t="s">
        <v>280</v>
      </c>
      <c r="B5" s="512"/>
      <c r="D5" s="329"/>
      <c r="E5" s="328" t="str">
        <f>KV_7.sz.mell.!B5</f>
        <v>Forintban!</v>
      </c>
    </row>
    <row r="6" spans="1:5" ht="30.75" customHeight="1" thickBot="1">
      <c r="A6" s="327" t="s">
        <v>143</v>
      </c>
      <c r="B6" s="326" t="s">
        <v>278</v>
      </c>
      <c r="C6" s="326" t="str">
        <f>+CONCATENATE(LEFT(KV_ÖSSZEFÜGGÉSEK!A5,4)-2,". évi tény")</f>
        <v>2017. évi tény</v>
      </c>
      <c r="D6" s="342" t="str">
        <f>+CONCATENATE(LEFT(KV_ÖSSZEFÜGGÉSEK!A5,4)-1,". évi várható")</f>
        <v>2018. évi várható</v>
      </c>
      <c r="E6" s="325" t="str">
        <f>+KV_1.1.sz.mell.!C8</f>
        <v>2019. évi előirányzat</v>
      </c>
    </row>
    <row r="7" spans="1:5" s="318" customFormat="1" ht="12" customHeight="1" thickBot="1">
      <c r="A7" s="324" t="s">
        <v>141</v>
      </c>
      <c r="B7" s="323" t="s">
        <v>140</v>
      </c>
      <c r="C7" s="323" t="s">
        <v>334</v>
      </c>
      <c r="D7" s="323" t="s">
        <v>333</v>
      </c>
      <c r="E7" s="322" t="s">
        <v>372</v>
      </c>
    </row>
    <row r="8" spans="1:5" s="306" customFormat="1" ht="12" customHeight="1" thickBot="1">
      <c r="A8" s="11" t="s">
        <v>139</v>
      </c>
      <c r="B8" s="89" t="s">
        <v>277</v>
      </c>
      <c r="C8" s="313">
        <f>+C9+C10+C11+C12+C13+C14</f>
        <v>24096004</v>
      </c>
      <c r="D8" s="313">
        <f>+D9+D10+D11+D12+D13+D14</f>
        <v>23584596</v>
      </c>
      <c r="E8" s="9">
        <f>+E9+E10+E11+E12+E13+E14</f>
        <v>24232736</v>
      </c>
    </row>
    <row r="9" spans="1:5" s="306" customFormat="1" ht="12" customHeight="1">
      <c r="A9" s="26" t="s">
        <v>137</v>
      </c>
      <c r="B9" s="80" t="s">
        <v>276</v>
      </c>
      <c r="C9" s="315">
        <v>11165429</v>
      </c>
      <c r="D9" s="315">
        <v>11933857</v>
      </c>
      <c r="E9" s="41">
        <v>12046230</v>
      </c>
    </row>
    <row r="10" spans="1:5" s="306" customFormat="1" ht="12" customHeight="1">
      <c r="A10" s="48" t="s">
        <v>135</v>
      </c>
      <c r="B10" s="78" t="s">
        <v>275</v>
      </c>
      <c r="C10" s="310"/>
      <c r="D10" s="310"/>
      <c r="E10" s="40"/>
    </row>
    <row r="11" spans="1:5" s="306" customFormat="1" ht="12" customHeight="1">
      <c r="A11" s="48" t="s">
        <v>133</v>
      </c>
      <c r="B11" s="78" t="s">
        <v>432</v>
      </c>
      <c r="C11" s="310">
        <v>5932459</v>
      </c>
      <c r="D11" s="310">
        <v>5759309</v>
      </c>
      <c r="E11" s="40">
        <v>7526140</v>
      </c>
    </row>
    <row r="12" spans="1:5" s="306" customFormat="1" ht="12" customHeight="1">
      <c r="A12" s="48" t="s">
        <v>131</v>
      </c>
      <c r="B12" s="78" t="s">
        <v>273</v>
      </c>
      <c r="C12" s="310">
        <v>1200000</v>
      </c>
      <c r="D12" s="310">
        <v>1800000</v>
      </c>
      <c r="E12" s="40">
        <v>1800000</v>
      </c>
    </row>
    <row r="13" spans="1:5" s="306" customFormat="1" ht="12" customHeight="1">
      <c r="A13" s="48" t="s">
        <v>272</v>
      </c>
      <c r="B13" s="38" t="s">
        <v>271</v>
      </c>
      <c r="C13" s="310">
        <v>5720596</v>
      </c>
      <c r="D13" s="310">
        <v>4088580</v>
      </c>
      <c r="E13" s="40">
        <v>2860366</v>
      </c>
    </row>
    <row r="14" spans="1:5" s="306" customFormat="1" ht="12" customHeight="1" thickBot="1">
      <c r="A14" s="52" t="s">
        <v>127</v>
      </c>
      <c r="B14" s="39" t="s">
        <v>270</v>
      </c>
      <c r="C14" s="310">
        <v>77520</v>
      </c>
      <c r="D14" s="310">
        <v>2850</v>
      </c>
      <c r="E14" s="40"/>
    </row>
    <row r="15" spans="1:5" s="306" customFormat="1" ht="12" customHeight="1" thickBot="1">
      <c r="A15" s="11" t="s">
        <v>15</v>
      </c>
      <c r="B15" s="75" t="s">
        <v>269</v>
      </c>
      <c r="C15" s="313">
        <f>+C16+C17+C18+C19+C20</f>
        <v>9802758</v>
      </c>
      <c r="D15" s="313">
        <f>+D16+D17+D18+D19+D20</f>
        <v>14932534</v>
      </c>
      <c r="E15" s="9">
        <f>+E16+E17+E18+E19+E20</f>
        <v>12217091</v>
      </c>
    </row>
    <row r="16" spans="1:5" s="306" customFormat="1" ht="12" customHeight="1">
      <c r="A16" s="26" t="s">
        <v>98</v>
      </c>
      <c r="B16" s="80" t="s">
        <v>268</v>
      </c>
      <c r="C16" s="315"/>
      <c r="D16" s="315"/>
      <c r="E16" s="41"/>
    </row>
    <row r="17" spans="1:5" s="306" customFormat="1" ht="12" customHeight="1">
      <c r="A17" s="48" t="s">
        <v>96</v>
      </c>
      <c r="B17" s="78" t="s">
        <v>267</v>
      </c>
      <c r="C17" s="310"/>
      <c r="D17" s="310"/>
      <c r="E17" s="40"/>
    </row>
    <row r="18" spans="1:5" s="306" customFormat="1" ht="12" customHeight="1">
      <c r="A18" s="48" t="s">
        <v>94</v>
      </c>
      <c r="B18" s="78" t="s">
        <v>266</v>
      </c>
      <c r="C18" s="310"/>
      <c r="D18" s="310"/>
      <c r="E18" s="40"/>
    </row>
    <row r="19" spans="1:5" s="306" customFormat="1" ht="12" customHeight="1">
      <c r="A19" s="48" t="s">
        <v>92</v>
      </c>
      <c r="B19" s="78" t="s">
        <v>265</v>
      </c>
      <c r="C19" s="310"/>
      <c r="D19" s="310"/>
      <c r="E19" s="40"/>
    </row>
    <row r="20" spans="1:5" s="306" customFormat="1" ht="12" customHeight="1">
      <c r="A20" s="48" t="s">
        <v>90</v>
      </c>
      <c r="B20" s="78" t="s">
        <v>431</v>
      </c>
      <c r="C20" s="310">
        <v>9802758</v>
      </c>
      <c r="D20" s="310">
        <v>14932534</v>
      </c>
      <c r="E20" s="40">
        <v>12217091</v>
      </c>
    </row>
    <row r="21" spans="1:5" s="306" customFormat="1" ht="12" customHeight="1" thickBot="1">
      <c r="A21" s="52" t="s">
        <v>88</v>
      </c>
      <c r="B21" s="39" t="s">
        <v>263</v>
      </c>
      <c r="C21" s="314"/>
      <c r="D21" s="314">
        <v>4752217</v>
      </c>
      <c r="E21" s="50">
        <v>12016299</v>
      </c>
    </row>
    <row r="22" spans="1:5" s="306" customFormat="1" ht="12" customHeight="1" thickBot="1">
      <c r="A22" s="11" t="s">
        <v>72</v>
      </c>
      <c r="B22" s="89" t="s">
        <v>262</v>
      </c>
      <c r="C22" s="313">
        <f>+C23+C24+C25+C26+C27</f>
        <v>2508200</v>
      </c>
      <c r="D22" s="313">
        <f>+D23+D24+D25+D26+D27</f>
        <v>13238266</v>
      </c>
      <c r="E22" s="9">
        <f>+E23+E24+E25+E26+E27</f>
        <v>103668768</v>
      </c>
    </row>
    <row r="23" spans="1:5" s="306" customFormat="1" ht="12" customHeight="1">
      <c r="A23" s="26" t="s">
        <v>261</v>
      </c>
      <c r="B23" s="80" t="s">
        <v>260</v>
      </c>
      <c r="C23" s="315">
        <v>730200</v>
      </c>
      <c r="D23" s="315"/>
      <c r="E23" s="41"/>
    </row>
    <row r="24" spans="1:5" s="306" customFormat="1" ht="12" customHeight="1">
      <c r="A24" s="48" t="s">
        <v>259</v>
      </c>
      <c r="B24" s="78" t="s">
        <v>258</v>
      </c>
      <c r="C24" s="310"/>
      <c r="D24" s="310"/>
      <c r="E24" s="40"/>
    </row>
    <row r="25" spans="1:5" s="306" customFormat="1" ht="12" customHeight="1">
      <c r="A25" s="48" t="s">
        <v>257</v>
      </c>
      <c r="B25" s="78" t="s">
        <v>256</v>
      </c>
      <c r="C25" s="310"/>
      <c r="D25" s="310"/>
      <c r="E25" s="40"/>
    </row>
    <row r="26" spans="1:5" s="306" customFormat="1" ht="12" customHeight="1">
      <c r="A26" s="48" t="s">
        <v>255</v>
      </c>
      <c r="B26" s="78" t="s">
        <v>254</v>
      </c>
      <c r="C26" s="310"/>
      <c r="D26" s="310"/>
      <c r="E26" s="40">
        <v>15784079</v>
      </c>
    </row>
    <row r="27" spans="1:5" s="306" customFormat="1" ht="12" customHeight="1">
      <c r="A27" s="48" t="s">
        <v>253</v>
      </c>
      <c r="B27" s="78" t="s">
        <v>252</v>
      </c>
      <c r="C27" s="310">
        <v>1778000</v>
      </c>
      <c r="D27" s="310">
        <v>13238266</v>
      </c>
      <c r="E27" s="40">
        <v>87884689</v>
      </c>
    </row>
    <row r="28" spans="1:5" s="306" customFormat="1" ht="12" customHeight="1" thickBot="1">
      <c r="A28" s="52" t="s">
        <v>251</v>
      </c>
      <c r="B28" s="87" t="s">
        <v>430</v>
      </c>
      <c r="C28" s="314"/>
      <c r="D28" s="314">
        <v>13193830</v>
      </c>
      <c r="E28" s="94"/>
    </row>
    <row r="29" spans="1:5" s="306" customFormat="1" ht="12" customHeight="1" thickBot="1">
      <c r="A29" s="11" t="s">
        <v>249</v>
      </c>
      <c r="B29" s="89" t="s">
        <v>429</v>
      </c>
      <c r="C29" s="312">
        <f>SUM(C30:C36)</f>
        <v>681576</v>
      </c>
      <c r="D29" s="312">
        <f>SUM(D30:D36)</f>
        <v>1107796</v>
      </c>
      <c r="E29" s="34">
        <f>SUM(E30:E36)</f>
        <v>746000</v>
      </c>
    </row>
    <row r="30" spans="1:5" s="306" customFormat="1" ht="12" customHeight="1">
      <c r="A30" s="26" t="s">
        <v>68</v>
      </c>
      <c r="B30" s="80" t="s">
        <v>247</v>
      </c>
      <c r="C30" s="315"/>
      <c r="D30" s="315"/>
      <c r="E30" s="41"/>
    </row>
    <row r="31" spans="1:5" s="306" customFormat="1" ht="12" customHeight="1">
      <c r="A31" s="48" t="s">
        <v>66</v>
      </c>
      <c r="B31" s="78" t="s">
        <v>246</v>
      </c>
      <c r="C31" s="310"/>
      <c r="D31" s="310"/>
      <c r="E31" s="40"/>
    </row>
    <row r="32" spans="1:5" s="306" customFormat="1" ht="12" customHeight="1">
      <c r="A32" s="48" t="s">
        <v>64</v>
      </c>
      <c r="B32" s="78" t="s">
        <v>245</v>
      </c>
      <c r="C32" s="310">
        <v>438570</v>
      </c>
      <c r="D32" s="310">
        <v>869994</v>
      </c>
      <c r="E32" s="40">
        <v>736000</v>
      </c>
    </row>
    <row r="33" spans="1:5" s="306" customFormat="1" ht="12" customHeight="1">
      <c r="A33" s="48" t="s">
        <v>244</v>
      </c>
      <c r="B33" s="78" t="s">
        <v>243</v>
      </c>
      <c r="C33" s="310"/>
      <c r="D33" s="310"/>
      <c r="E33" s="40"/>
    </row>
    <row r="34" spans="1:5" s="306" customFormat="1" ht="12" customHeight="1">
      <c r="A34" s="48" t="s">
        <v>242</v>
      </c>
      <c r="B34" s="78" t="s">
        <v>241</v>
      </c>
      <c r="C34" s="310">
        <v>235402</v>
      </c>
      <c r="D34" s="310">
        <v>235162</v>
      </c>
      <c r="E34" s="40"/>
    </row>
    <row r="35" spans="1:5" s="306" customFormat="1" ht="12" customHeight="1">
      <c r="A35" s="48" t="s">
        <v>240</v>
      </c>
      <c r="B35" s="78" t="s">
        <v>239</v>
      </c>
      <c r="C35" s="310"/>
      <c r="D35" s="310"/>
      <c r="E35" s="40"/>
    </row>
    <row r="36" spans="1:5" s="306" customFormat="1" ht="12" customHeight="1" thickBot="1">
      <c r="A36" s="52" t="s">
        <v>238</v>
      </c>
      <c r="B36" s="87" t="s">
        <v>237</v>
      </c>
      <c r="C36" s="314">
        <v>7604</v>
      </c>
      <c r="D36" s="314">
        <v>2640</v>
      </c>
      <c r="E36" s="50">
        <v>10000</v>
      </c>
    </row>
    <row r="37" spans="1:5" s="306" customFormat="1" ht="12" customHeight="1" thickBot="1">
      <c r="A37" s="11" t="s">
        <v>62</v>
      </c>
      <c r="B37" s="89" t="s">
        <v>236</v>
      </c>
      <c r="C37" s="313">
        <f>SUM(C38:C48)</f>
        <v>192291</v>
      </c>
      <c r="D37" s="313">
        <f>SUM(D38:D48)</f>
        <v>213022</v>
      </c>
      <c r="E37" s="9">
        <f>SUM(E38:E48)</f>
        <v>170000</v>
      </c>
    </row>
    <row r="38" spans="1:5" s="306" customFormat="1" ht="12" customHeight="1">
      <c r="A38" s="26" t="s">
        <v>60</v>
      </c>
      <c r="B38" s="80" t="s">
        <v>235</v>
      </c>
      <c r="C38" s="315"/>
      <c r="D38" s="315"/>
      <c r="E38" s="41"/>
    </row>
    <row r="39" spans="1:5" s="306" customFormat="1" ht="12" customHeight="1">
      <c r="A39" s="48" t="s">
        <v>58</v>
      </c>
      <c r="B39" s="78" t="s">
        <v>234</v>
      </c>
      <c r="C39" s="310">
        <v>175615</v>
      </c>
      <c r="D39" s="310">
        <v>165308</v>
      </c>
      <c r="E39" s="40">
        <v>170000</v>
      </c>
    </row>
    <row r="40" spans="1:5" s="306" customFormat="1" ht="12" customHeight="1">
      <c r="A40" s="48" t="s">
        <v>56</v>
      </c>
      <c r="B40" s="78" t="s">
        <v>233</v>
      </c>
      <c r="C40" s="310"/>
      <c r="D40" s="310"/>
      <c r="E40" s="40"/>
    </row>
    <row r="41" spans="1:5" s="306" customFormat="1" ht="12" customHeight="1">
      <c r="A41" s="48" t="s">
        <v>54</v>
      </c>
      <c r="B41" s="78" t="s">
        <v>232</v>
      </c>
      <c r="C41" s="310"/>
      <c r="D41" s="310"/>
      <c r="E41" s="40"/>
    </row>
    <row r="42" spans="1:5" s="306" customFormat="1" ht="12" customHeight="1">
      <c r="A42" s="48" t="s">
        <v>52</v>
      </c>
      <c r="B42" s="78" t="s">
        <v>231</v>
      </c>
      <c r="C42" s="310"/>
      <c r="D42" s="310"/>
      <c r="E42" s="40"/>
    </row>
    <row r="43" spans="1:5" s="306" customFormat="1" ht="12" customHeight="1">
      <c r="A43" s="48" t="s">
        <v>50</v>
      </c>
      <c r="B43" s="78" t="s">
        <v>230</v>
      </c>
      <c r="C43" s="310"/>
      <c r="D43" s="310"/>
      <c r="E43" s="40"/>
    </row>
    <row r="44" spans="1:5" s="306" customFormat="1" ht="12" customHeight="1">
      <c r="A44" s="48" t="s">
        <v>229</v>
      </c>
      <c r="B44" s="78" t="s">
        <v>228</v>
      </c>
      <c r="C44" s="310"/>
      <c r="D44" s="310"/>
      <c r="E44" s="40"/>
    </row>
    <row r="45" spans="1:5" s="306" customFormat="1" ht="12" customHeight="1">
      <c r="A45" s="48" t="s">
        <v>227</v>
      </c>
      <c r="B45" s="78" t="s">
        <v>226</v>
      </c>
      <c r="C45" s="310">
        <v>138</v>
      </c>
      <c r="D45" s="310">
        <v>23</v>
      </c>
      <c r="E45" s="40"/>
    </row>
    <row r="46" spans="1:5" s="306" customFormat="1" ht="12" customHeight="1">
      <c r="A46" s="48" t="s">
        <v>225</v>
      </c>
      <c r="B46" s="78" t="s">
        <v>224</v>
      </c>
      <c r="C46" s="336"/>
      <c r="D46" s="336"/>
      <c r="E46" s="76"/>
    </row>
    <row r="47" spans="1:5" s="306" customFormat="1" ht="12" customHeight="1">
      <c r="A47" s="52" t="s">
        <v>223</v>
      </c>
      <c r="B47" s="87" t="s">
        <v>222</v>
      </c>
      <c r="C47" s="340"/>
      <c r="D47" s="340"/>
      <c r="E47" s="86"/>
    </row>
    <row r="48" spans="1:5" s="306" customFormat="1" ht="12" customHeight="1" thickBot="1">
      <c r="A48" s="52" t="s">
        <v>221</v>
      </c>
      <c r="B48" s="39" t="s">
        <v>220</v>
      </c>
      <c r="C48" s="340">
        <v>16538</v>
      </c>
      <c r="D48" s="340">
        <v>47691</v>
      </c>
      <c r="E48" s="86"/>
    </row>
    <row r="49" spans="1:5" s="306" customFormat="1" ht="12" customHeight="1" thickBot="1">
      <c r="A49" s="11" t="s">
        <v>48</v>
      </c>
      <c r="B49" s="89" t="s">
        <v>219</v>
      </c>
      <c r="C49" s="313">
        <f>SUM(C50:C54)</f>
        <v>2522213</v>
      </c>
      <c r="D49" s="313">
        <f>SUM(D50:D54)</f>
        <v>900000</v>
      </c>
      <c r="E49" s="9">
        <f>SUM(E50:E54)</f>
        <v>800000</v>
      </c>
    </row>
    <row r="50" spans="1:5" s="306" customFormat="1" ht="12" customHeight="1">
      <c r="A50" s="26" t="s">
        <v>46</v>
      </c>
      <c r="B50" s="80" t="s">
        <v>218</v>
      </c>
      <c r="C50" s="341"/>
      <c r="D50" s="341"/>
      <c r="E50" s="91"/>
    </row>
    <row r="51" spans="1:5" s="306" customFormat="1" ht="12" customHeight="1">
      <c r="A51" s="48" t="s">
        <v>44</v>
      </c>
      <c r="B51" s="78" t="s">
        <v>217</v>
      </c>
      <c r="C51" s="336">
        <v>804000</v>
      </c>
      <c r="D51" s="336">
        <v>800000</v>
      </c>
      <c r="E51" s="76">
        <v>800000</v>
      </c>
    </row>
    <row r="52" spans="1:5" s="306" customFormat="1" ht="12" customHeight="1">
      <c r="A52" s="48" t="s">
        <v>42</v>
      </c>
      <c r="B52" s="78" t="s">
        <v>216</v>
      </c>
      <c r="C52" s="336"/>
      <c r="D52" s="336">
        <v>100000</v>
      </c>
      <c r="E52" s="76"/>
    </row>
    <row r="53" spans="1:5" s="306" customFormat="1" ht="12" customHeight="1">
      <c r="A53" s="48" t="s">
        <v>40</v>
      </c>
      <c r="B53" s="78" t="s">
        <v>215</v>
      </c>
      <c r="C53" s="336">
        <v>1718213</v>
      </c>
      <c r="D53" s="336"/>
      <c r="E53" s="76"/>
    </row>
    <row r="54" spans="1:5" s="306" customFormat="1" ht="12" customHeight="1" thickBot="1">
      <c r="A54" s="52" t="s">
        <v>214</v>
      </c>
      <c r="B54" s="39" t="s">
        <v>213</v>
      </c>
      <c r="C54" s="340"/>
      <c r="D54" s="340"/>
      <c r="E54" s="86"/>
    </row>
    <row r="55" spans="1:5" s="306" customFormat="1" ht="12" customHeight="1" thickBot="1">
      <c r="A55" s="11" t="s">
        <v>212</v>
      </c>
      <c r="B55" s="89" t="s">
        <v>211</v>
      </c>
      <c r="C55" s="313">
        <f>SUM(C56:C58)</f>
        <v>165000</v>
      </c>
      <c r="D55" s="313">
        <f>SUM(D56:D58)</f>
        <v>130000</v>
      </c>
      <c r="E55" s="9">
        <f>SUM(E56:E58)</f>
        <v>0</v>
      </c>
    </row>
    <row r="56" spans="1:5" s="306" customFormat="1" ht="12" customHeight="1">
      <c r="A56" s="26" t="s">
        <v>36</v>
      </c>
      <c r="B56" s="80" t="s">
        <v>210</v>
      </c>
      <c r="C56" s="315"/>
      <c r="D56" s="315"/>
      <c r="E56" s="41"/>
    </row>
    <row r="57" spans="1:5" s="306" customFormat="1" ht="12" customHeight="1">
      <c r="A57" s="48" t="s">
        <v>34</v>
      </c>
      <c r="B57" s="78" t="s">
        <v>209</v>
      </c>
      <c r="C57" s="310">
        <v>165000</v>
      </c>
      <c r="D57" s="310">
        <v>130000</v>
      </c>
      <c r="E57" s="40"/>
    </row>
    <row r="58" spans="1:5" s="306" customFormat="1" ht="12" customHeight="1">
      <c r="A58" s="48" t="s">
        <v>32</v>
      </c>
      <c r="B58" s="78" t="s">
        <v>208</v>
      </c>
      <c r="C58" s="310"/>
      <c r="D58" s="310"/>
      <c r="E58" s="40"/>
    </row>
    <row r="59" spans="1:5" s="306" customFormat="1" ht="12" customHeight="1" thickBot="1">
      <c r="A59" s="52" t="s">
        <v>30</v>
      </c>
      <c r="B59" s="39" t="s">
        <v>207</v>
      </c>
      <c r="C59" s="314"/>
      <c r="D59" s="314"/>
      <c r="E59" s="50"/>
    </row>
    <row r="60" spans="1:5" s="306" customFormat="1" ht="12" customHeight="1" thickBot="1">
      <c r="A60" s="11" t="s">
        <v>26</v>
      </c>
      <c r="B60" s="75" t="s">
        <v>206</v>
      </c>
      <c r="C60" s="313">
        <f>SUM(C61:C63)</f>
        <v>0</v>
      </c>
      <c r="D60" s="313">
        <f>SUM(D61:D63)</f>
        <v>0</v>
      </c>
      <c r="E60" s="9">
        <f>SUM(E61:E63)</f>
        <v>0</v>
      </c>
    </row>
    <row r="61" spans="1:5" s="306" customFormat="1" ht="12" customHeight="1">
      <c r="A61" s="26" t="s">
        <v>205</v>
      </c>
      <c r="B61" s="80" t="s">
        <v>204</v>
      </c>
      <c r="C61" s="336"/>
      <c r="D61" s="336"/>
      <c r="E61" s="76"/>
    </row>
    <row r="62" spans="1:5" s="306" customFormat="1" ht="12" customHeight="1">
      <c r="A62" s="48" t="s">
        <v>203</v>
      </c>
      <c r="B62" s="78" t="s">
        <v>202</v>
      </c>
      <c r="C62" s="336"/>
      <c r="D62" s="336"/>
      <c r="E62" s="76"/>
    </row>
    <row r="63" spans="1:5" s="306" customFormat="1" ht="12" customHeight="1">
      <c r="A63" s="48" t="s">
        <v>201</v>
      </c>
      <c r="B63" s="78" t="s">
        <v>200</v>
      </c>
      <c r="C63" s="336"/>
      <c r="D63" s="336"/>
      <c r="E63" s="76"/>
    </row>
    <row r="64" spans="1:5" s="306" customFormat="1" ht="12" customHeight="1" thickBot="1">
      <c r="A64" s="52" t="s">
        <v>199</v>
      </c>
      <c r="B64" s="39" t="s">
        <v>198</v>
      </c>
      <c r="C64" s="336"/>
      <c r="D64" s="336"/>
      <c r="E64" s="76"/>
    </row>
    <row r="65" spans="1:7" s="306" customFormat="1" ht="12" customHeight="1" thickBot="1">
      <c r="A65" s="90" t="s">
        <v>197</v>
      </c>
      <c r="B65" s="89" t="s">
        <v>196</v>
      </c>
      <c r="C65" s="312">
        <f>+C8+C15+C22+C29+C37+C49+C55+C60</f>
        <v>39968042</v>
      </c>
      <c r="D65" s="312">
        <f>+D8+D15+D22+D29+D37+D49+D55+D60</f>
        <v>54106214</v>
      </c>
      <c r="E65" s="34">
        <f>+E8+E15+E22+E29+E37+E49+E55+E60</f>
        <v>141834595</v>
      </c>
    </row>
    <row r="66" spans="1:7" s="306" customFormat="1" ht="12" customHeight="1" thickBot="1">
      <c r="A66" s="73" t="s">
        <v>195</v>
      </c>
      <c r="B66" s="75" t="s">
        <v>428</v>
      </c>
      <c r="C66" s="313">
        <f>SUM(C67:C69)</f>
        <v>0</v>
      </c>
      <c r="D66" s="313">
        <f>SUM(D67:D69)</f>
        <v>0</v>
      </c>
      <c r="E66" s="9">
        <f>SUM(E67:E69)</f>
        <v>0</v>
      </c>
    </row>
    <row r="67" spans="1:7" s="306" customFormat="1" ht="12" customHeight="1">
      <c r="A67" s="26" t="s">
        <v>193</v>
      </c>
      <c r="B67" s="80" t="s">
        <v>192</v>
      </c>
      <c r="C67" s="336"/>
      <c r="D67" s="336"/>
      <c r="E67" s="76"/>
    </row>
    <row r="68" spans="1:7" s="306" customFormat="1" ht="12" customHeight="1">
      <c r="A68" s="48" t="s">
        <v>191</v>
      </c>
      <c r="B68" s="78" t="s">
        <v>190</v>
      </c>
      <c r="C68" s="336"/>
      <c r="D68" s="336"/>
      <c r="E68" s="76"/>
    </row>
    <row r="69" spans="1:7" s="306" customFormat="1" ht="12" customHeight="1" thickBot="1">
      <c r="A69" s="52" t="s">
        <v>189</v>
      </c>
      <c r="B69" s="88" t="s">
        <v>427</v>
      </c>
      <c r="C69" s="336"/>
      <c r="D69" s="336"/>
      <c r="E69" s="76"/>
    </row>
    <row r="70" spans="1:7" s="306" customFormat="1" ht="12" customHeight="1" thickBot="1">
      <c r="A70" s="73" t="s">
        <v>187</v>
      </c>
      <c r="B70" s="75" t="s">
        <v>186</v>
      </c>
      <c r="C70" s="313">
        <f>SUM(C71:C74)</f>
        <v>0</v>
      </c>
      <c r="D70" s="313">
        <f>SUM(D71:D74)</f>
        <v>0</v>
      </c>
      <c r="E70" s="9">
        <f>SUM(E71:E74)</f>
        <v>0</v>
      </c>
    </row>
    <row r="71" spans="1:7" s="306" customFormat="1" ht="12" customHeight="1">
      <c r="A71" s="26" t="s">
        <v>185</v>
      </c>
      <c r="B71" s="338" t="s">
        <v>184</v>
      </c>
      <c r="C71" s="336"/>
      <c r="D71" s="336"/>
      <c r="E71" s="76"/>
    </row>
    <row r="72" spans="1:7" s="306" customFormat="1" ht="13.5" customHeight="1">
      <c r="A72" s="48" t="s">
        <v>183</v>
      </c>
      <c r="B72" s="338" t="s">
        <v>182</v>
      </c>
      <c r="C72" s="336"/>
      <c r="D72" s="336"/>
      <c r="E72" s="76"/>
      <c r="G72" s="339"/>
    </row>
    <row r="73" spans="1:7" s="306" customFormat="1" ht="12" customHeight="1">
      <c r="A73" s="48" t="s">
        <v>181</v>
      </c>
      <c r="B73" s="338" t="s">
        <v>180</v>
      </c>
      <c r="C73" s="336"/>
      <c r="D73" s="336"/>
      <c r="E73" s="86"/>
    </row>
    <row r="74" spans="1:7" s="306" customFormat="1" ht="12" customHeight="1" thickBot="1">
      <c r="A74" s="52" t="s">
        <v>179</v>
      </c>
      <c r="B74" s="337" t="s">
        <v>178</v>
      </c>
      <c r="C74" s="336"/>
      <c r="D74" s="336"/>
      <c r="E74" s="82"/>
    </row>
    <row r="75" spans="1:7" s="306" customFormat="1" ht="12" customHeight="1" thickBot="1">
      <c r="A75" s="73" t="s">
        <v>177</v>
      </c>
      <c r="B75" s="75" t="s">
        <v>176</v>
      </c>
      <c r="C75" s="313">
        <f>SUM(C76:C77)</f>
        <v>6971476</v>
      </c>
      <c r="D75" s="313">
        <f>SUM(D76:D77)</f>
        <v>9703620</v>
      </c>
      <c r="E75" s="9">
        <f>SUM(E76:E77)</f>
        <v>24080740</v>
      </c>
    </row>
    <row r="76" spans="1:7" s="306" customFormat="1" ht="12" customHeight="1">
      <c r="A76" s="26" t="s">
        <v>175</v>
      </c>
      <c r="B76" s="80" t="s">
        <v>174</v>
      </c>
      <c r="C76" s="336">
        <v>6971476</v>
      </c>
      <c r="D76" s="336">
        <v>9703620</v>
      </c>
      <c r="E76" s="84">
        <v>24080740</v>
      </c>
    </row>
    <row r="77" spans="1:7" s="306" customFormat="1" ht="12" customHeight="1" thickBot="1">
      <c r="A77" s="52" t="s">
        <v>173</v>
      </c>
      <c r="B77" s="39" t="s">
        <v>172</v>
      </c>
      <c r="C77" s="336"/>
      <c r="D77" s="336"/>
      <c r="E77" s="82"/>
    </row>
    <row r="78" spans="1:7" s="306" customFormat="1" ht="12" customHeight="1" thickBot="1">
      <c r="A78" s="73" t="s">
        <v>171</v>
      </c>
      <c r="B78" s="75" t="s">
        <v>170</v>
      </c>
      <c r="C78" s="313">
        <f>SUM(C79:C81)</f>
        <v>773996</v>
      </c>
      <c r="D78" s="313">
        <f>SUM(D79:D81)</f>
        <v>854895</v>
      </c>
      <c r="E78" s="9">
        <f>SUM(E79:E81)</f>
        <v>0</v>
      </c>
    </row>
    <row r="79" spans="1:7" s="306" customFormat="1" ht="12" customHeight="1">
      <c r="A79" s="26" t="s">
        <v>169</v>
      </c>
      <c r="B79" s="80" t="s">
        <v>168</v>
      </c>
      <c r="C79" s="336">
        <v>773996</v>
      </c>
      <c r="D79" s="336">
        <v>854895</v>
      </c>
      <c r="E79" s="76"/>
    </row>
    <row r="80" spans="1:7" s="306" customFormat="1" ht="12" customHeight="1">
      <c r="A80" s="48" t="s">
        <v>167</v>
      </c>
      <c r="B80" s="78" t="s">
        <v>166</v>
      </c>
      <c r="C80" s="336"/>
      <c r="D80" s="336"/>
      <c r="E80" s="76"/>
    </row>
    <row r="81" spans="1:6" s="306" customFormat="1" ht="12" customHeight="1" thickBot="1">
      <c r="A81" s="52" t="s">
        <v>165</v>
      </c>
      <c r="B81" s="39" t="s">
        <v>164</v>
      </c>
      <c r="C81" s="336"/>
      <c r="D81" s="336"/>
      <c r="E81" s="82"/>
    </row>
    <row r="82" spans="1:6" s="306" customFormat="1" ht="12" customHeight="1" thickBot="1">
      <c r="A82" s="73" t="s">
        <v>163</v>
      </c>
      <c r="B82" s="75" t="s">
        <v>162</v>
      </c>
      <c r="C82" s="313">
        <f>SUM(C83:C86)</f>
        <v>0</v>
      </c>
      <c r="D82" s="313">
        <f>SUM(D83:D86)</f>
        <v>0</v>
      </c>
      <c r="E82" s="9">
        <f>SUM(E83:E86)</f>
        <v>0</v>
      </c>
    </row>
    <row r="83" spans="1:6" s="306" customFormat="1" ht="12" customHeight="1">
      <c r="A83" s="81" t="s">
        <v>161</v>
      </c>
      <c r="B83" s="80" t="s">
        <v>160</v>
      </c>
      <c r="C83" s="336"/>
      <c r="D83" s="336"/>
      <c r="E83" s="76"/>
    </row>
    <row r="84" spans="1:6" s="306" customFormat="1" ht="12" customHeight="1">
      <c r="A84" s="79" t="s">
        <v>159</v>
      </c>
      <c r="B84" s="78" t="s">
        <v>158</v>
      </c>
      <c r="C84" s="336"/>
      <c r="D84" s="336"/>
      <c r="E84" s="76"/>
    </row>
    <row r="85" spans="1:6" s="306" customFormat="1" ht="12" customHeight="1">
      <c r="A85" s="79" t="s">
        <v>157</v>
      </c>
      <c r="B85" s="78" t="s">
        <v>156</v>
      </c>
      <c r="C85" s="336"/>
      <c r="D85" s="336"/>
      <c r="E85" s="76"/>
    </row>
    <row r="86" spans="1:6" s="306" customFormat="1" ht="12" customHeight="1" thickBot="1">
      <c r="A86" s="77" t="s">
        <v>155</v>
      </c>
      <c r="B86" s="39" t="s">
        <v>154</v>
      </c>
      <c r="C86" s="336"/>
      <c r="D86" s="336"/>
      <c r="E86" s="76"/>
    </row>
    <row r="87" spans="1:6" s="306" customFormat="1" ht="12" customHeight="1" thickBot="1">
      <c r="A87" s="73" t="s">
        <v>153</v>
      </c>
      <c r="B87" s="75" t="s">
        <v>152</v>
      </c>
      <c r="C87" s="335"/>
      <c r="D87" s="335"/>
      <c r="E87" s="74"/>
    </row>
    <row r="88" spans="1:6" s="306" customFormat="1" ht="12" customHeight="1" thickBot="1">
      <c r="A88" s="73" t="s">
        <v>151</v>
      </c>
      <c r="B88" s="75" t="s">
        <v>150</v>
      </c>
      <c r="C88" s="335"/>
      <c r="D88" s="335"/>
      <c r="E88" s="74"/>
    </row>
    <row r="89" spans="1:6" s="306" customFormat="1" ht="12" customHeight="1" thickBot="1">
      <c r="A89" s="73" t="s">
        <v>149</v>
      </c>
      <c r="B89" s="72" t="s">
        <v>148</v>
      </c>
      <c r="C89" s="312">
        <f>+C66+C70+C75+C78+C82+C88+C87</f>
        <v>7745472</v>
      </c>
      <c r="D89" s="312">
        <f>+D66+D70+D75+D78+D82+D88+D87</f>
        <v>10558515</v>
      </c>
      <c r="E89" s="34">
        <f>+E66+E70+E75+E78+E82+E88+E87</f>
        <v>24080740</v>
      </c>
    </row>
    <row r="90" spans="1:6" s="306" customFormat="1" ht="12" customHeight="1" thickBot="1">
      <c r="A90" s="71" t="s">
        <v>147</v>
      </c>
      <c r="B90" s="70" t="s">
        <v>146</v>
      </c>
      <c r="C90" s="312">
        <f>+C65+C89</f>
        <v>47713514</v>
      </c>
      <c r="D90" s="312">
        <f>+D65+D89</f>
        <v>64664729</v>
      </c>
      <c r="E90" s="34">
        <f>+E65+E89</f>
        <v>165915335</v>
      </c>
    </row>
    <row r="91" spans="1:6" s="306" customFormat="1" ht="12" customHeight="1">
      <c r="A91" s="334"/>
      <c r="B91" s="333"/>
      <c r="C91" s="332"/>
      <c r="D91" s="331"/>
      <c r="E91" s="330"/>
    </row>
    <row r="92" spans="1:6" s="306" customFormat="1" ht="12" customHeight="1">
      <c r="A92" s="513" t="s">
        <v>145</v>
      </c>
      <c r="B92" s="513"/>
      <c r="C92" s="513"/>
      <c r="D92" s="513"/>
      <c r="E92" s="513"/>
    </row>
    <row r="93" spans="1:6" s="306" customFormat="1" ht="12" customHeight="1" thickBot="1">
      <c r="A93" s="518" t="s">
        <v>144</v>
      </c>
      <c r="B93" s="518"/>
      <c r="C93" s="304"/>
      <c r="D93" s="329"/>
      <c r="E93" s="328" t="str">
        <f>E5</f>
        <v>Forintban!</v>
      </c>
    </row>
    <row r="94" spans="1:6" s="306" customFormat="1" ht="24" customHeight="1" thickBot="1">
      <c r="A94" s="327" t="s">
        <v>376</v>
      </c>
      <c r="B94" s="326" t="s">
        <v>142</v>
      </c>
      <c r="C94" s="326" t="str">
        <f>+C6</f>
        <v>2017. évi tény</v>
      </c>
      <c r="D94" s="326" t="str">
        <f>+D6</f>
        <v>2018. évi várható</v>
      </c>
      <c r="E94" s="325" t="str">
        <f>+E6</f>
        <v>2019. évi előirányzat</v>
      </c>
      <c r="F94" s="320"/>
    </row>
    <row r="95" spans="1:6" s="306" customFormat="1" ht="12" customHeight="1" thickBot="1">
      <c r="A95" s="324" t="s">
        <v>141</v>
      </c>
      <c r="B95" s="323" t="s">
        <v>140</v>
      </c>
      <c r="C95" s="323" t="s">
        <v>334</v>
      </c>
      <c r="D95" s="323" t="s">
        <v>333</v>
      </c>
      <c r="E95" s="322" t="s">
        <v>372</v>
      </c>
      <c r="F95" s="320"/>
    </row>
    <row r="96" spans="1:6" s="306" customFormat="1" ht="15.2" customHeight="1" thickBot="1">
      <c r="A96" s="60" t="s">
        <v>139</v>
      </c>
      <c r="B96" s="59" t="s">
        <v>138</v>
      </c>
      <c r="C96" s="321">
        <f>C97+C98+C99+C100+C101+C114</f>
        <v>33231929</v>
      </c>
      <c r="D96" s="321">
        <f>D97+D98+D99+D100+D101+D114</f>
        <v>33094899</v>
      </c>
      <c r="E96" s="58">
        <f>E97+E98+E99+E100+E101+E114</f>
        <v>43869912</v>
      </c>
      <c r="F96" s="320"/>
    </row>
    <row r="97" spans="1:5" s="306" customFormat="1" ht="12.95" customHeight="1">
      <c r="A97" s="57" t="s">
        <v>137</v>
      </c>
      <c r="B97" s="56" t="s">
        <v>136</v>
      </c>
      <c r="C97" s="319">
        <v>14957768</v>
      </c>
      <c r="D97" s="319">
        <v>14190421</v>
      </c>
      <c r="E97" s="55">
        <v>6783110</v>
      </c>
    </row>
    <row r="98" spans="1:5" ht="16.5" customHeight="1">
      <c r="A98" s="48" t="s">
        <v>135</v>
      </c>
      <c r="B98" s="42" t="s">
        <v>134</v>
      </c>
      <c r="C98" s="310">
        <v>2244926</v>
      </c>
      <c r="D98" s="310">
        <v>1788267</v>
      </c>
      <c r="E98" s="40">
        <v>1171668</v>
      </c>
    </row>
    <row r="99" spans="1:5">
      <c r="A99" s="48" t="s">
        <v>133</v>
      </c>
      <c r="B99" s="42" t="s">
        <v>132</v>
      </c>
      <c r="C99" s="314">
        <v>10697253</v>
      </c>
      <c r="D99" s="314">
        <v>10407748</v>
      </c>
      <c r="E99" s="50">
        <v>24912800</v>
      </c>
    </row>
    <row r="100" spans="1:5" s="318" customFormat="1" ht="12" customHeight="1">
      <c r="A100" s="48" t="s">
        <v>131</v>
      </c>
      <c r="B100" s="49" t="s">
        <v>130</v>
      </c>
      <c r="C100" s="314">
        <v>3693060</v>
      </c>
      <c r="D100" s="314">
        <v>4306779</v>
      </c>
      <c r="E100" s="50">
        <v>5200000</v>
      </c>
    </row>
    <row r="101" spans="1:5" ht="12" customHeight="1">
      <c r="A101" s="48" t="s">
        <v>129</v>
      </c>
      <c r="B101" s="54" t="s">
        <v>128</v>
      </c>
      <c r="C101" s="314">
        <v>1638922</v>
      </c>
      <c r="D101" s="314">
        <v>2401684</v>
      </c>
      <c r="E101" s="50">
        <v>3802334</v>
      </c>
    </row>
    <row r="102" spans="1:5" ht="12" customHeight="1">
      <c r="A102" s="48" t="s">
        <v>127</v>
      </c>
      <c r="B102" s="42" t="s">
        <v>126</v>
      </c>
      <c r="C102" s="314"/>
      <c r="D102" s="314">
        <v>761184</v>
      </c>
      <c r="E102" s="50"/>
    </row>
    <row r="103" spans="1:5" ht="12" customHeight="1">
      <c r="A103" s="48" t="s">
        <v>125</v>
      </c>
      <c r="B103" s="51" t="s">
        <v>124</v>
      </c>
      <c r="C103" s="314"/>
      <c r="D103" s="314"/>
      <c r="E103" s="50"/>
    </row>
    <row r="104" spans="1:5" ht="12" customHeight="1">
      <c r="A104" s="48" t="s">
        <v>123</v>
      </c>
      <c r="B104" s="51" t="s">
        <v>122</v>
      </c>
      <c r="C104" s="314">
        <v>3184</v>
      </c>
      <c r="D104" s="314"/>
      <c r="E104" s="50"/>
    </row>
    <row r="105" spans="1:5" ht="12" customHeight="1">
      <c r="A105" s="48" t="s">
        <v>121</v>
      </c>
      <c r="B105" s="53" t="s">
        <v>120</v>
      </c>
      <c r="C105" s="314"/>
      <c r="D105" s="314"/>
      <c r="E105" s="50"/>
    </row>
    <row r="106" spans="1:5" ht="12" customHeight="1">
      <c r="A106" s="48" t="s">
        <v>119</v>
      </c>
      <c r="B106" s="36" t="s">
        <v>118</v>
      </c>
      <c r="C106" s="314"/>
      <c r="D106" s="314"/>
      <c r="E106" s="50"/>
    </row>
    <row r="107" spans="1:5" ht="12" customHeight="1">
      <c r="A107" s="48" t="s">
        <v>117</v>
      </c>
      <c r="B107" s="36" t="s">
        <v>83</v>
      </c>
      <c r="C107" s="314"/>
      <c r="D107" s="314"/>
      <c r="E107" s="50"/>
    </row>
    <row r="108" spans="1:5" ht="12" customHeight="1">
      <c r="A108" s="48" t="s">
        <v>116</v>
      </c>
      <c r="B108" s="53" t="s">
        <v>115</v>
      </c>
      <c r="C108" s="314">
        <v>1525738</v>
      </c>
      <c r="D108" s="314">
        <v>1430500</v>
      </c>
      <c r="E108" s="50">
        <v>3567814</v>
      </c>
    </row>
    <row r="109" spans="1:5" ht="12" customHeight="1">
      <c r="A109" s="48" t="s">
        <v>114</v>
      </c>
      <c r="B109" s="53" t="s">
        <v>113</v>
      </c>
      <c r="C109" s="314"/>
      <c r="D109" s="314"/>
      <c r="E109" s="50"/>
    </row>
    <row r="110" spans="1:5" ht="12" customHeight="1">
      <c r="A110" s="48" t="s">
        <v>112</v>
      </c>
      <c r="B110" s="36" t="s">
        <v>77</v>
      </c>
      <c r="C110" s="314"/>
      <c r="D110" s="314"/>
      <c r="E110" s="50"/>
    </row>
    <row r="111" spans="1:5" ht="12" customHeight="1">
      <c r="A111" s="33" t="s">
        <v>111</v>
      </c>
      <c r="B111" s="51" t="s">
        <v>110</v>
      </c>
      <c r="C111" s="314"/>
      <c r="D111" s="314"/>
      <c r="E111" s="50"/>
    </row>
    <row r="112" spans="1:5" ht="12" customHeight="1">
      <c r="A112" s="48" t="s">
        <v>109</v>
      </c>
      <c r="B112" s="51" t="s">
        <v>108</v>
      </c>
      <c r="C112" s="314"/>
      <c r="D112" s="314"/>
      <c r="E112" s="50"/>
    </row>
    <row r="113" spans="1:5" ht="12" customHeight="1">
      <c r="A113" s="52" t="s">
        <v>107</v>
      </c>
      <c r="B113" s="51" t="s">
        <v>106</v>
      </c>
      <c r="C113" s="314">
        <v>110000</v>
      </c>
      <c r="D113" s="314">
        <v>210000</v>
      </c>
      <c r="E113" s="50">
        <v>234520</v>
      </c>
    </row>
    <row r="114" spans="1:5" ht="12" customHeight="1">
      <c r="A114" s="48" t="s">
        <v>105</v>
      </c>
      <c r="B114" s="49" t="s">
        <v>104</v>
      </c>
      <c r="C114" s="310"/>
      <c r="D114" s="310"/>
      <c r="E114" s="40">
        <v>2000000</v>
      </c>
    </row>
    <row r="115" spans="1:5" ht="12" customHeight="1">
      <c r="A115" s="48" t="s">
        <v>103</v>
      </c>
      <c r="B115" s="42" t="s">
        <v>102</v>
      </c>
      <c r="C115" s="310"/>
      <c r="D115" s="310"/>
      <c r="E115" s="40">
        <v>1000000</v>
      </c>
    </row>
    <row r="116" spans="1:5" ht="12" customHeight="1" thickBot="1">
      <c r="A116" s="30" t="s">
        <v>101</v>
      </c>
      <c r="B116" s="47" t="s">
        <v>100</v>
      </c>
      <c r="C116" s="317"/>
      <c r="D116" s="317"/>
      <c r="E116" s="46">
        <v>1000000</v>
      </c>
    </row>
    <row r="117" spans="1:5" ht="12" customHeight="1" thickBot="1">
      <c r="A117" s="45" t="s">
        <v>15</v>
      </c>
      <c r="B117" s="44" t="s">
        <v>99</v>
      </c>
      <c r="C117" s="316">
        <f>+C118+C120+C122</f>
        <v>4084950</v>
      </c>
      <c r="D117" s="316">
        <f>+D118+D120+D122</f>
        <v>4072455</v>
      </c>
      <c r="E117" s="43">
        <f>+E118+E120+E122</f>
        <v>121190528</v>
      </c>
    </row>
    <row r="118" spans="1:5" ht="12" customHeight="1">
      <c r="A118" s="26" t="s">
        <v>98</v>
      </c>
      <c r="B118" s="42" t="s">
        <v>97</v>
      </c>
      <c r="C118" s="315">
        <v>3449950</v>
      </c>
      <c r="D118" s="315">
        <v>3266135</v>
      </c>
      <c r="E118" s="41"/>
    </row>
    <row r="119" spans="1:5">
      <c r="A119" s="26" t="s">
        <v>96</v>
      </c>
      <c r="B119" s="35" t="s">
        <v>95</v>
      </c>
      <c r="C119" s="315"/>
      <c r="D119" s="315"/>
      <c r="E119" s="41"/>
    </row>
    <row r="120" spans="1:5" ht="12" customHeight="1">
      <c r="A120" s="26" t="s">
        <v>94</v>
      </c>
      <c r="B120" s="35" t="s">
        <v>93</v>
      </c>
      <c r="C120" s="310"/>
      <c r="D120" s="310">
        <v>806320</v>
      </c>
      <c r="E120" s="40">
        <v>105406449</v>
      </c>
    </row>
    <row r="121" spans="1:5" ht="12" customHeight="1">
      <c r="A121" s="26" t="s">
        <v>92</v>
      </c>
      <c r="B121" s="35" t="s">
        <v>91</v>
      </c>
      <c r="C121" s="310"/>
      <c r="D121" s="310"/>
      <c r="E121" s="24">
        <v>105406449</v>
      </c>
    </row>
    <row r="122" spans="1:5" ht="12" customHeight="1">
      <c r="A122" s="26" t="s">
        <v>90</v>
      </c>
      <c r="B122" s="39" t="s">
        <v>361</v>
      </c>
      <c r="C122" s="310">
        <v>635000</v>
      </c>
      <c r="D122" s="310"/>
      <c r="E122" s="24">
        <v>15784079</v>
      </c>
    </row>
    <row r="123" spans="1:5" ht="12" customHeight="1">
      <c r="A123" s="26" t="s">
        <v>88</v>
      </c>
      <c r="B123" s="38" t="s">
        <v>87</v>
      </c>
      <c r="C123" s="310"/>
      <c r="D123" s="310"/>
      <c r="E123" s="24"/>
    </row>
    <row r="124" spans="1:5" ht="12" customHeight="1">
      <c r="A124" s="26" t="s">
        <v>86</v>
      </c>
      <c r="B124" s="37" t="s">
        <v>85</v>
      </c>
      <c r="C124" s="310"/>
      <c r="D124" s="310"/>
      <c r="E124" s="24"/>
    </row>
    <row r="125" spans="1:5" ht="12" customHeight="1">
      <c r="A125" s="26" t="s">
        <v>84</v>
      </c>
      <c r="B125" s="36" t="s">
        <v>83</v>
      </c>
      <c r="C125" s="310"/>
      <c r="D125" s="310"/>
      <c r="E125" s="24"/>
    </row>
    <row r="126" spans="1:5" ht="12" customHeight="1">
      <c r="A126" s="26" t="s">
        <v>82</v>
      </c>
      <c r="B126" s="36" t="s">
        <v>81</v>
      </c>
      <c r="C126" s="310">
        <v>635000</v>
      </c>
      <c r="D126" s="310"/>
      <c r="E126" s="24"/>
    </row>
    <row r="127" spans="1:5" ht="12" customHeight="1">
      <c r="A127" s="26" t="s">
        <v>80</v>
      </c>
      <c r="B127" s="36" t="s">
        <v>79</v>
      </c>
      <c r="C127" s="310"/>
      <c r="D127" s="310"/>
      <c r="E127" s="24"/>
    </row>
    <row r="128" spans="1:5" ht="12" customHeight="1">
      <c r="A128" s="26" t="s">
        <v>78</v>
      </c>
      <c r="B128" s="36" t="s">
        <v>77</v>
      </c>
      <c r="C128" s="310"/>
      <c r="D128" s="310"/>
      <c r="E128" s="24">
        <v>15784079</v>
      </c>
    </row>
    <row r="129" spans="1:5" ht="12" customHeight="1">
      <c r="A129" s="26" t="s">
        <v>76</v>
      </c>
      <c r="B129" s="36" t="s">
        <v>75</v>
      </c>
      <c r="C129" s="310"/>
      <c r="D129" s="310"/>
      <c r="E129" s="24"/>
    </row>
    <row r="130" spans="1:5" ht="12" customHeight="1" thickBot="1">
      <c r="A130" s="33" t="s">
        <v>74</v>
      </c>
      <c r="B130" s="36" t="s">
        <v>73</v>
      </c>
      <c r="C130" s="314"/>
      <c r="D130" s="314"/>
      <c r="E130" s="31"/>
    </row>
    <row r="131" spans="1:5" ht="12" customHeight="1" thickBot="1">
      <c r="A131" s="11" t="s">
        <v>72</v>
      </c>
      <c r="B131" s="22" t="s">
        <v>71</v>
      </c>
      <c r="C131" s="313">
        <f>+C96+C117</f>
        <v>37316879</v>
      </c>
      <c r="D131" s="313">
        <f>+D96+D117</f>
        <v>37167354</v>
      </c>
      <c r="E131" s="9">
        <f>+E96+E117</f>
        <v>165060440</v>
      </c>
    </row>
    <row r="132" spans="1:5" ht="12" customHeight="1" thickBot="1">
      <c r="A132" s="11" t="s">
        <v>70</v>
      </c>
      <c r="B132" s="22" t="s">
        <v>69</v>
      </c>
      <c r="C132" s="313">
        <f>+C133+C134+C135</f>
        <v>0</v>
      </c>
      <c r="D132" s="313">
        <f>+D133+D134+D135</f>
        <v>0</v>
      </c>
      <c r="E132" s="9">
        <f>+E133+E134+E135</f>
        <v>0</v>
      </c>
    </row>
    <row r="133" spans="1:5" ht="12" customHeight="1">
      <c r="A133" s="26" t="s">
        <v>68</v>
      </c>
      <c r="B133" s="35" t="s">
        <v>67</v>
      </c>
      <c r="C133" s="310"/>
      <c r="D133" s="310"/>
      <c r="E133" s="24"/>
    </row>
    <row r="134" spans="1:5" ht="12" customHeight="1">
      <c r="A134" s="26" t="s">
        <v>66</v>
      </c>
      <c r="B134" s="35" t="s">
        <v>65</v>
      </c>
      <c r="C134" s="310"/>
      <c r="D134" s="310"/>
      <c r="E134" s="24"/>
    </row>
    <row r="135" spans="1:5" ht="12" customHeight="1" thickBot="1">
      <c r="A135" s="33" t="s">
        <v>64</v>
      </c>
      <c r="B135" s="35" t="s">
        <v>63</v>
      </c>
      <c r="C135" s="310"/>
      <c r="D135" s="310"/>
      <c r="E135" s="24"/>
    </row>
    <row r="136" spans="1:5" ht="12" customHeight="1" thickBot="1">
      <c r="A136" s="11" t="s">
        <v>62</v>
      </c>
      <c r="B136" s="22" t="s">
        <v>61</v>
      </c>
      <c r="C136" s="313">
        <f>SUM(C137:C142)</f>
        <v>0</v>
      </c>
      <c r="D136" s="313">
        <f>SUM(D137:D142)</f>
        <v>0</v>
      </c>
      <c r="E136" s="9">
        <f>SUM(E137:E142)</f>
        <v>0</v>
      </c>
    </row>
    <row r="137" spans="1:5" ht="12" customHeight="1">
      <c r="A137" s="26" t="s">
        <v>60</v>
      </c>
      <c r="B137" s="25" t="s">
        <v>59</v>
      </c>
      <c r="C137" s="310"/>
      <c r="D137" s="310"/>
      <c r="E137" s="24"/>
    </row>
    <row r="138" spans="1:5" ht="12" customHeight="1">
      <c r="A138" s="26" t="s">
        <v>58</v>
      </c>
      <c r="B138" s="25" t="s">
        <v>57</v>
      </c>
      <c r="C138" s="310"/>
      <c r="D138" s="310"/>
      <c r="E138" s="24"/>
    </row>
    <row r="139" spans="1:5" ht="12" customHeight="1">
      <c r="A139" s="26" t="s">
        <v>56</v>
      </c>
      <c r="B139" s="25" t="s">
        <v>55</v>
      </c>
      <c r="C139" s="310"/>
      <c r="D139" s="310"/>
      <c r="E139" s="24"/>
    </row>
    <row r="140" spans="1:5" ht="12" customHeight="1">
      <c r="A140" s="26" t="s">
        <v>54</v>
      </c>
      <c r="B140" s="25" t="s">
        <v>53</v>
      </c>
      <c r="C140" s="310"/>
      <c r="D140" s="310"/>
      <c r="E140" s="24"/>
    </row>
    <row r="141" spans="1:5" ht="12" customHeight="1">
      <c r="A141" s="26" t="s">
        <v>52</v>
      </c>
      <c r="B141" s="25" t="s">
        <v>51</v>
      </c>
      <c r="C141" s="310"/>
      <c r="D141" s="310"/>
      <c r="E141" s="31"/>
    </row>
    <row r="142" spans="1:5" ht="12" customHeight="1" thickBot="1">
      <c r="A142" s="33" t="s">
        <v>50</v>
      </c>
      <c r="B142" s="25" t="s">
        <v>49</v>
      </c>
      <c r="C142" s="310"/>
      <c r="D142" s="310"/>
      <c r="E142" s="28"/>
    </row>
    <row r="143" spans="1:5" ht="12" customHeight="1" thickBot="1">
      <c r="A143" s="11" t="s">
        <v>48</v>
      </c>
      <c r="B143" s="22" t="s">
        <v>47</v>
      </c>
      <c r="C143" s="312">
        <f>+C144+C145+C146+C147</f>
        <v>693015</v>
      </c>
      <c r="D143" s="312">
        <f>+D144+D145+D146+D147</f>
        <v>773996</v>
      </c>
      <c r="E143" s="34">
        <f>+E144+E145+E146+E147</f>
        <v>854895</v>
      </c>
    </row>
    <row r="144" spans="1:5" ht="12" customHeight="1">
      <c r="A144" s="26" t="s">
        <v>46</v>
      </c>
      <c r="B144" s="25" t="s">
        <v>45</v>
      </c>
      <c r="C144" s="310"/>
      <c r="D144" s="310"/>
      <c r="E144" s="24"/>
    </row>
    <row r="145" spans="1:6" ht="12" customHeight="1">
      <c r="A145" s="26" t="s">
        <v>44</v>
      </c>
      <c r="B145" s="25" t="s">
        <v>43</v>
      </c>
      <c r="C145" s="310">
        <v>693015</v>
      </c>
      <c r="D145" s="310">
        <v>773996</v>
      </c>
      <c r="E145" s="24">
        <v>854895</v>
      </c>
    </row>
    <row r="146" spans="1:6" ht="12" customHeight="1">
      <c r="A146" s="26" t="s">
        <v>42</v>
      </c>
      <c r="B146" s="25" t="s">
        <v>41</v>
      </c>
      <c r="C146" s="310"/>
      <c r="D146" s="310"/>
      <c r="E146" s="31"/>
    </row>
    <row r="147" spans="1:6" ht="12" customHeight="1" thickBot="1">
      <c r="A147" s="33" t="s">
        <v>40</v>
      </c>
      <c r="B147" s="32" t="s">
        <v>39</v>
      </c>
      <c r="C147" s="310"/>
      <c r="D147" s="310"/>
      <c r="E147" s="28"/>
    </row>
    <row r="148" spans="1:6" ht="12" customHeight="1" thickBot="1">
      <c r="A148" s="11" t="s">
        <v>38</v>
      </c>
      <c r="B148" s="22" t="s">
        <v>37</v>
      </c>
      <c r="C148" s="311">
        <f>SUM(C149:C153)</f>
        <v>0</v>
      </c>
      <c r="D148" s="311">
        <f>SUM(D149:D153)</f>
        <v>0</v>
      </c>
      <c r="E148" s="27">
        <f>SUM(E149:E153)</f>
        <v>0</v>
      </c>
    </row>
    <row r="149" spans="1:6" ht="12" customHeight="1">
      <c r="A149" s="26" t="s">
        <v>36</v>
      </c>
      <c r="B149" s="25" t="s">
        <v>35</v>
      </c>
      <c r="C149" s="310"/>
      <c r="D149" s="310"/>
      <c r="E149" s="24"/>
    </row>
    <row r="150" spans="1:6" ht="12" customHeight="1">
      <c r="A150" s="26" t="s">
        <v>34</v>
      </c>
      <c r="B150" s="25" t="s">
        <v>33</v>
      </c>
      <c r="C150" s="310"/>
      <c r="D150" s="310"/>
      <c r="E150" s="24"/>
    </row>
    <row r="151" spans="1:6" ht="12" customHeight="1">
      <c r="A151" s="26" t="s">
        <v>32</v>
      </c>
      <c r="B151" s="25" t="s">
        <v>31</v>
      </c>
      <c r="C151" s="310"/>
      <c r="D151" s="310"/>
      <c r="E151" s="24"/>
    </row>
    <row r="152" spans="1:6" ht="12" customHeight="1">
      <c r="A152" s="26" t="s">
        <v>30</v>
      </c>
      <c r="B152" s="25" t="s">
        <v>426</v>
      </c>
      <c r="C152" s="310"/>
      <c r="D152" s="310"/>
      <c r="E152" s="24"/>
    </row>
    <row r="153" spans="1:6" ht="12" customHeight="1" thickBot="1">
      <c r="A153" s="26" t="s">
        <v>28</v>
      </c>
      <c r="B153" s="25" t="s">
        <v>27</v>
      </c>
      <c r="C153" s="310"/>
      <c r="D153" s="310"/>
      <c r="E153" s="24"/>
    </row>
    <row r="154" spans="1:6" ht="12" customHeight="1" thickBot="1">
      <c r="A154" s="11" t="s">
        <v>26</v>
      </c>
      <c r="B154" s="22" t="s">
        <v>25</v>
      </c>
      <c r="C154" s="309"/>
      <c r="D154" s="309"/>
      <c r="E154" s="23"/>
    </row>
    <row r="155" spans="1:6" ht="12" customHeight="1" thickBot="1">
      <c r="A155" s="11" t="s">
        <v>24</v>
      </c>
      <c r="B155" s="22" t="s">
        <v>23</v>
      </c>
      <c r="C155" s="309"/>
      <c r="D155" s="309"/>
      <c r="E155" s="23"/>
    </row>
    <row r="156" spans="1:6" ht="15.2" customHeight="1" thickBot="1">
      <c r="A156" s="11" t="s">
        <v>22</v>
      </c>
      <c r="B156" s="22" t="s">
        <v>21</v>
      </c>
      <c r="C156" s="307">
        <f>+C132+C136+C143+C148+C154+C155</f>
        <v>693015</v>
      </c>
      <c r="D156" s="307">
        <f>+D132+D136+D143+D148+D154+D155</f>
        <v>773996</v>
      </c>
      <c r="E156" s="17">
        <f>+E132+E136+E143+E148+E154+E155</f>
        <v>854895</v>
      </c>
      <c r="F156" s="225"/>
    </row>
    <row r="157" spans="1:6" s="306" customFormat="1" ht="12.95" customHeight="1" thickBot="1">
      <c r="A157" s="19" t="s">
        <v>20</v>
      </c>
      <c r="B157" s="308" t="s">
        <v>19</v>
      </c>
      <c r="C157" s="307">
        <f>+C131+C156</f>
        <v>38009894</v>
      </c>
      <c r="D157" s="307">
        <f>+D131+D156</f>
        <v>37941350</v>
      </c>
      <c r="E157" s="17">
        <f>+E131+E156</f>
        <v>165915335</v>
      </c>
    </row>
    <row r="158" spans="1:6">
      <c r="C158" s="303"/>
      <c r="E158" s="305">
        <f>E90-E157</f>
        <v>0</v>
      </c>
    </row>
    <row r="159" spans="1:6">
      <c r="C159" s="303"/>
    </row>
    <row r="160" spans="1:6">
      <c r="C160" s="303"/>
    </row>
    <row r="161" spans="3:3" s="302" customFormat="1" ht="16.5" customHeight="1">
      <c r="C161" s="303"/>
    </row>
    <row r="162" spans="3:3" s="302" customFormat="1">
      <c r="C162" s="303"/>
    </row>
    <row r="163" spans="3:3" s="302" customFormat="1">
      <c r="C163" s="303"/>
    </row>
    <row r="164" spans="3:3" s="302" customFormat="1">
      <c r="C164" s="303"/>
    </row>
    <row r="165" spans="3:3" s="302" customFormat="1">
      <c r="C165" s="303"/>
    </row>
    <row r="166" spans="3:3" s="302" customFormat="1">
      <c r="C166" s="303"/>
    </row>
    <row r="167" spans="3:3" s="302" customFormat="1">
      <c r="C167" s="303"/>
    </row>
    <row r="168" spans="3:3" s="302" customFormat="1">
      <c r="C168" s="303"/>
    </row>
    <row r="169" spans="3:3" s="302" customFormat="1">
      <c r="C169" s="303"/>
    </row>
    <row r="170" spans="3:3" s="302" customFormat="1">
      <c r="C170" s="303"/>
    </row>
  </sheetData>
  <mergeCells count="6">
    <mergeCell ref="A4:E4"/>
    <mergeCell ref="A92:E92"/>
    <mergeCell ref="A93:B93"/>
    <mergeCell ref="A5:B5"/>
    <mergeCell ref="A2:E2"/>
    <mergeCell ref="A3:E3"/>
  </mergeCells>
  <printOptions horizontalCentered="1"/>
  <pageMargins left="0" right="0" top="0" bottom="0" header="0" footer="0"/>
  <pageSetup paperSize="9" scale="85" fitToHeight="2" orientation="portrait" r:id="rId1"/>
  <headerFooter alignWithMargins="0"/>
  <rowBreaks count="1" manualBreakCount="1">
    <brk id="9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18"/>
  <sheetViews>
    <sheetView topLeftCell="A7" zoomScale="120" zoomScaleNormal="120" workbookViewId="0">
      <selection activeCell="J19" sqref="J19"/>
    </sheetView>
  </sheetViews>
  <sheetFormatPr defaultRowHeight="12.75"/>
  <cols>
    <col min="1" max="1" width="6.83203125" style="110" customWidth="1"/>
    <col min="2" max="2" width="49.6640625" style="109" customWidth="1"/>
    <col min="3" max="8" width="12.83203125" style="109" customWidth="1"/>
    <col min="9" max="9" width="14.33203125" style="109" customWidth="1"/>
    <col min="10" max="10" width="4.33203125" style="109" customWidth="1"/>
    <col min="11" max="16384" width="9.33203125" style="109"/>
  </cols>
  <sheetData>
    <row r="1" spans="1:10" ht="27.75" customHeight="1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72" t="str">
        <f>CONCATENATE("2. tájékoztató tábla ",[1]ALAPADATOK!A7," ",[1]ALAPADATOK!B7," ",[1]ALAPADATOK!C7," ",[1]ALAPADATOK!D7," ",[1]ALAPADATOK!E7," ",[1]ALAPADATOK!F7," ",[1]ALAPADATOK!G7," ",[1]ALAPADATOK!H7)</f>
        <v>2. tájékoztató tábla a 1 / 2019 ( III.13 ) önkormányzati rendelethez</v>
      </c>
    </row>
    <row r="2" spans="1:10" ht="20.45" customHeight="1" thickBot="1">
      <c r="B2" s="109" t="s">
        <v>377</v>
      </c>
      <c r="I2" s="388" t="str">
        <f>KV_1.sz.tájékoztató_t.!E5</f>
        <v>Forintban!</v>
      </c>
      <c r="J2" s="572"/>
    </row>
    <row r="3" spans="1:10" s="387" customFormat="1" ht="26.45" customHeight="1">
      <c r="A3" s="580" t="s">
        <v>143</v>
      </c>
      <c r="B3" s="575" t="s">
        <v>447</v>
      </c>
      <c r="C3" s="580" t="s">
        <v>446</v>
      </c>
      <c r="D3" s="580" t="str">
        <f>+CONCATENATE(LEFT(KV_ÖSSZEFÜGGÉSEK!A5,4)," előtti kifizetés")</f>
        <v>2019 előtti kifizetés</v>
      </c>
      <c r="E3" s="577" t="s">
        <v>445</v>
      </c>
      <c r="F3" s="578"/>
      <c r="G3" s="578"/>
      <c r="H3" s="579"/>
      <c r="I3" s="575" t="s">
        <v>405</v>
      </c>
      <c r="J3" s="572"/>
    </row>
    <row r="4" spans="1:10" s="384" customFormat="1" ht="32.450000000000003" customHeight="1" thickBot="1">
      <c r="A4" s="581"/>
      <c r="B4" s="576"/>
      <c r="C4" s="576"/>
      <c r="D4" s="581"/>
      <c r="E4" s="386" t="str">
        <f>+CONCATENATE(LEFT(KV_ÖSSZEFÜGGÉSEK!A5,4),".")</f>
        <v>2019.</v>
      </c>
      <c r="F4" s="386" t="str">
        <f>+CONCATENATE(LEFT(KV_ÖSSZEFÜGGÉSEK!A5,4)+1,".")</f>
        <v>2020.</v>
      </c>
      <c r="G4" s="386" t="str">
        <f>+CONCATENATE(LEFT(KV_ÖSSZEFÜGGÉSEK!A5,4)+2,".")</f>
        <v>2021.</v>
      </c>
      <c r="H4" s="385" t="str">
        <f>+CONCATENATE(LEFT(KV_ÖSSZEFÜGGÉSEK!A5,4)+2,".",CHAR(10)," után")</f>
        <v>2021.
 után</v>
      </c>
      <c r="I4" s="576"/>
      <c r="J4" s="572"/>
    </row>
    <row r="5" spans="1:10" s="378" customFormat="1" ht="12.95" customHeight="1" thickBot="1">
      <c r="A5" s="382" t="s">
        <v>141</v>
      </c>
      <c r="B5" s="383" t="s">
        <v>140</v>
      </c>
      <c r="C5" s="381" t="s">
        <v>334</v>
      </c>
      <c r="D5" s="383" t="s">
        <v>333</v>
      </c>
      <c r="E5" s="382" t="s">
        <v>372</v>
      </c>
      <c r="F5" s="381" t="s">
        <v>444</v>
      </c>
      <c r="G5" s="381" t="s">
        <v>443</v>
      </c>
      <c r="H5" s="380" t="s">
        <v>442</v>
      </c>
      <c r="I5" s="379" t="s">
        <v>441</v>
      </c>
      <c r="J5" s="572"/>
    </row>
    <row r="6" spans="1:10" ht="24.75" customHeight="1" thickBot="1">
      <c r="A6" s="360" t="s">
        <v>139</v>
      </c>
      <c r="B6" s="369" t="s">
        <v>440</v>
      </c>
      <c r="C6" s="358"/>
      <c r="D6" s="348">
        <f>+D7+D8</f>
        <v>0</v>
      </c>
      <c r="E6" s="347">
        <f>+E7+E8</f>
        <v>0</v>
      </c>
      <c r="F6" s="346">
        <f>+F7+F8</f>
        <v>0</v>
      </c>
      <c r="G6" s="346">
        <f>+G7+G8</f>
        <v>0</v>
      </c>
      <c r="H6" s="345">
        <f>+H7+H8</f>
        <v>0</v>
      </c>
      <c r="I6" s="344">
        <f t="shared" ref="I6:I17" si="0">SUM(D6:H6)</f>
        <v>0</v>
      </c>
      <c r="J6" s="572"/>
    </row>
    <row r="7" spans="1:10" ht="20.100000000000001" customHeight="1">
      <c r="A7" s="377" t="s">
        <v>15</v>
      </c>
      <c r="B7" s="376" t="s">
        <v>435</v>
      </c>
      <c r="C7" s="375"/>
      <c r="D7" s="374"/>
      <c r="E7" s="373"/>
      <c r="F7" s="372"/>
      <c r="G7" s="372"/>
      <c r="H7" s="371"/>
      <c r="I7" s="370">
        <f t="shared" si="0"/>
        <v>0</v>
      </c>
      <c r="J7" s="572"/>
    </row>
    <row r="8" spans="1:10" ht="20.100000000000001" customHeight="1" thickBot="1">
      <c r="A8" s="377" t="s">
        <v>72</v>
      </c>
      <c r="B8" s="376" t="s">
        <v>435</v>
      </c>
      <c r="C8" s="375"/>
      <c r="D8" s="374"/>
      <c r="E8" s="373"/>
      <c r="F8" s="372"/>
      <c r="G8" s="372"/>
      <c r="H8" s="371"/>
      <c r="I8" s="370">
        <f t="shared" si="0"/>
        <v>0</v>
      </c>
      <c r="J8" s="572"/>
    </row>
    <row r="9" spans="1:10" ht="26.1" customHeight="1" thickBot="1">
      <c r="A9" s="360" t="s">
        <v>70</v>
      </c>
      <c r="B9" s="369" t="s">
        <v>439</v>
      </c>
      <c r="C9" s="358"/>
      <c r="D9" s="348">
        <f>+D10+D11</f>
        <v>0</v>
      </c>
      <c r="E9" s="347">
        <f>+E10+E11</f>
        <v>0</v>
      </c>
      <c r="F9" s="346">
        <f>+F10+F11</f>
        <v>0</v>
      </c>
      <c r="G9" s="346">
        <f>+G10+G11</f>
        <v>0</v>
      </c>
      <c r="H9" s="345">
        <f>+H10+H11</f>
        <v>0</v>
      </c>
      <c r="I9" s="344">
        <f t="shared" si="0"/>
        <v>0</v>
      </c>
      <c r="J9" s="572"/>
    </row>
    <row r="10" spans="1:10" ht="20.100000000000001" customHeight="1">
      <c r="A10" s="377" t="s">
        <v>62</v>
      </c>
      <c r="B10" s="376" t="s">
        <v>435</v>
      </c>
      <c r="C10" s="375"/>
      <c r="D10" s="374"/>
      <c r="E10" s="373"/>
      <c r="F10" s="372"/>
      <c r="G10" s="372"/>
      <c r="H10" s="371"/>
      <c r="I10" s="370">
        <f t="shared" si="0"/>
        <v>0</v>
      </c>
      <c r="J10" s="572"/>
    </row>
    <row r="11" spans="1:10" ht="20.100000000000001" customHeight="1" thickBot="1">
      <c r="A11" s="377" t="s">
        <v>48</v>
      </c>
      <c r="B11" s="376" t="s">
        <v>435</v>
      </c>
      <c r="C11" s="375"/>
      <c r="D11" s="374"/>
      <c r="E11" s="373"/>
      <c r="F11" s="372"/>
      <c r="G11" s="372"/>
      <c r="H11" s="371"/>
      <c r="I11" s="370">
        <f t="shared" si="0"/>
        <v>0</v>
      </c>
      <c r="J11" s="572"/>
    </row>
    <row r="12" spans="1:10" ht="20.100000000000001" customHeight="1" thickBot="1">
      <c r="A12" s="360" t="s">
        <v>38</v>
      </c>
      <c r="B12" s="369" t="s">
        <v>438</v>
      </c>
      <c r="C12" s="358"/>
      <c r="D12" s="348">
        <f>+D13</f>
        <v>0</v>
      </c>
      <c r="E12" s="347">
        <f>+E13</f>
        <v>0</v>
      </c>
      <c r="F12" s="346">
        <f>+F13</f>
        <v>0</v>
      </c>
      <c r="G12" s="346">
        <f>+G13</f>
        <v>0</v>
      </c>
      <c r="H12" s="345">
        <f>+H13</f>
        <v>0</v>
      </c>
      <c r="I12" s="344">
        <f t="shared" si="0"/>
        <v>0</v>
      </c>
      <c r="J12" s="572"/>
    </row>
    <row r="13" spans="1:10" ht="20.100000000000001" customHeight="1" thickBot="1">
      <c r="A13" s="377" t="s">
        <v>26</v>
      </c>
      <c r="B13" s="376" t="s">
        <v>435</v>
      </c>
      <c r="C13" s="375"/>
      <c r="D13" s="374"/>
      <c r="E13" s="373"/>
      <c r="F13" s="372"/>
      <c r="G13" s="372"/>
      <c r="H13" s="371"/>
      <c r="I13" s="370">
        <f t="shared" si="0"/>
        <v>0</v>
      </c>
      <c r="J13" s="572"/>
    </row>
    <row r="14" spans="1:10" ht="20.100000000000001" customHeight="1" thickBot="1">
      <c r="A14" s="360" t="s">
        <v>24</v>
      </c>
      <c r="B14" s="369" t="s">
        <v>437</v>
      </c>
      <c r="C14" s="358"/>
      <c r="D14" s="348">
        <f>+D15</f>
        <v>0</v>
      </c>
      <c r="E14" s="347">
        <f>+E15</f>
        <v>0</v>
      </c>
      <c r="F14" s="346">
        <f>+F15</f>
        <v>0</v>
      </c>
      <c r="G14" s="346">
        <f>+G15</f>
        <v>0</v>
      </c>
      <c r="H14" s="345">
        <f>+H15</f>
        <v>0</v>
      </c>
      <c r="I14" s="344">
        <f t="shared" si="0"/>
        <v>0</v>
      </c>
      <c r="J14" s="572"/>
    </row>
    <row r="15" spans="1:10" ht="20.100000000000001" customHeight="1" thickBot="1">
      <c r="A15" s="368" t="s">
        <v>22</v>
      </c>
      <c r="B15" s="367" t="s">
        <v>435</v>
      </c>
      <c r="C15" s="366"/>
      <c r="D15" s="365"/>
      <c r="E15" s="364"/>
      <c r="F15" s="363"/>
      <c r="G15" s="363"/>
      <c r="H15" s="362"/>
      <c r="I15" s="361">
        <f t="shared" si="0"/>
        <v>0</v>
      </c>
      <c r="J15" s="572"/>
    </row>
    <row r="16" spans="1:10" ht="20.100000000000001" customHeight="1" thickBot="1">
      <c r="A16" s="360" t="s">
        <v>20</v>
      </c>
      <c r="B16" s="359" t="s">
        <v>436</v>
      </c>
      <c r="C16" s="358"/>
      <c r="D16" s="348">
        <f>+D17</f>
        <v>0</v>
      </c>
      <c r="E16" s="347">
        <f>+E17</f>
        <v>0</v>
      </c>
      <c r="F16" s="346">
        <f>+F17</f>
        <v>0</v>
      </c>
      <c r="G16" s="346">
        <f>+G17</f>
        <v>0</v>
      </c>
      <c r="H16" s="345">
        <f>+H17</f>
        <v>0</v>
      </c>
      <c r="I16" s="344">
        <f t="shared" si="0"/>
        <v>0</v>
      </c>
      <c r="J16" s="572"/>
    </row>
    <row r="17" spans="1:10" ht="20.100000000000001" customHeight="1" thickBot="1">
      <c r="A17" s="357" t="s">
        <v>323</v>
      </c>
      <c r="B17" s="356" t="s">
        <v>435</v>
      </c>
      <c r="C17" s="355"/>
      <c r="D17" s="354"/>
      <c r="E17" s="353"/>
      <c r="F17" s="352"/>
      <c r="G17" s="352"/>
      <c r="H17" s="351"/>
      <c r="I17" s="350">
        <f t="shared" si="0"/>
        <v>0</v>
      </c>
      <c r="J17" s="572"/>
    </row>
    <row r="18" spans="1:10" ht="20.100000000000001" customHeight="1" thickBot="1">
      <c r="A18" s="573" t="s">
        <v>434</v>
      </c>
      <c r="B18" s="574"/>
      <c r="C18" s="349"/>
      <c r="D18" s="348">
        <f t="shared" ref="D18:I18" si="1">+D6+D9+D12+D14+D16</f>
        <v>0</v>
      </c>
      <c r="E18" s="347">
        <f t="shared" si="1"/>
        <v>0</v>
      </c>
      <c r="F18" s="346">
        <f t="shared" si="1"/>
        <v>0</v>
      </c>
      <c r="G18" s="346">
        <f t="shared" si="1"/>
        <v>0</v>
      </c>
      <c r="H18" s="345">
        <f t="shared" si="1"/>
        <v>0</v>
      </c>
      <c r="I18" s="344">
        <f t="shared" si="1"/>
        <v>0</v>
      </c>
      <c r="J18" s="572"/>
    </row>
  </sheetData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4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3"/>
  <sheetViews>
    <sheetView zoomScale="120" zoomScaleNormal="120" workbookViewId="0">
      <selection activeCell="D2" sqref="D2"/>
    </sheetView>
  </sheetViews>
  <sheetFormatPr defaultRowHeight="12.75"/>
  <cols>
    <col min="1" max="1" width="5.83203125" style="390" customWidth="1"/>
    <col min="2" max="2" width="54.83203125" style="389" customWidth="1"/>
    <col min="3" max="4" width="17.6640625" style="389" customWidth="1"/>
    <col min="5" max="16384" width="9.33203125" style="389"/>
  </cols>
  <sheetData>
    <row r="1" spans="1:4" ht="14.85" customHeight="1">
      <c r="D1" s="420" t="str">
        <f>CONCATENATE("3. tájékoztató tábla ",[1]ALAPADATOK!A7," ",[1]ALAPADATOK!B7," ",[1]ALAPADATOK!C7," ",[1]ALAPADATOK!D7," ",[1]ALAPADATOK!E7," ",[1]ALAPADATOK!F7," ",[1]ALAPADATOK!G7," ",[1]ALAPADATOK!H7)</f>
        <v>3. tájékoztató tábla a 1 / 2019 ( III.13 ) önkormányzati rendelethez</v>
      </c>
    </row>
    <row r="2" spans="1:4">
      <c r="B2" s="389" t="s">
        <v>377</v>
      </c>
    </row>
    <row r="3" spans="1:4" ht="31.5" customHeight="1">
      <c r="B3" s="583" t="s">
        <v>467</v>
      </c>
      <c r="C3" s="583"/>
      <c r="D3" s="583"/>
    </row>
    <row r="4" spans="1:4" s="416" customFormat="1" ht="16.5" thickBot="1">
      <c r="A4" s="419"/>
      <c r="B4" s="418"/>
      <c r="D4" s="417" t="str">
        <f>KV_2.sz.tájékoztató_t.!I2</f>
        <v>Forintban!</v>
      </c>
    </row>
    <row r="5" spans="1:4" s="409" customFormat="1" ht="48" customHeight="1" thickBot="1">
      <c r="A5" s="415" t="s">
        <v>376</v>
      </c>
      <c r="B5" s="414" t="s">
        <v>278</v>
      </c>
      <c r="C5" s="414" t="s">
        <v>466</v>
      </c>
      <c r="D5" s="413" t="s">
        <v>465</v>
      </c>
    </row>
    <row r="6" spans="1:4" s="409" customFormat="1" ht="14.1" customHeight="1" thickBot="1">
      <c r="A6" s="412" t="s">
        <v>141</v>
      </c>
      <c r="B6" s="411" t="s">
        <v>140</v>
      </c>
      <c r="C6" s="411" t="s">
        <v>334</v>
      </c>
      <c r="D6" s="410" t="s">
        <v>333</v>
      </c>
    </row>
    <row r="7" spans="1:4" ht="18" customHeight="1">
      <c r="A7" s="408" t="s">
        <v>139</v>
      </c>
      <c r="B7" s="407" t="s">
        <v>464</v>
      </c>
      <c r="C7" s="406"/>
      <c r="D7" s="167"/>
    </row>
    <row r="8" spans="1:4" ht="18" customHeight="1">
      <c r="A8" s="401" t="s">
        <v>15</v>
      </c>
      <c r="B8" s="404" t="s">
        <v>463</v>
      </c>
      <c r="C8" s="403"/>
      <c r="D8" s="122"/>
    </row>
    <row r="9" spans="1:4" ht="18" customHeight="1">
      <c r="A9" s="401" t="s">
        <v>72</v>
      </c>
      <c r="B9" s="404" t="s">
        <v>462</v>
      </c>
      <c r="C9" s="403"/>
      <c r="D9" s="122"/>
    </row>
    <row r="10" spans="1:4" ht="18" customHeight="1">
      <c r="A10" s="401" t="s">
        <v>70</v>
      </c>
      <c r="B10" s="404" t="s">
        <v>461</v>
      </c>
      <c r="C10" s="403"/>
      <c r="D10" s="122"/>
    </row>
    <row r="11" spans="1:4" ht="18" customHeight="1">
      <c r="A11" s="401" t="s">
        <v>62</v>
      </c>
      <c r="B11" s="404" t="s">
        <v>460</v>
      </c>
      <c r="C11" s="403"/>
      <c r="D11" s="122"/>
    </row>
    <row r="12" spans="1:4" ht="18" customHeight="1">
      <c r="A12" s="401" t="s">
        <v>48</v>
      </c>
      <c r="B12" s="404" t="s">
        <v>459</v>
      </c>
      <c r="C12" s="403"/>
      <c r="D12" s="122"/>
    </row>
    <row r="13" spans="1:4" ht="18" customHeight="1">
      <c r="A13" s="401" t="s">
        <v>38</v>
      </c>
      <c r="B13" s="405" t="s">
        <v>458</v>
      </c>
      <c r="C13" s="403"/>
      <c r="D13" s="122"/>
    </row>
    <row r="14" spans="1:4" ht="18" customHeight="1">
      <c r="A14" s="401" t="s">
        <v>24</v>
      </c>
      <c r="B14" s="405" t="s">
        <v>457</v>
      </c>
      <c r="C14" s="403"/>
      <c r="D14" s="122"/>
    </row>
    <row r="15" spans="1:4" ht="18" customHeight="1">
      <c r="A15" s="401" t="s">
        <v>22</v>
      </c>
      <c r="B15" s="405" t="s">
        <v>456</v>
      </c>
      <c r="C15" s="403"/>
      <c r="D15" s="122"/>
    </row>
    <row r="16" spans="1:4" ht="18" customHeight="1">
      <c r="A16" s="401" t="s">
        <v>20</v>
      </c>
      <c r="B16" s="405" t="s">
        <v>455</v>
      </c>
      <c r="C16" s="403"/>
      <c r="D16" s="122"/>
    </row>
    <row r="17" spans="1:4" ht="22.5" customHeight="1">
      <c r="A17" s="401" t="s">
        <v>323</v>
      </c>
      <c r="B17" s="405" t="s">
        <v>454</v>
      </c>
      <c r="C17" s="403"/>
      <c r="D17" s="122"/>
    </row>
    <row r="18" spans="1:4" ht="18" customHeight="1">
      <c r="A18" s="401" t="s">
        <v>322</v>
      </c>
      <c r="B18" s="404" t="s">
        <v>453</v>
      </c>
      <c r="C18" s="403"/>
      <c r="D18" s="122"/>
    </row>
    <row r="19" spans="1:4" ht="18" customHeight="1">
      <c r="A19" s="401" t="s">
        <v>319</v>
      </c>
      <c r="B19" s="404" t="s">
        <v>452</v>
      </c>
      <c r="C19" s="403"/>
      <c r="D19" s="122"/>
    </row>
    <row r="20" spans="1:4" ht="18" customHeight="1">
      <c r="A20" s="401" t="s">
        <v>316</v>
      </c>
      <c r="B20" s="404" t="s">
        <v>451</v>
      </c>
      <c r="C20" s="403"/>
      <c r="D20" s="122"/>
    </row>
    <row r="21" spans="1:4" ht="18" customHeight="1">
      <c r="A21" s="401" t="s">
        <v>313</v>
      </c>
      <c r="B21" s="404" t="s">
        <v>450</v>
      </c>
      <c r="C21" s="403"/>
      <c r="D21" s="122"/>
    </row>
    <row r="22" spans="1:4" ht="18" customHeight="1">
      <c r="A22" s="401" t="s">
        <v>310</v>
      </c>
      <c r="B22" s="404" t="s">
        <v>449</v>
      </c>
      <c r="C22" s="403"/>
      <c r="D22" s="122"/>
    </row>
    <row r="23" spans="1:4" ht="18" customHeight="1">
      <c r="A23" s="401" t="s">
        <v>307</v>
      </c>
      <c r="B23" s="402"/>
      <c r="C23" s="124"/>
      <c r="D23" s="122"/>
    </row>
    <row r="24" spans="1:4" ht="18" customHeight="1">
      <c r="A24" s="401" t="s">
        <v>304</v>
      </c>
      <c r="B24" s="400"/>
      <c r="C24" s="124"/>
      <c r="D24" s="122"/>
    </row>
    <row r="25" spans="1:4" ht="18" customHeight="1">
      <c r="A25" s="401" t="s">
        <v>301</v>
      </c>
      <c r="B25" s="400"/>
      <c r="C25" s="124"/>
      <c r="D25" s="122"/>
    </row>
    <row r="26" spans="1:4" ht="18" customHeight="1">
      <c r="A26" s="401" t="s">
        <v>299</v>
      </c>
      <c r="B26" s="400"/>
      <c r="C26" s="124"/>
      <c r="D26" s="122"/>
    </row>
    <row r="27" spans="1:4" ht="18" customHeight="1">
      <c r="A27" s="401" t="s">
        <v>297</v>
      </c>
      <c r="B27" s="400"/>
      <c r="C27" s="124"/>
      <c r="D27" s="122"/>
    </row>
    <row r="28" spans="1:4" ht="18" customHeight="1">
      <c r="A28" s="401" t="s">
        <v>296</v>
      </c>
      <c r="B28" s="400"/>
      <c r="C28" s="124"/>
      <c r="D28" s="122"/>
    </row>
    <row r="29" spans="1:4" ht="18" customHeight="1">
      <c r="A29" s="401" t="s">
        <v>295</v>
      </c>
      <c r="B29" s="400"/>
      <c r="C29" s="124"/>
      <c r="D29" s="122"/>
    </row>
    <row r="30" spans="1:4" ht="18" customHeight="1">
      <c r="A30" s="401" t="s">
        <v>292</v>
      </c>
      <c r="B30" s="400"/>
      <c r="C30" s="124"/>
      <c r="D30" s="122"/>
    </row>
    <row r="31" spans="1:4" ht="18" customHeight="1" thickBot="1">
      <c r="A31" s="399" t="s">
        <v>289</v>
      </c>
      <c r="B31" s="398"/>
      <c r="C31" s="397"/>
      <c r="D31" s="396"/>
    </row>
    <row r="32" spans="1:4" ht="18" customHeight="1" thickBot="1">
      <c r="A32" s="395" t="s">
        <v>286</v>
      </c>
      <c r="B32" s="394" t="s">
        <v>398</v>
      </c>
      <c r="C32" s="393">
        <f>+C7+C8+C9+C10+C11+C18+C19+C20+C21+C22+C23+C24+C25+C26+C27+C28+C29+C30+C31</f>
        <v>0</v>
      </c>
      <c r="D32" s="392">
        <f>+D7+D8+D9+D10+D11+D18+D19+D20+D21+D22+D23+D24+D25+D26+D27+D28+D29+D30+D31</f>
        <v>0</v>
      </c>
    </row>
    <row r="33" spans="1:4" ht="8.4499999999999993" customHeight="1">
      <c r="A33" s="391"/>
      <c r="B33" s="582"/>
      <c r="C33" s="582"/>
      <c r="D33" s="582"/>
    </row>
  </sheetData>
  <mergeCells count="2">
    <mergeCell ref="B33:D33"/>
    <mergeCell ref="B3:D3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Q82"/>
  <sheetViews>
    <sheetView zoomScale="120" zoomScaleNormal="120" workbookViewId="0">
      <selection activeCell="A2" sqref="A2:O2"/>
    </sheetView>
  </sheetViews>
  <sheetFormatPr defaultRowHeight="15.75"/>
  <cols>
    <col min="1" max="1" width="4.83203125" style="422" customWidth="1"/>
    <col min="2" max="2" width="31.1640625" style="421" customWidth="1"/>
    <col min="3" max="4" width="9" style="421" customWidth="1"/>
    <col min="5" max="5" width="9.5" style="421" customWidth="1"/>
    <col min="6" max="6" width="8.83203125" style="421" customWidth="1"/>
    <col min="7" max="7" width="8.6640625" style="421" customWidth="1"/>
    <col min="8" max="8" width="8.83203125" style="421" customWidth="1"/>
    <col min="9" max="9" width="8.1640625" style="421" customWidth="1"/>
    <col min="10" max="14" width="9.5" style="421" customWidth="1"/>
    <col min="15" max="15" width="12.6640625" style="422" customWidth="1"/>
    <col min="16" max="16384" width="9.33203125" style="421"/>
  </cols>
  <sheetData>
    <row r="1" spans="1:17">
      <c r="M1" s="456"/>
      <c r="N1" s="455"/>
      <c r="O1" s="420" t="str">
        <f>CONCATENATE("4. tájékoztató tábla ",[1]ALAPADATOK!A7," ",[1]ALAPADATOK!B7," ",[1]ALAPADATOK!C7," ",[1]ALAPADATOK!D7," ",[1]ALAPADATOK!E7," ",[1]ALAPADATOK!F7," ",[1]ALAPADATOK!G7," ",[1]ALAPADATOK!H7)</f>
        <v>4. tájékoztató tábla a 1 / 2019 ( III.13 ) önkormányzati rendelethez</v>
      </c>
    </row>
    <row r="2" spans="1:17" ht="31.5" customHeight="1">
      <c r="A2" s="587" t="str">
        <f>+CONCATENATE("Előirányzat-felhasználási terv",CHAR(10),LEFT(KV_ÖSSZEFÜGGÉSEK!A5,4),". évre")</f>
        <v>Előirányzat-felhasználási terv
2019. évre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</row>
    <row r="3" spans="1:17" ht="16.5" thickBot="1">
      <c r="O3" s="454" t="str">
        <f>KV_3.sz.tájékoztató_t.!D4</f>
        <v>Forintban!</v>
      </c>
    </row>
    <row r="4" spans="1:17" s="422" customFormat="1" ht="26.1" customHeight="1" thickBot="1">
      <c r="A4" s="453" t="s">
        <v>376</v>
      </c>
      <c r="B4" s="452" t="s">
        <v>335</v>
      </c>
      <c r="C4" s="452" t="s">
        <v>488</v>
      </c>
      <c r="D4" s="452" t="s">
        <v>487</v>
      </c>
      <c r="E4" s="452" t="s">
        <v>486</v>
      </c>
      <c r="F4" s="452" t="s">
        <v>485</v>
      </c>
      <c r="G4" s="452" t="s">
        <v>484</v>
      </c>
      <c r="H4" s="452" t="s">
        <v>483</v>
      </c>
      <c r="I4" s="452" t="s">
        <v>482</v>
      </c>
      <c r="J4" s="452" t="s">
        <v>481</v>
      </c>
      <c r="K4" s="452" t="s">
        <v>480</v>
      </c>
      <c r="L4" s="452" t="s">
        <v>479</v>
      </c>
      <c r="M4" s="452" t="s">
        <v>478</v>
      </c>
      <c r="N4" s="452" t="s">
        <v>477</v>
      </c>
      <c r="O4" s="451" t="s">
        <v>398</v>
      </c>
    </row>
    <row r="5" spans="1:17" s="430" customFormat="1" ht="15.2" customHeight="1" thickBot="1">
      <c r="A5" s="444" t="s">
        <v>139</v>
      </c>
      <c r="B5" s="584" t="s">
        <v>337</v>
      </c>
      <c r="C5" s="585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6"/>
    </row>
    <row r="6" spans="1:17" s="430" customFormat="1" ht="22.5">
      <c r="A6" s="450" t="s">
        <v>15</v>
      </c>
      <c r="B6" s="449" t="s">
        <v>332</v>
      </c>
      <c r="C6" s="448">
        <f>(21372370/12)</f>
        <v>1781030.8333333333</v>
      </c>
      <c r="D6" s="448">
        <f t="shared" ref="D6:M6" si="0">(21372370/12)</f>
        <v>1781030.8333333333</v>
      </c>
      <c r="E6" s="448">
        <f t="shared" si="0"/>
        <v>1781030.8333333333</v>
      </c>
      <c r="F6" s="448">
        <f t="shared" si="0"/>
        <v>1781030.8333333333</v>
      </c>
      <c r="G6" s="448">
        <f t="shared" si="0"/>
        <v>1781030.8333333333</v>
      </c>
      <c r="H6" s="448">
        <f t="shared" si="0"/>
        <v>1781030.8333333333</v>
      </c>
      <c r="I6" s="448">
        <v>2781031</v>
      </c>
      <c r="J6" s="448">
        <f t="shared" si="0"/>
        <v>1781030.8333333333</v>
      </c>
      <c r="K6" s="448">
        <f t="shared" si="0"/>
        <v>1781030.8333333333</v>
      </c>
      <c r="L6" s="448">
        <f t="shared" si="0"/>
        <v>1781030.8333333333</v>
      </c>
      <c r="M6" s="448">
        <f t="shared" si="0"/>
        <v>1781030.8333333333</v>
      </c>
      <c r="N6" s="448">
        <v>3641397</v>
      </c>
      <c r="O6" s="447">
        <f t="shared" ref="O6:O15" si="1">SUM(C6:N6)</f>
        <v>24232736.333333332</v>
      </c>
      <c r="Q6" s="446"/>
    </row>
    <row r="7" spans="1:17" s="434" customFormat="1" ht="22.5">
      <c r="A7" s="438" t="s">
        <v>72</v>
      </c>
      <c r="B7" s="439" t="s">
        <v>476</v>
      </c>
      <c r="C7" s="436"/>
      <c r="D7" s="436">
        <v>200792</v>
      </c>
      <c r="E7" s="436"/>
      <c r="F7" s="436">
        <v>932461</v>
      </c>
      <c r="G7" s="436"/>
      <c r="H7" s="436">
        <v>3386120</v>
      </c>
      <c r="I7" s="436">
        <v>4311598</v>
      </c>
      <c r="J7" s="436"/>
      <c r="K7" s="436">
        <v>3386120</v>
      </c>
      <c r="L7" s="436"/>
      <c r="M7" s="436"/>
      <c r="N7" s="436"/>
      <c r="O7" s="435">
        <f t="shared" si="1"/>
        <v>12217091</v>
      </c>
    </row>
    <row r="8" spans="1:17" s="434" customFormat="1" ht="22.5">
      <c r="A8" s="438" t="s">
        <v>70</v>
      </c>
      <c r="B8" s="445" t="s">
        <v>475</v>
      </c>
      <c r="C8" s="441"/>
      <c r="D8" s="441"/>
      <c r="E8" s="441"/>
      <c r="F8" s="441">
        <v>5654025</v>
      </c>
      <c r="G8" s="441"/>
      <c r="H8" s="441">
        <v>15784079</v>
      </c>
      <c r="I8" s="441">
        <v>82230664</v>
      </c>
      <c r="J8" s="441"/>
      <c r="K8" s="441"/>
      <c r="L8" s="441"/>
      <c r="M8" s="441"/>
      <c r="N8" s="441"/>
      <c r="O8" s="440">
        <f t="shared" si="1"/>
        <v>103668768</v>
      </c>
    </row>
    <row r="9" spans="1:17" s="434" customFormat="1" ht="14.1" customHeight="1">
      <c r="A9" s="438" t="s">
        <v>62</v>
      </c>
      <c r="B9" s="437" t="s">
        <v>327</v>
      </c>
      <c r="C9" s="436"/>
      <c r="D9" s="436"/>
      <c r="E9" s="436">
        <v>373000</v>
      </c>
      <c r="F9" s="436"/>
      <c r="G9" s="436"/>
      <c r="H9" s="436"/>
      <c r="I9" s="436"/>
      <c r="J9" s="436"/>
      <c r="K9" s="436">
        <v>373000</v>
      </c>
      <c r="L9" s="436"/>
      <c r="M9" s="436"/>
      <c r="N9" s="436"/>
      <c r="O9" s="435">
        <f t="shared" si="1"/>
        <v>746000</v>
      </c>
    </row>
    <row r="10" spans="1:17" s="434" customFormat="1" ht="14.1" customHeight="1">
      <c r="A10" s="438" t="s">
        <v>48</v>
      </c>
      <c r="B10" s="437" t="s">
        <v>326</v>
      </c>
      <c r="C10" s="436"/>
      <c r="D10" s="436"/>
      <c r="E10" s="436"/>
      <c r="F10" s="436"/>
      <c r="G10" s="436"/>
      <c r="H10" s="436"/>
      <c r="I10" s="436"/>
      <c r="J10" s="436"/>
      <c r="K10" s="436">
        <v>170000</v>
      </c>
      <c r="L10" s="436"/>
      <c r="M10" s="436"/>
      <c r="N10" s="436"/>
      <c r="O10" s="435">
        <f t="shared" si="1"/>
        <v>170000</v>
      </c>
    </row>
    <row r="11" spans="1:17" s="434" customFormat="1" ht="14.1" customHeight="1">
      <c r="A11" s="438" t="s">
        <v>38</v>
      </c>
      <c r="B11" s="437" t="s">
        <v>365</v>
      </c>
      <c r="C11" s="436"/>
      <c r="D11" s="436"/>
      <c r="E11" s="436"/>
      <c r="F11" s="436"/>
      <c r="G11" s="436"/>
      <c r="H11" s="436"/>
      <c r="I11" s="436">
        <v>800000</v>
      </c>
      <c r="J11" s="436"/>
      <c r="K11" s="436"/>
      <c r="L11" s="436"/>
      <c r="M11" s="436"/>
      <c r="N11" s="436"/>
      <c r="O11" s="435">
        <f t="shared" si="1"/>
        <v>800000</v>
      </c>
    </row>
    <row r="12" spans="1:17" s="434" customFormat="1" ht="14.1" customHeight="1">
      <c r="A12" s="438" t="s">
        <v>26</v>
      </c>
      <c r="B12" s="437" t="s">
        <v>325</v>
      </c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5">
        <f t="shared" si="1"/>
        <v>0</v>
      </c>
    </row>
    <row r="13" spans="1:17" s="434" customFormat="1" ht="22.5">
      <c r="A13" s="438" t="s">
        <v>24</v>
      </c>
      <c r="B13" s="439" t="s">
        <v>474</v>
      </c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5">
        <f t="shared" si="1"/>
        <v>0</v>
      </c>
    </row>
    <row r="14" spans="1:17" s="434" customFormat="1" ht="14.1" customHeight="1" thickBot="1">
      <c r="A14" s="438" t="s">
        <v>22</v>
      </c>
      <c r="B14" s="437" t="s">
        <v>473</v>
      </c>
      <c r="C14" s="436">
        <f>(24080740/12)</f>
        <v>2006728.3333333333</v>
      </c>
      <c r="D14" s="436">
        <f t="shared" ref="D14:N14" si="2">(24080740/12)</f>
        <v>2006728.3333333333</v>
      </c>
      <c r="E14" s="436">
        <f t="shared" si="2"/>
        <v>2006728.3333333333</v>
      </c>
      <c r="F14" s="436">
        <f t="shared" si="2"/>
        <v>2006728.3333333333</v>
      </c>
      <c r="G14" s="436">
        <f t="shared" si="2"/>
        <v>2006728.3333333333</v>
      </c>
      <c r="H14" s="436">
        <f t="shared" si="2"/>
        <v>2006728.3333333333</v>
      </c>
      <c r="I14" s="436">
        <f t="shared" si="2"/>
        <v>2006728.3333333333</v>
      </c>
      <c r="J14" s="436">
        <f t="shared" si="2"/>
        <v>2006728.3333333333</v>
      </c>
      <c r="K14" s="436">
        <f t="shared" si="2"/>
        <v>2006728.3333333333</v>
      </c>
      <c r="L14" s="436">
        <f t="shared" si="2"/>
        <v>2006728.3333333333</v>
      </c>
      <c r="M14" s="436">
        <f t="shared" si="2"/>
        <v>2006728.3333333333</v>
      </c>
      <c r="N14" s="436">
        <f t="shared" si="2"/>
        <v>2006728.3333333333</v>
      </c>
      <c r="O14" s="435">
        <f t="shared" si="1"/>
        <v>24080739.999999996</v>
      </c>
    </row>
    <row r="15" spans="1:17" s="430" customFormat="1" ht="15.95" customHeight="1" thickBot="1">
      <c r="A15" s="444" t="s">
        <v>20</v>
      </c>
      <c r="B15" s="433" t="s">
        <v>472</v>
      </c>
      <c r="C15" s="432">
        <f t="shared" ref="C15:N15" si="3">SUM(C6:C14)</f>
        <v>3787759.1666666665</v>
      </c>
      <c r="D15" s="432">
        <f t="shared" si="3"/>
        <v>3988551.1666666665</v>
      </c>
      <c r="E15" s="432">
        <f t="shared" si="3"/>
        <v>4160759.166666666</v>
      </c>
      <c r="F15" s="432">
        <f t="shared" si="3"/>
        <v>10374245.166666666</v>
      </c>
      <c r="G15" s="432">
        <f t="shared" si="3"/>
        <v>3787759.1666666665</v>
      </c>
      <c r="H15" s="432">
        <f t="shared" si="3"/>
        <v>22957958.166666664</v>
      </c>
      <c r="I15" s="432">
        <f t="shared" si="3"/>
        <v>92130021.333333328</v>
      </c>
      <c r="J15" s="432">
        <f t="shared" si="3"/>
        <v>3787759.1666666665</v>
      </c>
      <c r="K15" s="432">
        <f t="shared" si="3"/>
        <v>7716879.166666666</v>
      </c>
      <c r="L15" s="432">
        <f t="shared" si="3"/>
        <v>3787759.1666666665</v>
      </c>
      <c r="M15" s="432">
        <f t="shared" si="3"/>
        <v>3787759.1666666665</v>
      </c>
      <c r="N15" s="432">
        <f t="shared" si="3"/>
        <v>5648125.333333333</v>
      </c>
      <c r="O15" s="431">
        <f t="shared" si="1"/>
        <v>165915335.33333328</v>
      </c>
    </row>
    <row r="16" spans="1:17" s="430" customFormat="1" ht="15.2" customHeight="1" thickBot="1">
      <c r="A16" s="444" t="s">
        <v>323</v>
      </c>
      <c r="B16" s="584" t="s">
        <v>336</v>
      </c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6"/>
    </row>
    <row r="17" spans="1:15" s="434" customFormat="1" ht="14.1" customHeight="1">
      <c r="A17" s="443" t="s">
        <v>322</v>
      </c>
      <c r="B17" s="442" t="s">
        <v>331</v>
      </c>
      <c r="C17" s="441">
        <f>(6783110/12)</f>
        <v>565259.16666666663</v>
      </c>
      <c r="D17" s="441">
        <f t="shared" ref="D17:N17" si="4">(6783110/12)</f>
        <v>565259.16666666663</v>
      </c>
      <c r="E17" s="441">
        <f t="shared" si="4"/>
        <v>565259.16666666663</v>
      </c>
      <c r="F17" s="441">
        <f t="shared" si="4"/>
        <v>565259.16666666663</v>
      </c>
      <c r="G17" s="441">
        <f t="shared" si="4"/>
        <v>565259.16666666663</v>
      </c>
      <c r="H17" s="441">
        <f t="shared" si="4"/>
        <v>565259.16666666663</v>
      </c>
      <c r="I17" s="441">
        <f t="shared" si="4"/>
        <v>565259.16666666663</v>
      </c>
      <c r="J17" s="441">
        <f t="shared" si="4"/>
        <v>565259.16666666663</v>
      </c>
      <c r="K17" s="441">
        <f t="shared" si="4"/>
        <v>565259.16666666663</v>
      </c>
      <c r="L17" s="441">
        <f t="shared" si="4"/>
        <v>565259.16666666663</v>
      </c>
      <c r="M17" s="441">
        <f t="shared" si="4"/>
        <v>565259.16666666663</v>
      </c>
      <c r="N17" s="441">
        <f t="shared" si="4"/>
        <v>565259.16666666663</v>
      </c>
      <c r="O17" s="440">
        <f t="shared" ref="O17:O26" si="5">SUM(C17:N17)</f>
        <v>6783110.0000000009</v>
      </c>
    </row>
    <row r="18" spans="1:15" s="434" customFormat="1" ht="27.2" customHeight="1">
      <c r="A18" s="438" t="s">
        <v>319</v>
      </c>
      <c r="B18" s="439" t="s">
        <v>134</v>
      </c>
      <c r="C18" s="441">
        <f>(1171668/12)</f>
        <v>97639</v>
      </c>
      <c r="D18" s="441">
        <f t="shared" ref="D18:N18" si="6">(1171668/12)</f>
        <v>97639</v>
      </c>
      <c r="E18" s="441">
        <f t="shared" si="6"/>
        <v>97639</v>
      </c>
      <c r="F18" s="441">
        <f t="shared" si="6"/>
        <v>97639</v>
      </c>
      <c r="G18" s="441">
        <f t="shared" si="6"/>
        <v>97639</v>
      </c>
      <c r="H18" s="441">
        <f t="shared" si="6"/>
        <v>97639</v>
      </c>
      <c r="I18" s="441">
        <f t="shared" si="6"/>
        <v>97639</v>
      </c>
      <c r="J18" s="441">
        <f t="shared" si="6"/>
        <v>97639</v>
      </c>
      <c r="K18" s="441">
        <f t="shared" si="6"/>
        <v>97639</v>
      </c>
      <c r="L18" s="441">
        <f t="shared" si="6"/>
        <v>97639</v>
      </c>
      <c r="M18" s="441">
        <f t="shared" si="6"/>
        <v>97639</v>
      </c>
      <c r="N18" s="441">
        <f t="shared" si="6"/>
        <v>97639</v>
      </c>
      <c r="O18" s="435">
        <f t="shared" si="5"/>
        <v>1171668</v>
      </c>
    </row>
    <row r="19" spans="1:15" s="434" customFormat="1" ht="14.1" customHeight="1">
      <c r="A19" s="438" t="s">
        <v>316</v>
      </c>
      <c r="B19" s="437" t="s">
        <v>132</v>
      </c>
      <c r="C19" s="441">
        <f>(24912800/12)</f>
        <v>2076066.6666666667</v>
      </c>
      <c r="D19" s="441">
        <f t="shared" ref="D19:N19" si="7">(24912800/12)</f>
        <v>2076066.6666666667</v>
      </c>
      <c r="E19" s="441">
        <f t="shared" si="7"/>
        <v>2076066.6666666667</v>
      </c>
      <c r="F19" s="441">
        <f t="shared" si="7"/>
        <v>2076066.6666666667</v>
      </c>
      <c r="G19" s="441">
        <f t="shared" si="7"/>
        <v>2076066.6666666667</v>
      </c>
      <c r="H19" s="441">
        <f t="shared" si="7"/>
        <v>2076066.6666666667</v>
      </c>
      <c r="I19" s="441">
        <f t="shared" si="7"/>
        <v>2076066.6666666667</v>
      </c>
      <c r="J19" s="441">
        <f t="shared" si="7"/>
        <v>2076066.6666666667</v>
      </c>
      <c r="K19" s="441">
        <f t="shared" si="7"/>
        <v>2076066.6666666667</v>
      </c>
      <c r="L19" s="441">
        <f t="shared" si="7"/>
        <v>2076066.6666666667</v>
      </c>
      <c r="M19" s="441">
        <f t="shared" si="7"/>
        <v>2076066.6666666667</v>
      </c>
      <c r="N19" s="441">
        <f t="shared" si="7"/>
        <v>2076066.6666666667</v>
      </c>
      <c r="O19" s="435">
        <f t="shared" si="5"/>
        <v>24912800.000000004</v>
      </c>
    </row>
    <row r="20" spans="1:15" s="434" customFormat="1" ht="14.1" customHeight="1">
      <c r="A20" s="438" t="s">
        <v>313</v>
      </c>
      <c r="B20" s="437" t="s">
        <v>130</v>
      </c>
      <c r="C20" s="436">
        <v>50000</v>
      </c>
      <c r="D20" s="436">
        <v>200000</v>
      </c>
      <c r="E20" s="436">
        <v>100000</v>
      </c>
      <c r="F20" s="436">
        <v>500000</v>
      </c>
      <c r="G20" s="436">
        <v>100000</v>
      </c>
      <c r="H20" s="436">
        <v>200000</v>
      </c>
      <c r="I20" s="436">
        <v>100000</v>
      </c>
      <c r="J20" s="436">
        <v>100000</v>
      </c>
      <c r="K20" s="436">
        <v>200000</v>
      </c>
      <c r="L20" s="436">
        <v>200000</v>
      </c>
      <c r="M20" s="436">
        <v>300000</v>
      </c>
      <c r="N20" s="436">
        <v>3150000</v>
      </c>
      <c r="O20" s="435">
        <f t="shared" si="5"/>
        <v>5200000</v>
      </c>
    </row>
    <row r="21" spans="1:15" s="434" customFormat="1" ht="14.1" customHeight="1">
      <c r="A21" s="438" t="s">
        <v>310</v>
      </c>
      <c r="B21" s="437" t="s">
        <v>471</v>
      </c>
      <c r="C21" s="436"/>
      <c r="D21" s="436"/>
      <c r="E21" s="436">
        <v>1050000</v>
      </c>
      <c r="F21" s="436"/>
      <c r="G21" s="436"/>
      <c r="H21" s="436"/>
      <c r="I21" s="436"/>
      <c r="J21" s="436">
        <v>1000000</v>
      </c>
      <c r="K21" s="436">
        <v>1000000</v>
      </c>
      <c r="L21" s="436">
        <v>1234520</v>
      </c>
      <c r="M21" s="436"/>
      <c r="N21" s="436">
        <v>1517814</v>
      </c>
      <c r="O21" s="435">
        <f t="shared" si="5"/>
        <v>5802334</v>
      </c>
    </row>
    <row r="22" spans="1:15" s="434" customFormat="1" ht="14.1" customHeight="1">
      <c r="A22" s="438" t="s">
        <v>307</v>
      </c>
      <c r="B22" s="437" t="s">
        <v>97</v>
      </c>
      <c r="C22" s="436"/>
      <c r="D22" s="436"/>
      <c r="E22" s="436"/>
      <c r="F22" s="436">
        <v>18847855</v>
      </c>
      <c r="G22" s="436"/>
      <c r="H22" s="436"/>
      <c r="I22" s="436"/>
      <c r="J22" s="436"/>
      <c r="K22" s="436">
        <v>86558594</v>
      </c>
      <c r="L22" s="436"/>
      <c r="M22" s="436"/>
      <c r="N22" s="436"/>
      <c r="O22" s="435">
        <f t="shared" si="5"/>
        <v>105406449</v>
      </c>
    </row>
    <row r="23" spans="1:15" s="434" customFormat="1">
      <c r="A23" s="438" t="s">
        <v>304</v>
      </c>
      <c r="B23" s="439" t="s">
        <v>93</v>
      </c>
      <c r="C23" s="436"/>
      <c r="D23" s="436"/>
      <c r="E23" s="436"/>
      <c r="F23" s="436"/>
      <c r="G23" s="436"/>
      <c r="H23" s="436"/>
      <c r="I23" s="436"/>
      <c r="J23" s="436"/>
      <c r="K23" s="436"/>
      <c r="L23" s="436">
        <v>15784079</v>
      </c>
      <c r="M23" s="436"/>
      <c r="N23" s="436"/>
      <c r="O23" s="435">
        <f t="shared" si="5"/>
        <v>15784079</v>
      </c>
    </row>
    <row r="24" spans="1:15" s="434" customFormat="1" ht="14.1" customHeight="1">
      <c r="A24" s="438" t="s">
        <v>301</v>
      </c>
      <c r="B24" s="437" t="s">
        <v>361</v>
      </c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5">
        <f t="shared" si="5"/>
        <v>0</v>
      </c>
    </row>
    <row r="25" spans="1:15" s="434" customFormat="1" ht="14.1" customHeight="1" thickBot="1">
      <c r="A25" s="438" t="s">
        <v>299</v>
      </c>
      <c r="B25" s="437" t="s">
        <v>470</v>
      </c>
      <c r="C25" s="436">
        <v>854895</v>
      </c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5">
        <f t="shared" si="5"/>
        <v>854895</v>
      </c>
    </row>
    <row r="26" spans="1:15" s="430" customFormat="1" ht="15.95" customHeight="1" thickBot="1">
      <c r="A26" s="429" t="s">
        <v>297</v>
      </c>
      <c r="B26" s="433" t="s">
        <v>469</v>
      </c>
      <c r="C26" s="432">
        <f t="shared" ref="C26:N26" si="8">SUM(C17:C25)</f>
        <v>3643859.8333333335</v>
      </c>
      <c r="D26" s="432">
        <f t="shared" si="8"/>
        <v>2938964.8333333335</v>
      </c>
      <c r="E26" s="432">
        <f t="shared" si="8"/>
        <v>3888964.8333333335</v>
      </c>
      <c r="F26" s="432">
        <f t="shared" si="8"/>
        <v>22086819.833333332</v>
      </c>
      <c r="G26" s="432">
        <f t="shared" si="8"/>
        <v>2838964.8333333335</v>
      </c>
      <c r="H26" s="432">
        <f t="shared" si="8"/>
        <v>2938964.8333333335</v>
      </c>
      <c r="I26" s="432">
        <f t="shared" si="8"/>
        <v>2838964.8333333335</v>
      </c>
      <c r="J26" s="432">
        <f t="shared" si="8"/>
        <v>3838964.8333333335</v>
      </c>
      <c r="K26" s="432">
        <f t="shared" si="8"/>
        <v>90497558.833333328</v>
      </c>
      <c r="L26" s="432">
        <f t="shared" si="8"/>
        <v>19957563.833333332</v>
      </c>
      <c r="M26" s="432">
        <f t="shared" si="8"/>
        <v>3038964.8333333335</v>
      </c>
      <c r="N26" s="432">
        <f t="shared" si="8"/>
        <v>7406778.833333334</v>
      </c>
      <c r="O26" s="431">
        <f t="shared" si="5"/>
        <v>165915335.00000003</v>
      </c>
    </row>
    <row r="27" spans="1:15" ht="16.5" thickBot="1">
      <c r="A27" s="429" t="s">
        <v>296</v>
      </c>
      <c r="B27" s="428" t="s">
        <v>468</v>
      </c>
      <c r="C27" s="427">
        <f t="shared" ref="C27:O27" si="9">C15-C26</f>
        <v>143899.33333333302</v>
      </c>
      <c r="D27" s="427">
        <f t="shared" si="9"/>
        <v>1049586.333333333</v>
      </c>
      <c r="E27" s="427">
        <f t="shared" si="9"/>
        <v>271794.33333333256</v>
      </c>
      <c r="F27" s="427">
        <f t="shared" si="9"/>
        <v>-11712574.666666666</v>
      </c>
      <c r="G27" s="427">
        <f t="shared" si="9"/>
        <v>948794.33333333302</v>
      </c>
      <c r="H27" s="427">
        <f t="shared" si="9"/>
        <v>20018993.333333332</v>
      </c>
      <c r="I27" s="427">
        <f t="shared" si="9"/>
        <v>89291056.5</v>
      </c>
      <c r="J27" s="427">
        <f t="shared" si="9"/>
        <v>-51205.666666666977</v>
      </c>
      <c r="K27" s="427">
        <f t="shared" si="9"/>
        <v>-82780679.666666657</v>
      </c>
      <c r="L27" s="427">
        <f t="shared" si="9"/>
        <v>-16169804.666666666</v>
      </c>
      <c r="M27" s="427">
        <f t="shared" si="9"/>
        <v>748794.33333333302</v>
      </c>
      <c r="N27" s="427">
        <f t="shared" si="9"/>
        <v>-1758653.5000000009</v>
      </c>
      <c r="O27" s="426">
        <f t="shared" si="9"/>
        <v>0.33333325386047363</v>
      </c>
    </row>
    <row r="28" spans="1:15">
      <c r="A28" s="425"/>
    </row>
    <row r="29" spans="1:15">
      <c r="B29" s="424"/>
      <c r="C29" s="423"/>
      <c r="D29" s="423"/>
      <c r="O29" s="421"/>
    </row>
    <row r="30" spans="1:15">
      <c r="O30" s="421"/>
    </row>
    <row r="31" spans="1:15">
      <c r="O31" s="421"/>
    </row>
    <row r="32" spans="1:15">
      <c r="O32" s="421"/>
    </row>
    <row r="33" s="421" customFormat="1"/>
    <row r="34" s="421" customFormat="1"/>
    <row r="35" s="421" customFormat="1"/>
    <row r="36" s="421" customFormat="1"/>
    <row r="37" s="421" customFormat="1"/>
    <row r="38" s="421" customFormat="1"/>
    <row r="39" s="421" customFormat="1"/>
    <row r="40" s="421" customFormat="1"/>
    <row r="41" s="421" customFormat="1"/>
    <row r="42" s="421" customFormat="1"/>
    <row r="43" s="421" customFormat="1"/>
    <row r="44" s="421" customFormat="1"/>
    <row r="45" s="421" customFormat="1"/>
    <row r="46" s="421" customFormat="1"/>
    <row r="47" s="421" customFormat="1"/>
    <row r="48" s="421" customFormat="1"/>
    <row r="49" s="421" customFormat="1"/>
    <row r="50" s="421" customFormat="1"/>
    <row r="51" s="421" customFormat="1"/>
    <row r="52" s="421" customFormat="1"/>
    <row r="53" s="421" customFormat="1"/>
    <row r="54" s="421" customFormat="1"/>
    <row r="55" s="421" customFormat="1"/>
    <row r="56" s="421" customFormat="1"/>
    <row r="57" s="421" customFormat="1"/>
    <row r="58" s="421" customFormat="1"/>
    <row r="59" s="421" customFormat="1"/>
    <row r="60" s="421" customFormat="1"/>
    <row r="61" s="421" customFormat="1"/>
    <row r="62" s="421" customFormat="1"/>
    <row r="63" s="421" customFormat="1"/>
    <row r="64" s="421" customFormat="1"/>
    <row r="65" s="421" customFormat="1"/>
    <row r="66" s="421" customFormat="1"/>
    <row r="67" s="421" customFormat="1"/>
    <row r="68" s="421" customFormat="1"/>
    <row r="69" s="421" customFormat="1"/>
    <row r="70" s="421" customFormat="1"/>
    <row r="71" s="421" customFormat="1"/>
    <row r="72" s="421" customFormat="1"/>
    <row r="73" s="421" customFormat="1"/>
    <row r="74" s="421" customFormat="1"/>
    <row r="75" s="421" customFormat="1"/>
    <row r="76" s="421" customFormat="1"/>
    <row r="77" s="421" customFormat="1"/>
    <row r="78" s="421" customFormat="1"/>
    <row r="79" s="421" customFormat="1"/>
    <row r="80" s="421" customFormat="1"/>
    <row r="81" s="421" customFormat="1"/>
    <row r="82" s="421" customFormat="1"/>
  </sheetData>
  <mergeCells count="3">
    <mergeCell ref="B5:O5"/>
    <mergeCell ref="B16:O16"/>
    <mergeCell ref="A2:O2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26"/>
  <sheetViews>
    <sheetView topLeftCell="A7" zoomScale="120" zoomScaleNormal="120" zoomScalePageLayoutView="120" workbookViewId="0">
      <selection activeCell="C26" sqref="C26"/>
    </sheetView>
  </sheetViews>
  <sheetFormatPr defaultRowHeight="12.75"/>
  <cols>
    <col min="1" max="1" width="93.83203125" style="258" customWidth="1"/>
    <col min="2" max="2" width="21.5" style="258" customWidth="1"/>
    <col min="3" max="3" width="4.83203125" style="457" customWidth="1"/>
    <col min="4" max="16384" width="9.33203125" style="258"/>
  </cols>
  <sheetData>
    <row r="1" spans="1:3" ht="47.25" customHeight="1">
      <c r="A1" s="589" t="str">
        <f>+CONCATENATE("A ",LEFT(KV_ÖSSZEFÜGGÉSEK!A5,4),". évi általános működés és ágazati feladatok támogatásának alakulása jogcímenként")</f>
        <v>A 2019. évi általános működés és ágazati feladatok támogatásának alakulása jogcímenként</v>
      </c>
      <c r="B1" s="589"/>
      <c r="C1" s="590" t="str">
        <f>CONCATENATE("5. tájékoztató tábla ",[1]ALAPADATOK!A7," ",[1]ALAPADATOK!B7," ",[1]ALAPADATOK!C7," ",[1]ALAPADATOK!D7," ",[1]ALAPADATOK!E7," ",[1]ALAPADATOK!F7," ",[1]ALAPADATOK!G7," ",[1]ALAPADATOK!H7)</f>
        <v>5. tájékoztató tábla a 1 / 2019 ( III.13 ) önkormányzati rendelethez</v>
      </c>
    </row>
    <row r="2" spans="1:3" ht="22.5" customHeight="1" thickBot="1">
      <c r="A2" s="473"/>
      <c r="B2" s="472" t="s">
        <v>503</v>
      </c>
      <c r="C2" s="590"/>
    </row>
    <row r="3" spans="1:3" s="301" customFormat="1" ht="54" customHeight="1" thickBot="1">
      <c r="A3" s="471" t="s">
        <v>502</v>
      </c>
      <c r="B3" s="470" t="str">
        <f>+CONCATENATE(LEFT(KV_ÖSSZEFÜGGÉSEK!A5,4),". évi tervezett támogatás összesen")</f>
        <v>2019. évi tervezett támogatás összesen</v>
      </c>
      <c r="C3" s="590"/>
    </row>
    <row r="4" spans="1:3" s="467" customFormat="1" ht="13.5" thickBot="1">
      <c r="A4" s="469" t="s">
        <v>140</v>
      </c>
      <c r="B4" s="468" t="s">
        <v>334</v>
      </c>
      <c r="C4" s="590"/>
    </row>
    <row r="5" spans="1:3">
      <c r="A5" s="462" t="s">
        <v>501</v>
      </c>
      <c r="B5" s="461">
        <v>0</v>
      </c>
      <c r="C5" s="590"/>
    </row>
    <row r="6" spans="1:3" ht="12.75" customHeight="1">
      <c r="A6" s="464" t="s">
        <v>500</v>
      </c>
      <c r="B6" s="463">
        <v>2474580</v>
      </c>
      <c r="C6" s="590"/>
    </row>
    <row r="7" spans="1:3">
      <c r="A7" s="466" t="s">
        <v>499</v>
      </c>
      <c r="B7" s="465">
        <v>1081550</v>
      </c>
      <c r="C7" s="590"/>
    </row>
    <row r="8" spans="1:3">
      <c r="A8" s="466" t="s">
        <v>498</v>
      </c>
      <c r="B8" s="465">
        <v>864000</v>
      </c>
      <c r="C8" s="590"/>
    </row>
    <row r="9" spans="1:3">
      <c r="A9" s="466" t="s">
        <v>497</v>
      </c>
      <c r="B9" s="465">
        <v>100000</v>
      </c>
      <c r="C9" s="590"/>
    </row>
    <row r="10" spans="1:3">
      <c r="A10" s="466" t="s">
        <v>496</v>
      </c>
      <c r="B10" s="465">
        <v>429030</v>
      </c>
      <c r="C10" s="590"/>
    </row>
    <row r="11" spans="1:3">
      <c r="A11" s="464" t="s">
        <v>495</v>
      </c>
      <c r="B11" s="463">
        <v>5000000</v>
      </c>
      <c r="C11" s="590"/>
    </row>
    <row r="12" spans="1:3">
      <c r="A12" s="464" t="s">
        <v>494</v>
      </c>
      <c r="B12" s="463">
        <v>3581250</v>
      </c>
      <c r="C12" s="590"/>
    </row>
    <row r="13" spans="1:3" ht="12.95" customHeight="1">
      <c r="A13" s="464" t="s">
        <v>493</v>
      </c>
      <c r="B13" s="463">
        <v>990400</v>
      </c>
      <c r="C13" s="590"/>
    </row>
    <row r="14" spans="1:3">
      <c r="A14" s="464" t="s">
        <v>492</v>
      </c>
      <c r="B14" s="463">
        <v>3741000</v>
      </c>
      <c r="C14" s="590"/>
    </row>
    <row r="15" spans="1:3">
      <c r="A15" s="464" t="s">
        <v>491</v>
      </c>
      <c r="B15" s="463">
        <v>3100000</v>
      </c>
      <c r="C15" s="590"/>
    </row>
    <row r="16" spans="1:3">
      <c r="A16" s="464" t="s">
        <v>490</v>
      </c>
      <c r="B16" s="463">
        <v>1800000</v>
      </c>
      <c r="C16" s="590"/>
    </row>
    <row r="17" spans="1:3">
      <c r="A17" s="464" t="s">
        <v>489</v>
      </c>
      <c r="B17" s="463">
        <v>685140</v>
      </c>
      <c r="C17" s="590"/>
    </row>
    <row r="18" spans="1:3">
      <c r="A18" s="462"/>
      <c r="B18" s="461"/>
      <c r="C18" s="590"/>
    </row>
    <row r="19" spans="1:3">
      <c r="A19" s="462"/>
      <c r="B19" s="461"/>
      <c r="C19" s="590"/>
    </row>
    <row r="20" spans="1:3">
      <c r="A20" s="462"/>
      <c r="B20" s="461"/>
      <c r="C20" s="590"/>
    </row>
    <row r="21" spans="1:3">
      <c r="A21" s="462"/>
      <c r="B21" s="461"/>
      <c r="C21" s="590"/>
    </row>
    <row r="22" spans="1:3">
      <c r="A22" s="462"/>
      <c r="B22" s="461"/>
      <c r="C22" s="590"/>
    </row>
    <row r="23" spans="1:3">
      <c r="A23" s="462"/>
      <c r="B23" s="461"/>
      <c r="C23" s="590"/>
    </row>
    <row r="24" spans="1:3" ht="13.5" thickBot="1">
      <c r="A24" s="462"/>
      <c r="B24" s="461"/>
      <c r="C24" s="590"/>
    </row>
    <row r="25" spans="1:3" s="284" customFormat="1" ht="19.5" customHeight="1" thickBot="1">
      <c r="A25" s="460" t="s">
        <v>398</v>
      </c>
      <c r="B25" s="459">
        <f>SUM(B6,B11,B12,B13,B14,B15,B16,B18,B17,B19,B20,B21,B22,B23,B24)</f>
        <v>21372370</v>
      </c>
      <c r="C25" s="590"/>
    </row>
    <row r="26" spans="1:3">
      <c r="A26" s="458"/>
    </row>
  </sheetData>
  <mergeCells count="2">
    <mergeCell ref="A1:B1"/>
    <mergeCell ref="C1:C25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D40"/>
  <sheetViews>
    <sheetView zoomScale="120" zoomScaleNormal="120" workbookViewId="0">
      <selection activeCell="A2" sqref="A2:D2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>
      <c r="C1" s="492"/>
      <c r="D1" s="491" t="str">
        <f>CONCATENATE("6. tájékoztató tábla ",[1]ALAPADATOK!A7," ",[1]ALAPADATOK!B7," ",[1]ALAPADATOK!C7," ",[1]ALAPADATOK!D7," ",[1]ALAPADATOK!E7," ",[1]ALAPADATOK!F7," ",[1]ALAPADATOK!G7," ",[1]ALAPADATOK!H7)</f>
        <v>6. tájékoztató tábla a 1 / 2019 ( III.13 ) önkormányzati rendelethez</v>
      </c>
    </row>
    <row r="2" spans="1:4" ht="45.2" customHeight="1">
      <c r="A2" s="594" t="str">
        <f>+CONCATENATE("K I M U T A T Á S",CHAR(10),"a ",LEFT(KV_ÖSSZEFÜGGÉSEK!A5,4),". évben céljelleggel juttatott támogatásokról")</f>
        <v>K I M U T A T Á S
a 2019. évben céljelleggel juttatott támogatásokról</v>
      </c>
      <c r="B2" s="594"/>
      <c r="C2" s="594"/>
      <c r="D2" s="594"/>
    </row>
    <row r="3" spans="1:4" ht="17.25" customHeight="1">
      <c r="A3" s="490"/>
      <c r="B3" s="490"/>
      <c r="C3" s="490"/>
      <c r="D3" s="490"/>
    </row>
    <row r="4" spans="1:4" ht="13.5" thickBot="1">
      <c r="A4" s="489"/>
      <c r="B4" s="489"/>
      <c r="C4" s="591" t="str">
        <f>KV_4.sz.tájékoztató_t.!O3</f>
        <v>Forintban!</v>
      </c>
      <c r="D4" s="591"/>
    </row>
    <row r="5" spans="1:4" ht="42.75" customHeight="1" thickBot="1">
      <c r="A5" s="488" t="s">
        <v>143</v>
      </c>
      <c r="B5" s="487" t="s">
        <v>524</v>
      </c>
      <c r="C5" s="487" t="s">
        <v>523</v>
      </c>
      <c r="D5" s="486" t="s">
        <v>522</v>
      </c>
    </row>
    <row r="6" spans="1:4" ht="15.95" customHeight="1">
      <c r="A6" s="485" t="s">
        <v>139</v>
      </c>
      <c r="B6" s="484" t="s">
        <v>521</v>
      </c>
      <c r="C6" s="484" t="s">
        <v>520</v>
      </c>
      <c r="D6" s="483">
        <v>450000</v>
      </c>
    </row>
    <row r="7" spans="1:4" ht="15.95" customHeight="1">
      <c r="A7" s="481" t="s">
        <v>15</v>
      </c>
      <c r="B7" s="480" t="s">
        <v>519</v>
      </c>
      <c r="C7" s="480" t="s">
        <v>518</v>
      </c>
      <c r="D7" s="482">
        <v>2000000</v>
      </c>
    </row>
    <row r="8" spans="1:4" ht="15.95" customHeight="1">
      <c r="A8" s="481" t="s">
        <v>72</v>
      </c>
      <c r="B8" s="480" t="s">
        <v>517</v>
      </c>
      <c r="C8" s="480" t="s">
        <v>516</v>
      </c>
      <c r="D8" s="482">
        <v>367814</v>
      </c>
    </row>
    <row r="9" spans="1:4" ht="15.95" customHeight="1">
      <c r="A9" s="481" t="s">
        <v>70</v>
      </c>
      <c r="B9" s="480" t="s">
        <v>515</v>
      </c>
      <c r="C9" s="480" t="s">
        <v>514</v>
      </c>
      <c r="D9" s="482">
        <v>750000</v>
      </c>
    </row>
    <row r="10" spans="1:4" ht="15.95" customHeight="1">
      <c r="A10" s="481" t="s">
        <v>62</v>
      </c>
      <c r="B10" s="480" t="s">
        <v>513</v>
      </c>
      <c r="C10" s="480" t="s">
        <v>512</v>
      </c>
      <c r="D10" s="482">
        <v>200000</v>
      </c>
    </row>
    <row r="11" spans="1:4" ht="15.95" customHeight="1">
      <c r="A11" s="481" t="s">
        <v>48</v>
      </c>
      <c r="B11" s="480" t="s">
        <v>511</v>
      </c>
      <c r="C11" s="480" t="s">
        <v>510</v>
      </c>
      <c r="D11" s="482">
        <v>34520</v>
      </c>
    </row>
    <row r="12" spans="1:4" ht="15.95" customHeight="1">
      <c r="A12" s="481" t="s">
        <v>38</v>
      </c>
      <c r="B12" s="480"/>
      <c r="C12" s="480"/>
      <c r="D12" s="482"/>
    </row>
    <row r="13" spans="1:4" ht="15.95" customHeight="1">
      <c r="A13" s="481" t="s">
        <v>26</v>
      </c>
      <c r="B13" s="480"/>
      <c r="C13" s="480"/>
      <c r="D13" s="482"/>
    </row>
    <row r="14" spans="1:4" ht="15.95" customHeight="1">
      <c r="A14" s="481" t="s">
        <v>24</v>
      </c>
      <c r="B14" s="480"/>
      <c r="C14" s="480"/>
      <c r="D14" s="482"/>
    </row>
    <row r="15" spans="1:4" ht="15.95" customHeight="1">
      <c r="A15" s="481" t="s">
        <v>22</v>
      </c>
      <c r="B15" s="480"/>
      <c r="C15" s="480"/>
      <c r="D15" s="482"/>
    </row>
    <row r="16" spans="1:4" ht="15.95" customHeight="1">
      <c r="A16" s="481" t="s">
        <v>20</v>
      </c>
      <c r="B16" s="480"/>
      <c r="C16" s="480"/>
      <c r="D16" s="482"/>
    </row>
    <row r="17" spans="1:4" ht="15.95" customHeight="1">
      <c r="A17" s="481" t="s">
        <v>323</v>
      </c>
      <c r="B17" s="480"/>
      <c r="C17" s="480"/>
      <c r="D17" s="482"/>
    </row>
    <row r="18" spans="1:4" ht="15.95" customHeight="1">
      <c r="A18" s="481" t="s">
        <v>322</v>
      </c>
      <c r="B18" s="480"/>
      <c r="C18" s="480"/>
      <c r="D18" s="482"/>
    </row>
    <row r="19" spans="1:4" ht="15.95" customHeight="1">
      <c r="A19" s="481" t="s">
        <v>319</v>
      </c>
      <c r="B19" s="480"/>
      <c r="C19" s="480"/>
      <c r="D19" s="482"/>
    </row>
    <row r="20" spans="1:4" ht="15.95" customHeight="1">
      <c r="A20" s="481" t="s">
        <v>316</v>
      </c>
      <c r="B20" s="480"/>
      <c r="C20" s="480"/>
      <c r="D20" s="482"/>
    </row>
    <row r="21" spans="1:4" ht="15.95" customHeight="1">
      <c r="A21" s="481" t="s">
        <v>313</v>
      </c>
      <c r="B21" s="480"/>
      <c r="C21" s="480"/>
      <c r="D21" s="482"/>
    </row>
    <row r="22" spans="1:4" ht="15.95" customHeight="1">
      <c r="A22" s="481" t="s">
        <v>310</v>
      </c>
      <c r="B22" s="480"/>
      <c r="C22" s="480"/>
      <c r="D22" s="482"/>
    </row>
    <row r="23" spans="1:4" ht="15.95" customHeight="1">
      <c r="A23" s="481" t="s">
        <v>307</v>
      </c>
      <c r="B23" s="480"/>
      <c r="C23" s="480"/>
      <c r="D23" s="482"/>
    </row>
    <row r="24" spans="1:4" ht="15.95" customHeight="1">
      <c r="A24" s="481" t="s">
        <v>304</v>
      </c>
      <c r="B24" s="480"/>
      <c r="C24" s="480"/>
      <c r="D24" s="482"/>
    </row>
    <row r="25" spans="1:4" ht="15.95" customHeight="1">
      <c r="A25" s="481" t="s">
        <v>301</v>
      </c>
      <c r="B25" s="480"/>
      <c r="C25" s="480"/>
      <c r="D25" s="482"/>
    </row>
    <row r="26" spans="1:4" ht="15.95" customHeight="1">
      <c r="A26" s="481" t="s">
        <v>299</v>
      </c>
      <c r="B26" s="480"/>
      <c r="C26" s="480"/>
      <c r="D26" s="482"/>
    </row>
    <row r="27" spans="1:4" ht="15.95" customHeight="1">
      <c r="A27" s="481" t="s">
        <v>297</v>
      </c>
      <c r="B27" s="480"/>
      <c r="C27" s="480"/>
      <c r="D27" s="482"/>
    </row>
    <row r="28" spans="1:4" ht="15.95" customHeight="1">
      <c r="A28" s="481" t="s">
        <v>296</v>
      </c>
      <c r="B28" s="480"/>
      <c r="C28" s="480"/>
      <c r="D28" s="482"/>
    </row>
    <row r="29" spans="1:4" ht="15.95" customHeight="1">
      <c r="A29" s="481" t="s">
        <v>295</v>
      </c>
      <c r="B29" s="480"/>
      <c r="C29" s="480"/>
      <c r="D29" s="482"/>
    </row>
    <row r="30" spans="1:4" ht="15.95" customHeight="1">
      <c r="A30" s="481" t="s">
        <v>292</v>
      </c>
      <c r="B30" s="480"/>
      <c r="C30" s="480"/>
      <c r="D30" s="482"/>
    </row>
    <row r="31" spans="1:4" ht="15.95" customHeight="1">
      <c r="A31" s="481" t="s">
        <v>289</v>
      </c>
      <c r="B31" s="480"/>
      <c r="C31" s="480"/>
      <c r="D31" s="482"/>
    </row>
    <row r="32" spans="1:4" ht="15.95" customHeight="1">
      <c r="A32" s="481" t="s">
        <v>286</v>
      </c>
      <c r="B32" s="480"/>
      <c r="C32" s="480"/>
      <c r="D32" s="482"/>
    </row>
    <row r="33" spans="1:4" ht="15.95" customHeight="1">
      <c r="A33" s="481" t="s">
        <v>339</v>
      </c>
      <c r="B33" s="480"/>
      <c r="C33" s="480"/>
      <c r="D33" s="482"/>
    </row>
    <row r="34" spans="1:4" ht="15.95" customHeight="1">
      <c r="A34" s="481" t="s">
        <v>509</v>
      </c>
      <c r="B34" s="480"/>
      <c r="C34" s="480"/>
      <c r="D34" s="482"/>
    </row>
    <row r="35" spans="1:4" ht="15.95" customHeight="1">
      <c r="A35" s="481" t="s">
        <v>508</v>
      </c>
      <c r="B35" s="480"/>
      <c r="C35" s="480"/>
      <c r="D35" s="479"/>
    </row>
    <row r="36" spans="1:4" ht="15.95" customHeight="1">
      <c r="A36" s="481" t="s">
        <v>507</v>
      </c>
      <c r="B36" s="480"/>
      <c r="C36" s="480"/>
      <c r="D36" s="479"/>
    </row>
    <row r="37" spans="1:4" ht="15.95" customHeight="1">
      <c r="A37" s="481" t="s">
        <v>506</v>
      </c>
      <c r="B37" s="480"/>
      <c r="C37" s="480"/>
      <c r="D37" s="479"/>
    </row>
    <row r="38" spans="1:4" ht="15.95" customHeight="1" thickBot="1">
      <c r="A38" s="478" t="s">
        <v>505</v>
      </c>
      <c r="B38" s="477"/>
      <c r="C38" s="477"/>
      <c r="D38" s="476"/>
    </row>
    <row r="39" spans="1:4" ht="15.95" customHeight="1" thickBot="1">
      <c r="A39" s="592" t="s">
        <v>398</v>
      </c>
      <c r="B39" s="593"/>
      <c r="C39" s="475"/>
      <c r="D39" s="474">
        <f>SUM(D6:D38)</f>
        <v>3802334</v>
      </c>
    </row>
    <row r="40" spans="1:4">
      <c r="A40" t="s">
        <v>504</v>
      </c>
    </row>
  </sheetData>
  <mergeCells count="3">
    <mergeCell ref="C4:D4"/>
    <mergeCell ref="A39:B39"/>
    <mergeCell ref="A2:D2"/>
  </mergeCells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51"/>
  <sheetViews>
    <sheetView tabSelected="1" view="pageBreakPreview" zoomScaleNormal="120" zoomScaleSheetLayoutView="100" workbookViewId="0">
      <selection activeCell="A2" sqref="A2:E2"/>
    </sheetView>
  </sheetViews>
  <sheetFormatPr defaultRowHeight="15.75"/>
  <cols>
    <col min="1" max="1" width="9" style="8" customWidth="1"/>
    <col min="2" max="2" width="66.33203125" style="8" bestFit="1" customWidth="1"/>
    <col min="3" max="3" width="15.5" style="7" customWidth="1"/>
    <col min="4" max="5" width="15.5" style="8" customWidth="1"/>
    <col min="6" max="6" width="9" style="6" customWidth="1"/>
    <col min="7" max="16384" width="9.33203125" style="6"/>
  </cols>
  <sheetData>
    <row r="1" spans="1:5">
      <c r="C1" s="510"/>
      <c r="D1" s="492"/>
      <c r="E1" s="491" t="str">
        <f>CONCATENATE("7. tájékoztató tábla ",[1]ALAPADATOK!A7," ",[1]ALAPADATOK!B7," ",[1]ALAPADATOK!C7," ",[1]ALAPADATOK!D7," ",[1]ALAPADATOK!E7," ",[1]ALAPADATOK!F7," ",[1]ALAPADATOK!G7," ",[1]ALAPADATOK!H7)</f>
        <v>7. tájékoztató tábla a 1 / 2019 ( III.13 ) önkormányzati rendelethez</v>
      </c>
    </row>
    <row r="2" spans="1:5">
      <c r="A2" s="595" t="s">
        <v>541</v>
      </c>
      <c r="B2" s="596"/>
      <c r="C2" s="596"/>
      <c r="D2" s="596"/>
      <c r="E2" s="596"/>
    </row>
    <row r="3" spans="1:5">
      <c r="A3" s="597" t="s">
        <v>536</v>
      </c>
      <c r="B3" s="598"/>
      <c r="C3" s="598"/>
      <c r="D3" s="598"/>
      <c r="E3" s="598"/>
    </row>
    <row r="4" spans="1:5" ht="15.95" customHeight="1">
      <c r="A4" s="513" t="s">
        <v>535</v>
      </c>
      <c r="B4" s="513"/>
      <c r="C4" s="513"/>
      <c r="D4" s="513"/>
      <c r="E4" s="513"/>
    </row>
    <row r="5" spans="1:5" ht="15.95" customHeight="1" thickBot="1">
      <c r="A5" s="512" t="s">
        <v>280</v>
      </c>
      <c r="B5" s="512"/>
      <c r="D5" s="329"/>
      <c r="E5" s="328" t="str">
        <f>KV_4.sz.tájékoztató_t.!O3</f>
        <v>Forintban!</v>
      </c>
    </row>
    <row r="6" spans="1:5" ht="38.1" customHeight="1" thickBot="1">
      <c r="A6" s="327" t="s">
        <v>143</v>
      </c>
      <c r="B6" s="326" t="s">
        <v>278</v>
      </c>
      <c r="C6" s="326" t="str">
        <f>+CONCATENATE(LEFT(KV_ÖSSZEFÜGGÉSEK!A5,4)+1,". évi")</f>
        <v>2020. évi</v>
      </c>
      <c r="D6" s="342" t="str">
        <f>+CONCATENATE(LEFT(KV_ÖSSZEFÜGGÉSEK!A5,4)+2,". évi")</f>
        <v>2021. évi</v>
      </c>
      <c r="E6" s="325" t="str">
        <f>+CONCATENATE(LEFT(KV_ÖSSZEFÜGGÉSEK!A5,4)+3,". évi")</f>
        <v>2022. évi</v>
      </c>
    </row>
    <row r="7" spans="1:5" s="61" customFormat="1" ht="12" customHeight="1" thickBot="1">
      <c r="A7" s="324" t="s">
        <v>141</v>
      </c>
      <c r="B7" s="323" t="s">
        <v>140</v>
      </c>
      <c r="C7" s="323" t="s">
        <v>334</v>
      </c>
      <c r="D7" s="323" t="s">
        <v>333</v>
      </c>
      <c r="E7" s="322" t="s">
        <v>372</v>
      </c>
    </row>
    <row r="8" spans="1:5" s="16" customFormat="1" ht="12" customHeight="1" thickBot="1">
      <c r="A8" s="11" t="s">
        <v>139</v>
      </c>
      <c r="B8" s="89" t="s">
        <v>534</v>
      </c>
      <c r="C8" s="335">
        <f>24232736*1.03</f>
        <v>24959718.080000002</v>
      </c>
      <c r="D8" s="335">
        <f t="shared" ref="D8:E10" si="0">C8*1.03</f>
        <v>25708509.622400004</v>
      </c>
      <c r="E8" s="335">
        <f t="shared" si="0"/>
        <v>26479764.911072005</v>
      </c>
    </row>
    <row r="9" spans="1:5" s="16" customFormat="1" ht="12" customHeight="1" thickBot="1">
      <c r="A9" s="11" t="s">
        <v>15</v>
      </c>
      <c r="B9" s="75" t="s">
        <v>330</v>
      </c>
      <c r="C9" s="335">
        <f>12217091*1.03</f>
        <v>12583603.73</v>
      </c>
      <c r="D9" s="335">
        <f t="shared" si="0"/>
        <v>12961111.8419</v>
      </c>
      <c r="E9" s="335">
        <f t="shared" si="0"/>
        <v>13349945.197157001</v>
      </c>
    </row>
    <row r="10" spans="1:5" s="16" customFormat="1" ht="12" customHeight="1" thickBot="1">
      <c r="A10" s="11" t="s">
        <v>72</v>
      </c>
      <c r="B10" s="89" t="s">
        <v>368</v>
      </c>
      <c r="C10" s="335">
        <f>103668768*1.03</f>
        <v>106778831.04000001</v>
      </c>
      <c r="D10" s="335">
        <f t="shared" si="0"/>
        <v>109982195.9712</v>
      </c>
      <c r="E10" s="335">
        <f t="shared" si="0"/>
        <v>113281661.850336</v>
      </c>
    </row>
    <row r="11" spans="1:5" s="16" customFormat="1" ht="12" customHeight="1" thickBot="1">
      <c r="A11" s="11" t="s">
        <v>249</v>
      </c>
      <c r="B11" s="89" t="s">
        <v>429</v>
      </c>
      <c r="C11" s="312">
        <f>SUM(C12:C18)</f>
        <v>768380</v>
      </c>
      <c r="D11" s="312">
        <f>SUM(D12:D18)</f>
        <v>791431.4</v>
      </c>
      <c r="E11" s="507">
        <f>SUM(E12:E18)</f>
        <v>815174.34200000006</v>
      </c>
    </row>
    <row r="12" spans="1:5" s="16" customFormat="1" ht="12" customHeight="1" thickBot="1">
      <c r="A12" s="26" t="s">
        <v>68</v>
      </c>
      <c r="B12" s="80" t="s">
        <v>247</v>
      </c>
      <c r="C12" s="315"/>
      <c r="D12" s="335">
        <f t="shared" ref="D12:D22" si="1">C12*1.03</f>
        <v>0</v>
      </c>
      <c r="E12" s="497"/>
    </row>
    <row r="13" spans="1:5" s="16" customFormat="1" ht="12" customHeight="1" thickBot="1">
      <c r="A13" s="48" t="s">
        <v>66</v>
      </c>
      <c r="B13" s="78" t="s">
        <v>246</v>
      </c>
      <c r="C13" s="310"/>
      <c r="D13" s="335">
        <f t="shared" si="1"/>
        <v>0</v>
      </c>
      <c r="E13" s="24"/>
    </row>
    <row r="14" spans="1:5" s="16" customFormat="1" ht="12" customHeight="1" thickBot="1">
      <c r="A14" s="48" t="s">
        <v>64</v>
      </c>
      <c r="B14" s="78" t="s">
        <v>245</v>
      </c>
      <c r="C14" s="40">
        <f>736000*1.03</f>
        <v>758080</v>
      </c>
      <c r="D14" s="335">
        <f t="shared" si="1"/>
        <v>780822.4</v>
      </c>
      <c r="E14" s="335">
        <f>D14*1.03</f>
        <v>804247.07200000004</v>
      </c>
    </row>
    <row r="15" spans="1:5" s="16" customFormat="1" ht="12" customHeight="1" thickBot="1">
      <c r="A15" s="48" t="s">
        <v>244</v>
      </c>
      <c r="B15" s="78" t="s">
        <v>243</v>
      </c>
      <c r="C15" s="40"/>
      <c r="D15" s="335">
        <f t="shared" si="1"/>
        <v>0</v>
      </c>
      <c r="E15" s="24"/>
    </row>
    <row r="16" spans="1:5" s="16" customFormat="1" ht="12" customHeight="1" thickBot="1">
      <c r="A16" s="48" t="s">
        <v>242</v>
      </c>
      <c r="B16" s="78" t="s">
        <v>241</v>
      </c>
      <c r="C16" s="40"/>
      <c r="D16" s="335">
        <f t="shared" si="1"/>
        <v>0</v>
      </c>
      <c r="E16" s="335">
        <f>D16*1.03</f>
        <v>0</v>
      </c>
    </row>
    <row r="17" spans="1:6" s="16" customFormat="1" ht="12" customHeight="1" thickBot="1">
      <c r="A17" s="48" t="s">
        <v>240</v>
      </c>
      <c r="B17" s="78" t="s">
        <v>239</v>
      </c>
      <c r="C17" s="40"/>
      <c r="D17" s="335">
        <f t="shared" si="1"/>
        <v>0</v>
      </c>
      <c r="E17" s="24"/>
    </row>
    <row r="18" spans="1:6" s="16" customFormat="1" ht="12" customHeight="1" thickBot="1">
      <c r="A18" s="52" t="s">
        <v>238</v>
      </c>
      <c r="B18" s="87" t="s">
        <v>237</v>
      </c>
      <c r="C18" s="50">
        <f>10000*1.03</f>
        <v>10300</v>
      </c>
      <c r="D18" s="335">
        <f t="shared" si="1"/>
        <v>10609</v>
      </c>
      <c r="E18" s="335">
        <f>D18*1.03</f>
        <v>10927.27</v>
      </c>
    </row>
    <row r="19" spans="1:6" s="16" customFormat="1" ht="12" customHeight="1" thickBot="1">
      <c r="A19" s="11" t="s">
        <v>62</v>
      </c>
      <c r="B19" s="89" t="s">
        <v>533</v>
      </c>
      <c r="C19" s="335">
        <f>170000*1.03</f>
        <v>175100</v>
      </c>
      <c r="D19" s="335">
        <f t="shared" si="1"/>
        <v>180353</v>
      </c>
      <c r="E19" s="335">
        <f>D19*1.03</f>
        <v>185763.59</v>
      </c>
    </row>
    <row r="20" spans="1:6" s="16" customFormat="1" ht="12" customHeight="1" thickBot="1">
      <c r="A20" s="11" t="s">
        <v>48</v>
      </c>
      <c r="B20" s="89" t="s">
        <v>365</v>
      </c>
      <c r="C20" s="9">
        <f>800000*1.03</f>
        <v>824000</v>
      </c>
      <c r="D20" s="335">
        <f t="shared" si="1"/>
        <v>848720</v>
      </c>
      <c r="E20" s="335">
        <f>D20*1.03</f>
        <v>874181.6</v>
      </c>
    </row>
    <row r="21" spans="1:6" s="16" customFormat="1" ht="12" customHeight="1" thickBot="1">
      <c r="A21" s="11" t="s">
        <v>212</v>
      </c>
      <c r="B21" s="89" t="s">
        <v>532</v>
      </c>
      <c r="C21" s="335"/>
      <c r="D21" s="335">
        <f t="shared" si="1"/>
        <v>0</v>
      </c>
      <c r="E21" s="335">
        <f>D21*1.03</f>
        <v>0</v>
      </c>
    </row>
    <row r="22" spans="1:6" s="16" customFormat="1" ht="12" customHeight="1" thickBot="1">
      <c r="A22" s="11" t="s">
        <v>26</v>
      </c>
      <c r="B22" s="75" t="s">
        <v>531</v>
      </c>
      <c r="C22" s="335"/>
      <c r="D22" s="335">
        <f t="shared" si="1"/>
        <v>0</v>
      </c>
      <c r="E22" s="509"/>
    </row>
    <row r="23" spans="1:6" s="16" customFormat="1" ht="12" customHeight="1" thickBot="1">
      <c r="A23" s="11" t="s">
        <v>24</v>
      </c>
      <c r="B23" s="89" t="s">
        <v>196</v>
      </c>
      <c r="C23" s="312">
        <f>+C8+C9+C10+C11+C19+C20+C21+C22</f>
        <v>146089632.85000002</v>
      </c>
      <c r="D23" s="312">
        <f>+D8+D9+D10+D11+D19+D20+D21+D22</f>
        <v>150472321.83550003</v>
      </c>
      <c r="E23" s="34">
        <f>+E8+E9+E10+E11+E19+E20+E21+E22</f>
        <v>154986491.490565</v>
      </c>
    </row>
    <row r="24" spans="1:6" s="16" customFormat="1" ht="12" customHeight="1" thickBot="1">
      <c r="A24" s="11" t="s">
        <v>22</v>
      </c>
      <c r="B24" s="89" t="s">
        <v>530</v>
      </c>
      <c r="C24" s="508">
        <f>24080740*1.03</f>
        <v>24803162.199999999</v>
      </c>
      <c r="D24" s="335">
        <f>C24*1.03</f>
        <v>25547257.066</v>
      </c>
      <c r="E24" s="335">
        <f>D24*1.03</f>
        <v>26313674.77798</v>
      </c>
    </row>
    <row r="25" spans="1:6" s="16" customFormat="1" ht="12" customHeight="1" thickBot="1">
      <c r="A25" s="11" t="s">
        <v>20</v>
      </c>
      <c r="B25" s="89" t="s">
        <v>529</v>
      </c>
      <c r="C25" s="312">
        <f>+C23+C24</f>
        <v>170892795.05000001</v>
      </c>
      <c r="D25" s="312">
        <f>+D23+D24</f>
        <v>176019578.90150005</v>
      </c>
      <c r="E25" s="507">
        <f>+E23+E24</f>
        <v>181300166.268545</v>
      </c>
    </row>
    <row r="26" spans="1:6" s="16" customFormat="1" ht="12" customHeight="1">
      <c r="A26" s="334"/>
      <c r="B26" s="333"/>
      <c r="C26" s="332"/>
      <c r="D26" s="506"/>
      <c r="E26" s="505"/>
    </row>
    <row r="27" spans="1:6" s="16" customFormat="1" ht="12" customHeight="1">
      <c r="A27" s="513" t="s">
        <v>145</v>
      </c>
      <c r="B27" s="513"/>
      <c r="C27" s="513"/>
      <c r="D27" s="513"/>
      <c r="E27" s="513"/>
    </row>
    <row r="28" spans="1:6" s="16" customFormat="1" ht="12" customHeight="1" thickBot="1">
      <c r="A28" s="518" t="s">
        <v>144</v>
      </c>
      <c r="B28" s="518"/>
      <c r="C28" s="7"/>
      <c r="D28" s="329"/>
      <c r="E28" s="328" t="str">
        <f>E5</f>
        <v>Forintban!</v>
      </c>
    </row>
    <row r="29" spans="1:6" s="16" customFormat="1" ht="24" customHeight="1" thickBot="1">
      <c r="A29" s="327" t="s">
        <v>376</v>
      </c>
      <c r="B29" s="326" t="s">
        <v>142</v>
      </c>
      <c r="C29" s="326" t="str">
        <f>+C6</f>
        <v>2020. évi</v>
      </c>
      <c r="D29" s="326" t="str">
        <f>+D6</f>
        <v>2021. évi</v>
      </c>
      <c r="E29" s="325" t="str">
        <f>+E6</f>
        <v>2022. évi</v>
      </c>
      <c r="F29" s="501"/>
    </row>
    <row r="30" spans="1:6" s="16" customFormat="1" ht="12" customHeight="1" thickBot="1">
      <c r="A30" s="504" t="s">
        <v>141</v>
      </c>
      <c r="B30" s="503" t="s">
        <v>140</v>
      </c>
      <c r="C30" s="503" t="s">
        <v>334</v>
      </c>
      <c r="D30" s="503" t="s">
        <v>333</v>
      </c>
      <c r="E30" s="502" t="s">
        <v>372</v>
      </c>
      <c r="F30" s="501"/>
    </row>
    <row r="31" spans="1:6" s="16" customFormat="1" ht="15.2" customHeight="1" thickBot="1">
      <c r="A31" s="11" t="s">
        <v>139</v>
      </c>
      <c r="B31" s="10" t="s">
        <v>528</v>
      </c>
      <c r="C31" s="335">
        <f>43869912*1.03</f>
        <v>45186009.359999999</v>
      </c>
      <c r="D31" s="495">
        <f>C31*1.03</f>
        <v>46541589.640799999</v>
      </c>
      <c r="E31" s="495">
        <f>D31*1.03</f>
        <v>47937837.330024004</v>
      </c>
      <c r="F31" s="501"/>
    </row>
    <row r="32" spans="1:6" ht="12" customHeight="1" thickBot="1">
      <c r="A32" s="45" t="s">
        <v>15</v>
      </c>
      <c r="B32" s="500" t="s">
        <v>527</v>
      </c>
      <c r="C32" s="499">
        <f>+C33+C34+C35</f>
        <v>124826243.84</v>
      </c>
      <c r="D32" s="499">
        <f>+D33+D34+D35</f>
        <v>128571031.1552</v>
      </c>
      <c r="E32" s="498">
        <f>+E33+E34+E35</f>
        <v>132428162.089856</v>
      </c>
    </row>
    <row r="33" spans="1:7" ht="12" customHeight="1" thickBot="1">
      <c r="A33" s="26" t="s">
        <v>98</v>
      </c>
      <c r="B33" s="42" t="s">
        <v>97</v>
      </c>
      <c r="C33" s="315"/>
      <c r="D33" s="495">
        <f>C33*1.03</f>
        <v>0</v>
      </c>
      <c r="E33" s="497"/>
    </row>
    <row r="34" spans="1:7" ht="12" customHeight="1" thickBot="1">
      <c r="A34" s="26" t="s">
        <v>96</v>
      </c>
      <c r="B34" s="35" t="s">
        <v>93</v>
      </c>
      <c r="C34" s="40">
        <f>105406449*1.03</f>
        <v>108568642.47</v>
      </c>
      <c r="D34" s="495">
        <f>C34*1.03</f>
        <v>111825701.7441</v>
      </c>
      <c r="E34" s="495">
        <f>D34*1.03</f>
        <v>115180472.796423</v>
      </c>
    </row>
    <row r="35" spans="1:7" ht="12" customHeight="1" thickBot="1">
      <c r="A35" s="26" t="s">
        <v>94</v>
      </c>
      <c r="B35" s="39" t="s">
        <v>361</v>
      </c>
      <c r="C35" s="24">
        <f>15784079*1.03</f>
        <v>16257601.370000001</v>
      </c>
      <c r="D35" s="495">
        <f>C35*1.03</f>
        <v>16745329.411100002</v>
      </c>
      <c r="E35" s="495">
        <f>D35*1.03</f>
        <v>17247689.293433003</v>
      </c>
    </row>
    <row r="36" spans="1:7" ht="12" customHeight="1" thickBot="1">
      <c r="A36" s="11" t="s">
        <v>72</v>
      </c>
      <c r="B36" s="22" t="s">
        <v>71</v>
      </c>
      <c r="C36" s="313">
        <f>+C31+C32</f>
        <v>170012253.19999999</v>
      </c>
      <c r="D36" s="313">
        <f>+D31+D32</f>
        <v>175112620.796</v>
      </c>
      <c r="E36" s="496">
        <f>+E31+E32</f>
        <v>180365999.41988</v>
      </c>
    </row>
    <row r="37" spans="1:7" ht="15.2" customHeight="1" thickBot="1">
      <c r="A37" s="11" t="s">
        <v>70</v>
      </c>
      <c r="B37" s="22" t="s">
        <v>526</v>
      </c>
      <c r="C37" s="495">
        <f>854895*1.03</f>
        <v>880541.85</v>
      </c>
      <c r="D37" s="495">
        <f>C37*1.03</f>
        <v>906958.10549999995</v>
      </c>
      <c r="E37" s="495">
        <f>D37*1.03</f>
        <v>934166.84866499994</v>
      </c>
      <c r="F37" s="20"/>
    </row>
    <row r="38" spans="1:7" s="16" customFormat="1" ht="12.95" customHeight="1" thickBot="1">
      <c r="A38" s="19" t="s">
        <v>62</v>
      </c>
      <c r="B38" s="308" t="s">
        <v>525</v>
      </c>
      <c r="C38" s="307">
        <f>+C36+C37</f>
        <v>170892795.04999998</v>
      </c>
      <c r="D38" s="307">
        <f>+D36+D37</f>
        <v>176019578.90150002</v>
      </c>
      <c r="E38" s="494">
        <f>+E36+E37</f>
        <v>181300166.268545</v>
      </c>
    </row>
    <row r="39" spans="1:7">
      <c r="C39" s="493">
        <f>C25-C38</f>
        <v>0</v>
      </c>
      <c r="D39" s="493">
        <f>D25-D38</f>
        <v>0</v>
      </c>
      <c r="E39" s="493">
        <f>E25-E38</f>
        <v>0</v>
      </c>
    </row>
    <row r="40" spans="1:7">
      <c r="C40" s="8"/>
    </row>
    <row r="41" spans="1:7">
      <c r="C41" s="8"/>
    </row>
    <row r="42" spans="1:7" ht="16.5" customHeight="1">
      <c r="C42" s="8"/>
    </row>
    <row r="43" spans="1:7">
      <c r="C43" s="8"/>
    </row>
    <row r="44" spans="1:7">
      <c r="C44" s="8"/>
    </row>
    <row r="45" spans="1:7" s="8" customFormat="1">
      <c r="F45" s="6"/>
      <c r="G45" s="6"/>
    </row>
    <row r="46" spans="1:7" s="8" customFormat="1">
      <c r="F46" s="6"/>
      <c r="G46" s="6"/>
    </row>
    <row r="47" spans="1:7" s="8" customFormat="1">
      <c r="F47" s="6"/>
      <c r="G47" s="6"/>
    </row>
    <row r="48" spans="1:7" s="8" customFormat="1">
      <c r="F48" s="6"/>
      <c r="G48" s="6"/>
    </row>
    <row r="49" spans="6:7" s="8" customFormat="1">
      <c r="F49" s="6"/>
      <c r="G49" s="6"/>
    </row>
    <row r="50" spans="6:7" s="8" customFormat="1">
      <c r="F50" s="6"/>
      <c r="G50" s="6"/>
    </row>
    <row r="51" spans="6:7" s="8" customFormat="1">
      <c r="F51" s="6"/>
      <c r="G51" s="6"/>
    </row>
  </sheetData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view="pageBreakPreview" zoomScaleNormal="120" zoomScaleSheetLayoutView="100" workbookViewId="0">
      <selection activeCell="B1" sqref="B1:C1"/>
    </sheetView>
  </sheetViews>
  <sheetFormatPr defaultRowHeight="15.75"/>
  <cols>
    <col min="1" max="1" width="9.5" style="8" customWidth="1"/>
    <col min="2" max="2" width="99.33203125" style="8" customWidth="1"/>
    <col min="3" max="3" width="21.6640625" style="7" customWidth="1"/>
    <col min="4" max="4" width="9" style="6" customWidth="1"/>
    <col min="5" max="16384" width="9.33203125" style="6"/>
  </cols>
  <sheetData>
    <row r="1" spans="1:3" ht="18.75" customHeight="1">
      <c r="A1" s="105"/>
      <c r="B1" s="514" t="str">
        <f>CONCATENATE("1.1. melléklet ",[1]ALAPADATOK!A7," ",[1]ALAPADATOK!B7," ",[1]ALAPADATOK!C7," ",[1]ALAPADATOK!D7," ",[1]ALAPADATOK!E7," ",[1]ALAPADATOK!F7," ",[1]ALAPADATOK!G7," ",[1]ALAPADATOK!H7)</f>
        <v>1.1. melléklet a 1 / 2019 ( III.13 ) önkormányzati rendelethez</v>
      </c>
      <c r="C1" s="515"/>
    </row>
    <row r="2" spans="1:3" ht="21.95" customHeight="1">
      <c r="A2" s="108"/>
      <c r="B2" s="107" t="str">
        <f>CONCATENATE([1]ALAPADATOK!A3)</f>
        <v>Komlódtótfalu Község Önkormányzata</v>
      </c>
      <c r="C2" s="106"/>
    </row>
    <row r="3" spans="1:3" ht="21.95" customHeight="1">
      <c r="A3" s="106"/>
      <c r="B3" s="107" t="s">
        <v>283</v>
      </c>
      <c r="C3" s="106"/>
    </row>
    <row r="4" spans="1:3" ht="21.95" customHeight="1">
      <c r="A4" s="106"/>
      <c r="B4" s="107" t="s">
        <v>282</v>
      </c>
      <c r="C4" s="106"/>
    </row>
    <row r="5" spans="1:3" ht="21.95" customHeight="1">
      <c r="A5" s="105"/>
      <c r="B5" s="105"/>
      <c r="C5" s="104"/>
    </row>
    <row r="6" spans="1:3" ht="15.2" customHeight="1">
      <c r="A6" s="516" t="s">
        <v>281</v>
      </c>
      <c r="B6" s="516"/>
      <c r="C6" s="516"/>
    </row>
    <row r="7" spans="1:3" ht="15.2" customHeight="1" thickBot="1">
      <c r="A7" s="517" t="s">
        <v>280</v>
      </c>
      <c r="B7" s="517"/>
      <c r="C7" s="103" t="s">
        <v>279</v>
      </c>
    </row>
    <row r="8" spans="1:3" ht="24" customHeight="1" thickBot="1">
      <c r="A8" s="102" t="s">
        <v>143</v>
      </c>
      <c r="B8" s="101" t="s">
        <v>278</v>
      </c>
      <c r="C8" s="100" t="str">
        <f>+CONCATENATE(LEFT(KV_ÖSSZEFÜGGÉSEK!A5,4),". évi előirányzat")</f>
        <v>2019. évi előirányzat</v>
      </c>
    </row>
    <row r="9" spans="1:3" s="61" customFormat="1" ht="12" customHeight="1" thickBot="1">
      <c r="A9" s="99"/>
      <c r="B9" s="98" t="s">
        <v>141</v>
      </c>
      <c r="C9" s="97" t="s">
        <v>140</v>
      </c>
    </row>
    <row r="10" spans="1:3" s="16" customFormat="1" ht="12" customHeight="1" thickBot="1">
      <c r="A10" s="11" t="s">
        <v>139</v>
      </c>
      <c r="B10" s="89" t="s">
        <v>277</v>
      </c>
      <c r="C10" s="9">
        <f>+C11+C12+C13+C14+C15+C16</f>
        <v>24232736</v>
      </c>
    </row>
    <row r="11" spans="1:3" s="16" customFormat="1" ht="12" customHeight="1">
      <c r="A11" s="26" t="s">
        <v>137</v>
      </c>
      <c r="B11" s="80" t="s">
        <v>276</v>
      </c>
      <c r="C11" s="41">
        <v>12046230</v>
      </c>
    </row>
    <row r="12" spans="1:3" s="16" customFormat="1" ht="12" customHeight="1">
      <c r="A12" s="48" t="s">
        <v>135</v>
      </c>
      <c r="B12" s="78" t="s">
        <v>275</v>
      </c>
      <c r="C12" s="40"/>
    </row>
    <row r="13" spans="1:3" s="16" customFormat="1" ht="12" customHeight="1">
      <c r="A13" s="48" t="s">
        <v>133</v>
      </c>
      <c r="B13" s="78" t="s">
        <v>274</v>
      </c>
      <c r="C13" s="40">
        <v>7526140</v>
      </c>
    </row>
    <row r="14" spans="1:3" s="16" customFormat="1" ht="12" customHeight="1">
      <c r="A14" s="48" t="s">
        <v>131</v>
      </c>
      <c r="B14" s="78" t="s">
        <v>273</v>
      </c>
      <c r="C14" s="40">
        <v>1800000</v>
      </c>
    </row>
    <row r="15" spans="1:3" s="16" customFormat="1" ht="12" customHeight="1">
      <c r="A15" s="48" t="s">
        <v>272</v>
      </c>
      <c r="B15" s="38" t="s">
        <v>271</v>
      </c>
      <c r="C15" s="40">
        <v>2860366</v>
      </c>
    </row>
    <row r="16" spans="1:3" s="16" customFormat="1" ht="12" customHeight="1" thickBot="1">
      <c r="A16" s="52" t="s">
        <v>127</v>
      </c>
      <c r="B16" s="39" t="s">
        <v>270</v>
      </c>
      <c r="C16" s="40"/>
    </row>
    <row r="17" spans="1:3" s="16" customFormat="1" ht="12" customHeight="1" thickBot="1">
      <c r="A17" s="11" t="s">
        <v>15</v>
      </c>
      <c r="B17" s="75" t="s">
        <v>269</v>
      </c>
      <c r="C17" s="9">
        <f>+C18+C19+C20+C21+C22</f>
        <v>12217091</v>
      </c>
    </row>
    <row r="18" spans="1:3" s="16" customFormat="1" ht="12" customHeight="1">
      <c r="A18" s="26" t="s">
        <v>98</v>
      </c>
      <c r="B18" s="80" t="s">
        <v>268</v>
      </c>
      <c r="C18" s="41"/>
    </row>
    <row r="19" spans="1:3" s="16" customFormat="1" ht="12" customHeight="1">
      <c r="A19" s="48" t="s">
        <v>96</v>
      </c>
      <c r="B19" s="78" t="s">
        <v>267</v>
      </c>
      <c r="C19" s="40"/>
    </row>
    <row r="20" spans="1:3" s="16" customFormat="1" ht="12" customHeight="1">
      <c r="A20" s="48" t="s">
        <v>94</v>
      </c>
      <c r="B20" s="78" t="s">
        <v>266</v>
      </c>
      <c r="C20" s="40"/>
    </row>
    <row r="21" spans="1:3" s="16" customFormat="1" ht="12" customHeight="1">
      <c r="A21" s="48" t="s">
        <v>92</v>
      </c>
      <c r="B21" s="78" t="s">
        <v>265</v>
      </c>
      <c r="C21" s="40"/>
    </row>
    <row r="22" spans="1:3" s="16" customFormat="1" ht="12" customHeight="1">
      <c r="A22" s="48" t="s">
        <v>90</v>
      </c>
      <c r="B22" s="78" t="s">
        <v>264</v>
      </c>
      <c r="C22" s="40">
        <v>12217091</v>
      </c>
    </row>
    <row r="23" spans="1:3" s="16" customFormat="1" ht="12" customHeight="1" thickBot="1">
      <c r="A23" s="52" t="s">
        <v>88</v>
      </c>
      <c r="B23" s="39" t="s">
        <v>263</v>
      </c>
      <c r="C23" s="50">
        <v>12016299</v>
      </c>
    </row>
    <row r="24" spans="1:3" s="16" customFormat="1" ht="12" customHeight="1" thickBot="1">
      <c r="A24" s="11" t="s">
        <v>72</v>
      </c>
      <c r="B24" s="89" t="s">
        <v>262</v>
      </c>
      <c r="C24" s="9">
        <f>+C25+C26+C27+C28+C29</f>
        <v>103668768</v>
      </c>
    </row>
    <row r="25" spans="1:3" s="16" customFormat="1" ht="12" customHeight="1">
      <c r="A25" s="26" t="s">
        <v>261</v>
      </c>
      <c r="B25" s="80" t="s">
        <v>260</v>
      </c>
      <c r="C25" s="41"/>
    </row>
    <row r="26" spans="1:3" s="16" customFormat="1" ht="12" customHeight="1">
      <c r="A26" s="48" t="s">
        <v>259</v>
      </c>
      <c r="B26" s="78" t="s">
        <v>258</v>
      </c>
      <c r="C26" s="40"/>
    </row>
    <row r="27" spans="1:3" s="16" customFormat="1" ht="12" customHeight="1">
      <c r="A27" s="48" t="s">
        <v>257</v>
      </c>
      <c r="B27" s="78" t="s">
        <v>256</v>
      </c>
      <c r="C27" s="40"/>
    </row>
    <row r="28" spans="1:3" s="16" customFormat="1" ht="12" customHeight="1">
      <c r="A28" s="48" t="s">
        <v>255</v>
      </c>
      <c r="B28" s="78" t="s">
        <v>254</v>
      </c>
      <c r="C28" s="40">
        <v>15784079</v>
      </c>
    </row>
    <row r="29" spans="1:3" s="16" customFormat="1" ht="12" customHeight="1">
      <c r="A29" s="48" t="s">
        <v>253</v>
      </c>
      <c r="B29" s="78" t="s">
        <v>252</v>
      </c>
      <c r="C29" s="40">
        <v>87884689</v>
      </c>
    </row>
    <row r="30" spans="1:3" s="93" customFormat="1" ht="12" customHeight="1" thickBot="1">
      <c r="A30" s="96" t="s">
        <v>251</v>
      </c>
      <c r="B30" s="95" t="s">
        <v>250</v>
      </c>
      <c r="C30" s="94"/>
    </row>
    <row r="31" spans="1:3" s="16" customFormat="1" ht="12" customHeight="1" thickBot="1">
      <c r="A31" s="11" t="s">
        <v>249</v>
      </c>
      <c r="B31" s="89" t="s">
        <v>248</v>
      </c>
      <c r="C31" s="34">
        <f>SUM(C32:C38)</f>
        <v>746000</v>
      </c>
    </row>
    <row r="32" spans="1:3" s="16" customFormat="1" ht="12" customHeight="1">
      <c r="A32" s="26" t="s">
        <v>68</v>
      </c>
      <c r="B32" s="80" t="s">
        <v>247</v>
      </c>
      <c r="C32" s="41"/>
    </row>
    <row r="33" spans="1:3" s="16" customFormat="1" ht="12" customHeight="1">
      <c r="A33" s="48" t="s">
        <v>66</v>
      </c>
      <c r="B33" s="78" t="s">
        <v>246</v>
      </c>
      <c r="C33" s="40"/>
    </row>
    <row r="34" spans="1:3" s="16" customFormat="1" ht="12" customHeight="1">
      <c r="A34" s="48" t="s">
        <v>64</v>
      </c>
      <c r="B34" s="78" t="s">
        <v>245</v>
      </c>
      <c r="C34" s="40">
        <v>736000</v>
      </c>
    </row>
    <row r="35" spans="1:3" s="16" customFormat="1" ht="12" customHeight="1">
      <c r="A35" s="48" t="s">
        <v>244</v>
      </c>
      <c r="B35" s="78" t="s">
        <v>243</v>
      </c>
      <c r="C35" s="40"/>
    </row>
    <row r="36" spans="1:3" s="16" customFormat="1" ht="12" customHeight="1">
      <c r="A36" s="48" t="s">
        <v>242</v>
      </c>
      <c r="B36" s="78" t="s">
        <v>241</v>
      </c>
      <c r="C36" s="40"/>
    </row>
    <row r="37" spans="1:3" s="16" customFormat="1" ht="12" customHeight="1">
      <c r="A37" s="48" t="s">
        <v>240</v>
      </c>
      <c r="B37" s="78" t="s">
        <v>239</v>
      </c>
      <c r="C37" s="40"/>
    </row>
    <row r="38" spans="1:3" s="16" customFormat="1" ht="12" customHeight="1" thickBot="1">
      <c r="A38" s="52" t="s">
        <v>238</v>
      </c>
      <c r="B38" s="92" t="s">
        <v>237</v>
      </c>
      <c r="C38" s="50">
        <v>10000</v>
      </c>
    </row>
    <row r="39" spans="1:3" s="16" customFormat="1" ht="12" customHeight="1" thickBot="1">
      <c r="A39" s="11" t="s">
        <v>62</v>
      </c>
      <c r="B39" s="89" t="s">
        <v>236</v>
      </c>
      <c r="C39" s="9">
        <f>SUM(C40:C50)</f>
        <v>170000</v>
      </c>
    </row>
    <row r="40" spans="1:3" s="16" customFormat="1" ht="12" customHeight="1">
      <c r="A40" s="26" t="s">
        <v>60</v>
      </c>
      <c r="B40" s="80" t="s">
        <v>235</v>
      </c>
      <c r="C40" s="41"/>
    </row>
    <row r="41" spans="1:3" s="16" customFormat="1" ht="12" customHeight="1">
      <c r="A41" s="48" t="s">
        <v>58</v>
      </c>
      <c r="B41" s="78" t="s">
        <v>234</v>
      </c>
      <c r="C41" s="40">
        <v>170000</v>
      </c>
    </row>
    <row r="42" spans="1:3" s="16" customFormat="1" ht="12" customHeight="1">
      <c r="A42" s="48" t="s">
        <v>56</v>
      </c>
      <c r="B42" s="78" t="s">
        <v>233</v>
      </c>
      <c r="C42" s="40"/>
    </row>
    <row r="43" spans="1:3" s="16" customFormat="1" ht="12" customHeight="1">
      <c r="A43" s="48" t="s">
        <v>54</v>
      </c>
      <c r="B43" s="78" t="s">
        <v>232</v>
      </c>
      <c r="C43" s="40"/>
    </row>
    <row r="44" spans="1:3" s="16" customFormat="1" ht="12" customHeight="1">
      <c r="A44" s="48" t="s">
        <v>52</v>
      </c>
      <c r="B44" s="78" t="s">
        <v>231</v>
      </c>
      <c r="C44" s="40"/>
    </row>
    <row r="45" spans="1:3" s="16" customFormat="1" ht="12" customHeight="1">
      <c r="A45" s="48" t="s">
        <v>50</v>
      </c>
      <c r="B45" s="78" t="s">
        <v>230</v>
      </c>
      <c r="C45" s="40"/>
    </row>
    <row r="46" spans="1:3" s="16" customFormat="1" ht="12" customHeight="1">
      <c r="A46" s="48" t="s">
        <v>229</v>
      </c>
      <c r="B46" s="78" t="s">
        <v>228</v>
      </c>
      <c r="C46" s="40"/>
    </row>
    <row r="47" spans="1:3" s="16" customFormat="1" ht="12" customHeight="1">
      <c r="A47" s="48" t="s">
        <v>227</v>
      </c>
      <c r="B47" s="78" t="s">
        <v>226</v>
      </c>
      <c r="C47" s="40"/>
    </row>
    <row r="48" spans="1:3" s="16" customFormat="1" ht="12" customHeight="1">
      <c r="A48" s="48" t="s">
        <v>225</v>
      </c>
      <c r="B48" s="78" t="s">
        <v>224</v>
      </c>
      <c r="C48" s="76"/>
    </row>
    <row r="49" spans="1:3" s="16" customFormat="1" ht="12" customHeight="1">
      <c r="A49" s="52" t="s">
        <v>223</v>
      </c>
      <c r="B49" s="87" t="s">
        <v>222</v>
      </c>
      <c r="C49" s="86"/>
    </row>
    <row r="50" spans="1:3" s="16" customFormat="1" ht="12" customHeight="1" thickBot="1">
      <c r="A50" s="52" t="s">
        <v>221</v>
      </c>
      <c r="B50" s="39" t="s">
        <v>220</v>
      </c>
      <c r="C50" s="86"/>
    </row>
    <row r="51" spans="1:3" s="16" customFormat="1" ht="12" customHeight="1" thickBot="1">
      <c r="A51" s="11" t="s">
        <v>48</v>
      </c>
      <c r="B51" s="89" t="s">
        <v>219</v>
      </c>
      <c r="C51" s="9">
        <f>SUM(C52:C56)</f>
        <v>800000</v>
      </c>
    </row>
    <row r="52" spans="1:3" s="16" customFormat="1" ht="12" customHeight="1">
      <c r="A52" s="26" t="s">
        <v>46</v>
      </c>
      <c r="B52" s="80" t="s">
        <v>218</v>
      </c>
      <c r="C52" s="91"/>
    </row>
    <row r="53" spans="1:3" s="16" customFormat="1" ht="12" customHeight="1">
      <c r="A53" s="48" t="s">
        <v>44</v>
      </c>
      <c r="B53" s="78" t="s">
        <v>217</v>
      </c>
      <c r="C53" s="76">
        <v>800000</v>
      </c>
    </row>
    <row r="54" spans="1:3" s="16" customFormat="1" ht="12" customHeight="1">
      <c r="A54" s="48" t="s">
        <v>42</v>
      </c>
      <c r="B54" s="78" t="s">
        <v>216</v>
      </c>
      <c r="C54" s="76"/>
    </row>
    <row r="55" spans="1:3" s="16" customFormat="1" ht="12" customHeight="1">
      <c r="A55" s="48" t="s">
        <v>40</v>
      </c>
      <c r="B55" s="78" t="s">
        <v>215</v>
      </c>
      <c r="C55" s="76"/>
    </row>
    <row r="56" spans="1:3" s="16" customFormat="1" ht="12" customHeight="1" thickBot="1">
      <c r="A56" s="52" t="s">
        <v>214</v>
      </c>
      <c r="B56" s="39" t="s">
        <v>213</v>
      </c>
      <c r="C56" s="86"/>
    </row>
    <row r="57" spans="1:3" s="16" customFormat="1" ht="12" customHeight="1" thickBot="1">
      <c r="A57" s="11" t="s">
        <v>212</v>
      </c>
      <c r="B57" s="89" t="s">
        <v>211</v>
      </c>
      <c r="C57" s="9">
        <f>SUM(C58:C60)</f>
        <v>0</v>
      </c>
    </row>
    <row r="58" spans="1:3" s="16" customFormat="1" ht="12" customHeight="1">
      <c r="A58" s="26" t="s">
        <v>36</v>
      </c>
      <c r="B58" s="80" t="s">
        <v>210</v>
      </c>
      <c r="C58" s="41"/>
    </row>
    <row r="59" spans="1:3" s="16" customFormat="1" ht="12" customHeight="1">
      <c r="A59" s="48" t="s">
        <v>34</v>
      </c>
      <c r="B59" s="78" t="s">
        <v>209</v>
      </c>
      <c r="C59" s="40"/>
    </row>
    <row r="60" spans="1:3" s="16" customFormat="1" ht="12" customHeight="1">
      <c r="A60" s="48" t="s">
        <v>32</v>
      </c>
      <c r="B60" s="78" t="s">
        <v>208</v>
      </c>
      <c r="C60" s="40"/>
    </row>
    <row r="61" spans="1:3" s="16" customFormat="1" ht="12" customHeight="1" thickBot="1">
      <c r="A61" s="52" t="s">
        <v>30</v>
      </c>
      <c r="B61" s="39" t="s">
        <v>207</v>
      </c>
      <c r="C61" s="50"/>
    </row>
    <row r="62" spans="1:3" s="16" customFormat="1" ht="12" customHeight="1" thickBot="1">
      <c r="A62" s="11" t="s">
        <v>26</v>
      </c>
      <c r="B62" s="75" t="s">
        <v>206</v>
      </c>
      <c r="C62" s="9">
        <f>SUM(C63:C65)</f>
        <v>0</v>
      </c>
    </row>
    <row r="63" spans="1:3" s="16" customFormat="1" ht="12" customHeight="1">
      <c r="A63" s="26" t="s">
        <v>205</v>
      </c>
      <c r="B63" s="80" t="s">
        <v>204</v>
      </c>
      <c r="C63" s="76"/>
    </row>
    <row r="64" spans="1:3" s="16" customFormat="1" ht="12" customHeight="1">
      <c r="A64" s="48" t="s">
        <v>203</v>
      </c>
      <c r="B64" s="78" t="s">
        <v>202</v>
      </c>
      <c r="C64" s="76"/>
    </row>
    <row r="65" spans="1:3" s="16" customFormat="1" ht="12" customHeight="1">
      <c r="A65" s="48" t="s">
        <v>201</v>
      </c>
      <c r="B65" s="78" t="s">
        <v>200</v>
      </c>
      <c r="C65" s="76"/>
    </row>
    <row r="66" spans="1:3" s="16" customFormat="1" ht="12" customHeight="1" thickBot="1">
      <c r="A66" s="52" t="s">
        <v>199</v>
      </c>
      <c r="B66" s="39" t="s">
        <v>198</v>
      </c>
      <c r="C66" s="76"/>
    </row>
    <row r="67" spans="1:3" s="16" customFormat="1" ht="12" customHeight="1" thickBot="1">
      <c r="A67" s="90" t="s">
        <v>197</v>
      </c>
      <c r="B67" s="89" t="s">
        <v>196</v>
      </c>
      <c r="C67" s="34">
        <f>+C10+C17+C24+C31+C39+C51+C57+C62</f>
        <v>141834595</v>
      </c>
    </row>
    <row r="68" spans="1:3" s="16" customFormat="1" ht="12" customHeight="1" thickBot="1">
      <c r="A68" s="73" t="s">
        <v>195</v>
      </c>
      <c r="B68" s="75" t="s">
        <v>194</v>
      </c>
      <c r="C68" s="9">
        <f>SUM(C69:C71)</f>
        <v>0</v>
      </c>
    </row>
    <row r="69" spans="1:3" s="16" customFormat="1" ht="12" customHeight="1">
      <c r="A69" s="26" t="s">
        <v>193</v>
      </c>
      <c r="B69" s="80" t="s">
        <v>192</v>
      </c>
      <c r="C69" s="76"/>
    </row>
    <row r="70" spans="1:3" s="16" customFormat="1" ht="12" customHeight="1">
      <c r="A70" s="48" t="s">
        <v>191</v>
      </c>
      <c r="B70" s="78" t="s">
        <v>190</v>
      </c>
      <c r="C70" s="76"/>
    </row>
    <row r="71" spans="1:3" s="16" customFormat="1" ht="12" customHeight="1" thickBot="1">
      <c r="A71" s="52" t="s">
        <v>189</v>
      </c>
      <c r="B71" s="88" t="s">
        <v>188</v>
      </c>
      <c r="C71" s="76"/>
    </row>
    <row r="72" spans="1:3" s="16" customFormat="1" ht="12" customHeight="1" thickBot="1">
      <c r="A72" s="73" t="s">
        <v>187</v>
      </c>
      <c r="B72" s="75" t="s">
        <v>186</v>
      </c>
      <c r="C72" s="9">
        <f>SUM(C73:C76)</f>
        <v>0</v>
      </c>
    </row>
    <row r="73" spans="1:3" s="16" customFormat="1" ht="12" customHeight="1">
      <c r="A73" s="26" t="s">
        <v>185</v>
      </c>
      <c r="B73" s="80" t="s">
        <v>184</v>
      </c>
      <c r="C73" s="76"/>
    </row>
    <row r="74" spans="1:3" s="16" customFormat="1" ht="12" customHeight="1">
      <c r="A74" s="48" t="s">
        <v>183</v>
      </c>
      <c r="B74" s="78" t="s">
        <v>182</v>
      </c>
      <c r="C74" s="76"/>
    </row>
    <row r="75" spans="1:3" s="16" customFormat="1" ht="12" customHeight="1">
      <c r="A75" s="52" t="s">
        <v>181</v>
      </c>
      <c r="B75" s="87" t="s">
        <v>180</v>
      </c>
      <c r="C75" s="86"/>
    </row>
    <row r="76" spans="1:3" s="16" customFormat="1" ht="12" customHeight="1" thickBot="1">
      <c r="A76" s="30" t="s">
        <v>179</v>
      </c>
      <c r="B76" s="83" t="s">
        <v>178</v>
      </c>
      <c r="C76" s="82"/>
    </row>
    <row r="77" spans="1:3" s="16" customFormat="1" ht="12" customHeight="1" thickBot="1">
      <c r="A77" s="73" t="s">
        <v>177</v>
      </c>
      <c r="B77" s="75" t="s">
        <v>176</v>
      </c>
      <c r="C77" s="9">
        <f>SUM(C78:C79)</f>
        <v>24080740</v>
      </c>
    </row>
    <row r="78" spans="1:3" s="16" customFormat="1" ht="12" customHeight="1">
      <c r="A78" s="57" t="s">
        <v>175</v>
      </c>
      <c r="B78" s="85" t="s">
        <v>174</v>
      </c>
      <c r="C78" s="84">
        <v>24080740</v>
      </c>
    </row>
    <row r="79" spans="1:3" s="16" customFormat="1" ht="12" customHeight="1" thickBot="1">
      <c r="A79" s="30" t="s">
        <v>173</v>
      </c>
      <c r="B79" s="83" t="s">
        <v>172</v>
      </c>
      <c r="C79" s="82"/>
    </row>
    <row r="80" spans="1:3" s="16" customFormat="1" ht="12" customHeight="1" thickBot="1">
      <c r="A80" s="73" t="s">
        <v>171</v>
      </c>
      <c r="B80" s="75" t="s">
        <v>170</v>
      </c>
      <c r="C80" s="9">
        <f>SUM(C81:C83)</f>
        <v>0</v>
      </c>
    </row>
    <row r="81" spans="1:3" s="16" customFormat="1" ht="12" customHeight="1">
      <c r="A81" s="26" t="s">
        <v>169</v>
      </c>
      <c r="B81" s="80" t="s">
        <v>168</v>
      </c>
      <c r="C81" s="76"/>
    </row>
    <row r="82" spans="1:3" s="16" customFormat="1" ht="12" customHeight="1">
      <c r="A82" s="48" t="s">
        <v>167</v>
      </c>
      <c r="B82" s="78" t="s">
        <v>166</v>
      </c>
      <c r="C82" s="76"/>
    </row>
    <row r="83" spans="1:3" s="16" customFormat="1" ht="12" customHeight="1" thickBot="1">
      <c r="A83" s="30" t="s">
        <v>165</v>
      </c>
      <c r="B83" s="83" t="s">
        <v>164</v>
      </c>
      <c r="C83" s="82"/>
    </row>
    <row r="84" spans="1:3" s="16" customFormat="1" ht="12" customHeight="1" thickBot="1">
      <c r="A84" s="73" t="s">
        <v>163</v>
      </c>
      <c r="B84" s="75" t="s">
        <v>162</v>
      </c>
      <c r="C84" s="9">
        <f>SUM(C85:C88)</f>
        <v>0</v>
      </c>
    </row>
    <row r="85" spans="1:3" s="16" customFormat="1" ht="12" customHeight="1">
      <c r="A85" s="81" t="s">
        <v>161</v>
      </c>
      <c r="B85" s="80" t="s">
        <v>160</v>
      </c>
      <c r="C85" s="76"/>
    </row>
    <row r="86" spans="1:3" s="16" customFormat="1" ht="12" customHeight="1">
      <c r="A86" s="79" t="s">
        <v>159</v>
      </c>
      <c r="B86" s="78" t="s">
        <v>158</v>
      </c>
      <c r="C86" s="76"/>
    </row>
    <row r="87" spans="1:3" s="16" customFormat="1" ht="12" customHeight="1">
      <c r="A87" s="79" t="s">
        <v>157</v>
      </c>
      <c r="B87" s="78" t="s">
        <v>156</v>
      </c>
      <c r="C87" s="76"/>
    </row>
    <row r="88" spans="1:3" s="16" customFormat="1" ht="12" customHeight="1" thickBot="1">
      <c r="A88" s="77" t="s">
        <v>155</v>
      </c>
      <c r="B88" s="39" t="s">
        <v>154</v>
      </c>
      <c r="C88" s="76"/>
    </row>
    <row r="89" spans="1:3" s="16" customFormat="1" ht="12" customHeight="1" thickBot="1">
      <c r="A89" s="73" t="s">
        <v>153</v>
      </c>
      <c r="B89" s="75" t="s">
        <v>152</v>
      </c>
      <c r="C89" s="74"/>
    </row>
    <row r="90" spans="1:3" s="16" customFormat="1" ht="13.5" customHeight="1" thickBot="1">
      <c r="A90" s="73" t="s">
        <v>151</v>
      </c>
      <c r="B90" s="75" t="s">
        <v>150</v>
      </c>
      <c r="C90" s="74"/>
    </row>
    <row r="91" spans="1:3" s="16" customFormat="1" ht="15.75" customHeight="1" thickBot="1">
      <c r="A91" s="73" t="s">
        <v>149</v>
      </c>
      <c r="B91" s="72" t="s">
        <v>148</v>
      </c>
      <c r="C91" s="34">
        <f>+C68+C72+C77+C80+C84+C90+C89</f>
        <v>24080740</v>
      </c>
    </row>
    <row r="92" spans="1:3" s="16" customFormat="1" ht="16.5" customHeight="1" thickBot="1">
      <c r="A92" s="71" t="s">
        <v>147</v>
      </c>
      <c r="B92" s="70" t="s">
        <v>146</v>
      </c>
      <c r="C92" s="34">
        <f>+C67+C91</f>
        <v>165915335</v>
      </c>
    </row>
    <row r="93" spans="1:3" s="16" customFormat="1" ht="11.1" customHeight="1">
      <c r="A93" s="69"/>
      <c r="B93" s="68"/>
      <c r="C93" s="67"/>
    </row>
    <row r="94" spans="1:3" ht="16.5" customHeight="1">
      <c r="A94" s="513" t="s">
        <v>145</v>
      </c>
      <c r="B94" s="513"/>
      <c r="C94" s="513"/>
    </row>
    <row r="95" spans="1:3" s="65" customFormat="1" ht="16.5" customHeight="1" thickBot="1">
      <c r="A95" s="518" t="s">
        <v>144</v>
      </c>
      <c r="B95" s="518"/>
      <c r="C95" s="66" t="str">
        <f>C7</f>
        <v>Forintban!</v>
      </c>
    </row>
    <row r="96" spans="1:3" ht="38.1" customHeight="1" thickBot="1">
      <c r="A96" s="64" t="s">
        <v>143</v>
      </c>
      <c r="B96" s="63" t="s">
        <v>142</v>
      </c>
      <c r="C96" s="62" t="str">
        <f>+C8</f>
        <v>2019. évi előirányzat</v>
      </c>
    </row>
    <row r="97" spans="1:3" s="61" customFormat="1" ht="12" customHeight="1" thickBot="1">
      <c r="A97" s="64"/>
      <c r="B97" s="63" t="s">
        <v>141</v>
      </c>
      <c r="C97" s="62" t="s">
        <v>140</v>
      </c>
    </row>
    <row r="98" spans="1:3" ht="12" customHeight="1" thickBot="1">
      <c r="A98" s="60" t="s">
        <v>139</v>
      </c>
      <c r="B98" s="59" t="s">
        <v>138</v>
      </c>
      <c r="C98" s="58">
        <f>C99+C100+C101+C102+C103+C116</f>
        <v>43869912</v>
      </c>
    </row>
    <row r="99" spans="1:3" ht="12" customHeight="1">
      <c r="A99" s="57" t="s">
        <v>137</v>
      </c>
      <c r="B99" s="56" t="s">
        <v>136</v>
      </c>
      <c r="C99" s="55">
        <v>6783110</v>
      </c>
    </row>
    <row r="100" spans="1:3" ht="12" customHeight="1">
      <c r="A100" s="48" t="s">
        <v>135</v>
      </c>
      <c r="B100" s="42" t="s">
        <v>134</v>
      </c>
      <c r="C100" s="40">
        <v>1171668</v>
      </c>
    </row>
    <row r="101" spans="1:3" ht="12" customHeight="1">
      <c r="A101" s="48" t="s">
        <v>133</v>
      </c>
      <c r="B101" s="42" t="s">
        <v>132</v>
      </c>
      <c r="C101" s="50">
        <v>24912800</v>
      </c>
    </row>
    <row r="102" spans="1:3" ht="12" customHeight="1">
      <c r="A102" s="48" t="s">
        <v>131</v>
      </c>
      <c r="B102" s="49" t="s">
        <v>130</v>
      </c>
      <c r="C102" s="50">
        <v>5200000</v>
      </c>
    </row>
    <row r="103" spans="1:3" ht="12" customHeight="1">
      <c r="A103" s="48" t="s">
        <v>129</v>
      </c>
      <c r="B103" s="54" t="s">
        <v>128</v>
      </c>
      <c r="C103" s="50">
        <v>3802334</v>
      </c>
    </row>
    <row r="104" spans="1:3" ht="12" customHeight="1">
      <c r="A104" s="48" t="s">
        <v>127</v>
      </c>
      <c r="B104" s="42" t="s">
        <v>126</v>
      </c>
      <c r="C104" s="50"/>
    </row>
    <row r="105" spans="1:3" ht="12" customHeight="1">
      <c r="A105" s="48" t="s">
        <v>125</v>
      </c>
      <c r="B105" s="51" t="s">
        <v>124</v>
      </c>
      <c r="C105" s="50"/>
    </row>
    <row r="106" spans="1:3" ht="12" customHeight="1">
      <c r="A106" s="48" t="s">
        <v>123</v>
      </c>
      <c r="B106" s="51" t="s">
        <v>122</v>
      </c>
      <c r="C106" s="50"/>
    </row>
    <row r="107" spans="1:3" ht="12" customHeight="1">
      <c r="A107" s="48" t="s">
        <v>121</v>
      </c>
      <c r="B107" s="53" t="s">
        <v>120</v>
      </c>
      <c r="C107" s="50"/>
    </row>
    <row r="108" spans="1:3" ht="12" customHeight="1">
      <c r="A108" s="48" t="s">
        <v>119</v>
      </c>
      <c r="B108" s="36" t="s">
        <v>118</v>
      </c>
      <c r="C108" s="50"/>
    </row>
    <row r="109" spans="1:3" ht="12" customHeight="1">
      <c r="A109" s="48" t="s">
        <v>117</v>
      </c>
      <c r="B109" s="36" t="s">
        <v>83</v>
      </c>
      <c r="C109" s="50"/>
    </row>
    <row r="110" spans="1:3" ht="12" customHeight="1">
      <c r="A110" s="48" t="s">
        <v>116</v>
      </c>
      <c r="B110" s="53" t="s">
        <v>115</v>
      </c>
      <c r="C110" s="50">
        <v>3567814</v>
      </c>
    </row>
    <row r="111" spans="1:3" ht="12" customHeight="1">
      <c r="A111" s="48" t="s">
        <v>114</v>
      </c>
      <c r="B111" s="53" t="s">
        <v>113</v>
      </c>
      <c r="C111" s="50"/>
    </row>
    <row r="112" spans="1:3" ht="12" customHeight="1">
      <c r="A112" s="48" t="s">
        <v>112</v>
      </c>
      <c r="B112" s="36" t="s">
        <v>77</v>
      </c>
      <c r="C112" s="50"/>
    </row>
    <row r="113" spans="1:3" ht="12" customHeight="1">
      <c r="A113" s="33" t="s">
        <v>111</v>
      </c>
      <c r="B113" s="51" t="s">
        <v>110</v>
      </c>
      <c r="C113" s="50"/>
    </row>
    <row r="114" spans="1:3" ht="12" customHeight="1">
      <c r="A114" s="48" t="s">
        <v>109</v>
      </c>
      <c r="B114" s="51" t="s">
        <v>108</v>
      </c>
      <c r="C114" s="50"/>
    </row>
    <row r="115" spans="1:3" ht="12" customHeight="1">
      <c r="A115" s="52" t="s">
        <v>107</v>
      </c>
      <c r="B115" s="51" t="s">
        <v>106</v>
      </c>
      <c r="C115" s="50">
        <v>234520</v>
      </c>
    </row>
    <row r="116" spans="1:3" ht="12" customHeight="1">
      <c r="A116" s="48" t="s">
        <v>105</v>
      </c>
      <c r="B116" s="49" t="s">
        <v>104</v>
      </c>
      <c r="C116" s="40">
        <v>2000000</v>
      </c>
    </row>
    <row r="117" spans="1:3" ht="12" customHeight="1">
      <c r="A117" s="48" t="s">
        <v>103</v>
      </c>
      <c r="B117" s="42" t="s">
        <v>102</v>
      </c>
      <c r="C117" s="40">
        <v>1000000</v>
      </c>
    </row>
    <row r="118" spans="1:3" ht="12" customHeight="1" thickBot="1">
      <c r="A118" s="30" t="s">
        <v>101</v>
      </c>
      <c r="B118" s="47" t="s">
        <v>100</v>
      </c>
      <c r="C118" s="46">
        <v>1000000</v>
      </c>
    </row>
    <row r="119" spans="1:3" ht="12" customHeight="1" thickBot="1">
      <c r="A119" s="45" t="s">
        <v>15</v>
      </c>
      <c r="B119" s="44" t="s">
        <v>99</v>
      </c>
      <c r="C119" s="43">
        <f>+C120+C122+C124</f>
        <v>121190528</v>
      </c>
    </row>
    <row r="120" spans="1:3" ht="12" customHeight="1">
      <c r="A120" s="26" t="s">
        <v>98</v>
      </c>
      <c r="B120" s="42" t="s">
        <v>97</v>
      </c>
      <c r="C120" s="41"/>
    </row>
    <row r="121" spans="1:3" ht="12" customHeight="1">
      <c r="A121" s="26" t="s">
        <v>96</v>
      </c>
      <c r="B121" s="35" t="s">
        <v>95</v>
      </c>
      <c r="C121" s="41"/>
    </row>
    <row r="122" spans="1:3" ht="12" customHeight="1">
      <c r="A122" s="26" t="s">
        <v>94</v>
      </c>
      <c r="B122" s="35" t="s">
        <v>93</v>
      </c>
      <c r="C122" s="40">
        <v>105406449</v>
      </c>
    </row>
    <row r="123" spans="1:3" ht="12" customHeight="1">
      <c r="A123" s="26" t="s">
        <v>92</v>
      </c>
      <c r="B123" s="35" t="s">
        <v>91</v>
      </c>
      <c r="C123" s="24">
        <v>105406449</v>
      </c>
    </row>
    <row r="124" spans="1:3" ht="12" customHeight="1">
      <c r="A124" s="26" t="s">
        <v>90</v>
      </c>
      <c r="B124" s="39" t="s">
        <v>89</v>
      </c>
      <c r="C124" s="24">
        <v>15784079</v>
      </c>
    </row>
    <row r="125" spans="1:3" ht="12" customHeight="1">
      <c r="A125" s="26" t="s">
        <v>88</v>
      </c>
      <c r="B125" s="38" t="s">
        <v>87</v>
      </c>
      <c r="C125" s="24"/>
    </row>
    <row r="126" spans="1:3" ht="12" customHeight="1">
      <c r="A126" s="26" t="s">
        <v>86</v>
      </c>
      <c r="B126" s="37" t="s">
        <v>85</v>
      </c>
      <c r="C126" s="24"/>
    </row>
    <row r="127" spans="1:3">
      <c r="A127" s="26" t="s">
        <v>84</v>
      </c>
      <c r="B127" s="36" t="s">
        <v>83</v>
      </c>
      <c r="C127" s="24"/>
    </row>
    <row r="128" spans="1:3" ht="12" customHeight="1">
      <c r="A128" s="26" t="s">
        <v>82</v>
      </c>
      <c r="B128" s="36" t="s">
        <v>81</v>
      </c>
      <c r="C128" s="24"/>
    </row>
    <row r="129" spans="1:3" ht="12" customHeight="1">
      <c r="A129" s="26" t="s">
        <v>80</v>
      </c>
      <c r="B129" s="36" t="s">
        <v>79</v>
      </c>
      <c r="C129" s="24"/>
    </row>
    <row r="130" spans="1:3" ht="12" customHeight="1">
      <c r="A130" s="26" t="s">
        <v>78</v>
      </c>
      <c r="B130" s="36" t="s">
        <v>77</v>
      </c>
      <c r="C130" s="24">
        <v>15784079</v>
      </c>
    </row>
    <row r="131" spans="1:3" ht="12" customHeight="1">
      <c r="A131" s="26" t="s">
        <v>76</v>
      </c>
      <c r="B131" s="36" t="s">
        <v>75</v>
      </c>
      <c r="C131" s="24"/>
    </row>
    <row r="132" spans="1:3" ht="16.5" thickBot="1">
      <c r="A132" s="33" t="s">
        <v>74</v>
      </c>
      <c r="B132" s="36" t="s">
        <v>73</v>
      </c>
      <c r="C132" s="31"/>
    </row>
    <row r="133" spans="1:3" ht="12" customHeight="1" thickBot="1">
      <c r="A133" s="11" t="s">
        <v>72</v>
      </c>
      <c r="B133" s="22" t="s">
        <v>71</v>
      </c>
      <c r="C133" s="9">
        <f>+C98+C119</f>
        <v>165060440</v>
      </c>
    </row>
    <row r="134" spans="1:3" ht="12" customHeight="1" thickBot="1">
      <c r="A134" s="11" t="s">
        <v>70</v>
      </c>
      <c r="B134" s="22" t="s">
        <v>69</v>
      </c>
      <c r="C134" s="9">
        <f>+C135+C136+C137</f>
        <v>0</v>
      </c>
    </row>
    <row r="135" spans="1:3" ht="12" customHeight="1">
      <c r="A135" s="26" t="s">
        <v>68</v>
      </c>
      <c r="B135" s="35" t="s">
        <v>67</v>
      </c>
      <c r="C135" s="24"/>
    </row>
    <row r="136" spans="1:3" ht="12" customHeight="1">
      <c r="A136" s="26" t="s">
        <v>66</v>
      </c>
      <c r="B136" s="35" t="s">
        <v>65</v>
      </c>
      <c r="C136" s="24"/>
    </row>
    <row r="137" spans="1:3" ht="12" customHeight="1" thickBot="1">
      <c r="A137" s="33" t="s">
        <v>64</v>
      </c>
      <c r="B137" s="35" t="s">
        <v>63</v>
      </c>
      <c r="C137" s="24"/>
    </row>
    <row r="138" spans="1:3" ht="12" customHeight="1" thickBot="1">
      <c r="A138" s="11" t="s">
        <v>62</v>
      </c>
      <c r="B138" s="22" t="s">
        <v>61</v>
      </c>
      <c r="C138" s="9">
        <f>SUM(C139:C144)</f>
        <v>0</v>
      </c>
    </row>
    <row r="139" spans="1:3" ht="12" customHeight="1">
      <c r="A139" s="26" t="s">
        <v>60</v>
      </c>
      <c r="B139" s="25" t="s">
        <v>59</v>
      </c>
      <c r="C139" s="24"/>
    </row>
    <row r="140" spans="1:3" ht="12" customHeight="1">
      <c r="A140" s="26" t="s">
        <v>58</v>
      </c>
      <c r="B140" s="25" t="s">
        <v>57</v>
      </c>
      <c r="C140" s="24"/>
    </row>
    <row r="141" spans="1:3" ht="12" customHeight="1">
      <c r="A141" s="26" t="s">
        <v>56</v>
      </c>
      <c r="B141" s="25" t="s">
        <v>55</v>
      </c>
      <c r="C141" s="24"/>
    </row>
    <row r="142" spans="1:3" ht="12" customHeight="1">
      <c r="A142" s="26" t="s">
        <v>54</v>
      </c>
      <c r="B142" s="25" t="s">
        <v>53</v>
      </c>
      <c r="C142" s="24"/>
    </row>
    <row r="143" spans="1:3" ht="12" customHeight="1">
      <c r="A143" s="33" t="s">
        <v>52</v>
      </c>
      <c r="B143" s="32" t="s">
        <v>51</v>
      </c>
      <c r="C143" s="31"/>
    </row>
    <row r="144" spans="1:3" ht="12" customHeight="1" thickBot="1">
      <c r="A144" s="30" t="s">
        <v>50</v>
      </c>
      <c r="B144" s="29" t="s">
        <v>49</v>
      </c>
      <c r="C144" s="28"/>
    </row>
    <row r="145" spans="1:9" ht="12" customHeight="1" thickBot="1">
      <c r="A145" s="11" t="s">
        <v>48</v>
      </c>
      <c r="B145" s="22" t="s">
        <v>47</v>
      </c>
      <c r="C145" s="34">
        <f>+C146+C147+C148+C149</f>
        <v>854895</v>
      </c>
    </row>
    <row r="146" spans="1:9" ht="12" customHeight="1">
      <c r="A146" s="26" t="s">
        <v>46</v>
      </c>
      <c r="B146" s="25" t="s">
        <v>45</v>
      </c>
      <c r="C146" s="24"/>
    </row>
    <row r="147" spans="1:9" ht="12" customHeight="1">
      <c r="A147" s="26" t="s">
        <v>44</v>
      </c>
      <c r="B147" s="25" t="s">
        <v>43</v>
      </c>
      <c r="C147" s="24">
        <v>854895</v>
      </c>
    </row>
    <row r="148" spans="1:9" ht="12" customHeight="1">
      <c r="A148" s="33" t="s">
        <v>42</v>
      </c>
      <c r="B148" s="32" t="s">
        <v>41</v>
      </c>
      <c r="C148" s="31"/>
    </row>
    <row r="149" spans="1:9" ht="12" customHeight="1" thickBot="1">
      <c r="A149" s="30" t="s">
        <v>40</v>
      </c>
      <c r="B149" s="29" t="s">
        <v>39</v>
      </c>
      <c r="C149" s="28"/>
    </row>
    <row r="150" spans="1:9" ht="12" customHeight="1" thickBot="1">
      <c r="A150" s="11" t="s">
        <v>38</v>
      </c>
      <c r="B150" s="22" t="s">
        <v>37</v>
      </c>
      <c r="C150" s="27">
        <f>SUM(C151:C155)</f>
        <v>0</v>
      </c>
    </row>
    <row r="151" spans="1:9" ht="12" customHeight="1">
      <c r="A151" s="26" t="s">
        <v>36</v>
      </c>
      <c r="B151" s="25" t="s">
        <v>35</v>
      </c>
      <c r="C151" s="24"/>
    </row>
    <row r="152" spans="1:9" ht="12" customHeight="1">
      <c r="A152" s="26" t="s">
        <v>34</v>
      </c>
      <c r="B152" s="25" t="s">
        <v>33</v>
      </c>
      <c r="C152" s="24"/>
    </row>
    <row r="153" spans="1:9" ht="12" customHeight="1">
      <c r="A153" s="26" t="s">
        <v>32</v>
      </c>
      <c r="B153" s="25" t="s">
        <v>31</v>
      </c>
      <c r="C153" s="24"/>
    </row>
    <row r="154" spans="1:9" ht="12" customHeight="1">
      <c r="A154" s="26" t="s">
        <v>30</v>
      </c>
      <c r="B154" s="25" t="s">
        <v>29</v>
      </c>
      <c r="C154" s="24"/>
    </row>
    <row r="155" spans="1:9" ht="12" customHeight="1" thickBot="1">
      <c r="A155" s="26" t="s">
        <v>28</v>
      </c>
      <c r="B155" s="25" t="s">
        <v>27</v>
      </c>
      <c r="C155" s="24"/>
    </row>
    <row r="156" spans="1:9" ht="12" customHeight="1" thickBot="1">
      <c r="A156" s="11" t="s">
        <v>26</v>
      </c>
      <c r="B156" s="22" t="s">
        <v>25</v>
      </c>
      <c r="C156" s="23"/>
    </row>
    <row r="157" spans="1:9" ht="12" customHeight="1" thickBot="1">
      <c r="A157" s="11" t="s">
        <v>24</v>
      </c>
      <c r="B157" s="22" t="s">
        <v>23</v>
      </c>
      <c r="C157" s="23"/>
    </row>
    <row r="158" spans="1:9" ht="15.2" customHeight="1" thickBot="1">
      <c r="A158" s="11" t="s">
        <v>22</v>
      </c>
      <c r="B158" s="22" t="s">
        <v>21</v>
      </c>
      <c r="C158" s="17">
        <f>+C134+C138+C145+C150+C156+C157</f>
        <v>854895</v>
      </c>
      <c r="F158" s="21"/>
      <c r="G158" s="20"/>
      <c r="H158" s="20"/>
      <c r="I158" s="20"/>
    </row>
    <row r="159" spans="1:9" s="16" customFormat="1" ht="17.25" customHeight="1" thickBot="1">
      <c r="A159" s="19" t="s">
        <v>20</v>
      </c>
      <c r="B159" s="18" t="s">
        <v>19</v>
      </c>
      <c r="C159" s="17">
        <f>+C133+C158</f>
        <v>165915335</v>
      </c>
    </row>
    <row r="160" spans="1:9" ht="15.95" customHeight="1">
      <c r="A160" s="15"/>
      <c r="B160" s="15"/>
      <c r="C160" s="14">
        <f>C92-C159</f>
        <v>0</v>
      </c>
    </row>
    <row r="161" spans="1:4">
      <c r="A161" s="519" t="s">
        <v>18</v>
      </c>
      <c r="B161" s="519"/>
      <c r="C161" s="519"/>
    </row>
    <row r="162" spans="1:4" ht="15.2" customHeight="1" thickBot="1">
      <c r="A162" s="512" t="s">
        <v>17</v>
      </c>
      <c r="B162" s="512"/>
      <c r="C162" s="13" t="str">
        <f>C95</f>
        <v>Forintban!</v>
      </c>
    </row>
    <row r="163" spans="1:4" ht="13.5" customHeight="1" thickBot="1">
      <c r="A163" s="11">
        <v>1</v>
      </c>
      <c r="B163" s="10" t="s">
        <v>16</v>
      </c>
      <c r="C163" s="9">
        <f>+C67-C133</f>
        <v>-23225845</v>
      </c>
      <c r="D163" s="12"/>
    </row>
    <row r="164" spans="1:4" ht="27.75" customHeight="1" thickBot="1">
      <c r="A164" s="11" t="s">
        <v>15</v>
      </c>
      <c r="B164" s="10" t="s">
        <v>14</v>
      </c>
      <c r="C164" s="9">
        <f>C91-C158</f>
        <v>23225845</v>
      </c>
    </row>
  </sheetData>
  <sheetProtection sheet="1"/>
  <mergeCells count="7">
    <mergeCell ref="A162:B162"/>
    <mergeCell ref="A94:C94"/>
    <mergeCell ref="B1:C1"/>
    <mergeCell ref="A6:C6"/>
    <mergeCell ref="A7:B7"/>
    <mergeCell ref="A95:B95"/>
    <mergeCell ref="A161:C161"/>
  </mergeCells>
  <printOptions horizontalCentered="1"/>
  <pageMargins left="0" right="0" top="0" bottom="0" header="0" footer="0"/>
  <pageSetup paperSize="9" scale="86" fitToHeight="2" orientation="portrait" r:id="rId1"/>
  <headerFooter alignWithMargins="0"/>
  <rowBreaks count="1" manualBreakCount="1">
    <brk id="9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7" zoomScale="120" zoomScaleNormal="120" zoomScaleSheetLayoutView="100" workbookViewId="0">
      <selection activeCell="C14" sqref="C14"/>
    </sheetView>
  </sheetViews>
  <sheetFormatPr defaultRowHeight="12.75"/>
  <cols>
    <col min="1" max="1" width="6.83203125" style="109" customWidth="1"/>
    <col min="2" max="2" width="55.1640625" style="110" customWidth="1"/>
    <col min="3" max="3" width="16.33203125" style="109" customWidth="1"/>
    <col min="4" max="4" width="55.1640625" style="109" customWidth="1"/>
    <col min="5" max="5" width="16.33203125" style="109" customWidth="1"/>
    <col min="6" max="6" width="4.83203125" style="109" customWidth="1"/>
    <col min="7" max="16384" width="9.33203125" style="109"/>
  </cols>
  <sheetData>
    <row r="1" spans="1:6" ht="39.75" customHeight="1">
      <c r="B1" s="159" t="s">
        <v>338</v>
      </c>
      <c r="C1" s="158"/>
      <c r="D1" s="158"/>
      <c r="E1" s="158"/>
      <c r="F1" s="522" t="str">
        <f>CONCATENATE("2.1. melléklet ",[1]ALAPADATOK!A7," ",[1]ALAPADATOK!B7," ",[1]ALAPADATOK!C7," ",[1]ALAPADATOK!D7," ",[1]ALAPADATOK!E7," ",[1]ALAPADATOK!F7," ",[1]ALAPADATOK!G7," ",[1]ALAPADATOK!H7)</f>
        <v>2.1. melléklet a 1 / 2019 ( III.13 ) önkormányzati rendelethez</v>
      </c>
    </row>
    <row r="2" spans="1:6" ht="13.5" thickBot="1">
      <c r="E2" s="157" t="str">
        <f>CONCATENATE(KV_1.1.sz.mell.!C7)</f>
        <v>Forintban!</v>
      </c>
      <c r="F2" s="522"/>
    </row>
    <row r="3" spans="1:6" ht="18" customHeight="1" thickBot="1">
      <c r="A3" s="520" t="s">
        <v>143</v>
      </c>
      <c r="B3" s="155" t="s">
        <v>337</v>
      </c>
      <c r="C3" s="156"/>
      <c r="D3" s="155" t="s">
        <v>336</v>
      </c>
      <c r="E3" s="154"/>
      <c r="F3" s="522"/>
    </row>
    <row r="4" spans="1:6" s="150" customFormat="1" ht="35.25" customHeight="1" thickBot="1">
      <c r="A4" s="521"/>
      <c r="B4" s="152" t="s">
        <v>335</v>
      </c>
      <c r="C4" s="153" t="str">
        <f>+KV_1.1.sz.mell.!C8</f>
        <v>2019. évi előirányzat</v>
      </c>
      <c r="D4" s="152" t="s">
        <v>335</v>
      </c>
      <c r="E4" s="151" t="str">
        <f>+C4</f>
        <v>2019. évi előirányzat</v>
      </c>
      <c r="F4" s="522"/>
    </row>
    <row r="5" spans="1:6" s="145" customFormat="1" ht="12" customHeight="1" thickBot="1">
      <c r="A5" s="149"/>
      <c r="B5" s="147" t="s">
        <v>141</v>
      </c>
      <c r="C5" s="148" t="s">
        <v>140</v>
      </c>
      <c r="D5" s="147" t="s">
        <v>334</v>
      </c>
      <c r="E5" s="146" t="s">
        <v>333</v>
      </c>
      <c r="F5" s="522"/>
    </row>
    <row r="6" spans="1:6" ht="12.95" customHeight="1">
      <c r="A6" s="144" t="s">
        <v>139</v>
      </c>
      <c r="B6" s="129" t="s">
        <v>332</v>
      </c>
      <c r="C6" s="143">
        <v>21372370</v>
      </c>
      <c r="D6" s="129" t="s">
        <v>331</v>
      </c>
      <c r="E6" s="142">
        <v>6783110</v>
      </c>
      <c r="F6" s="522"/>
    </row>
    <row r="7" spans="1:6" ht="12.95" customHeight="1">
      <c r="A7" s="126" t="s">
        <v>15</v>
      </c>
      <c r="B7" s="123" t="s">
        <v>330</v>
      </c>
      <c r="C7" s="138">
        <v>15077457</v>
      </c>
      <c r="D7" s="123" t="s">
        <v>134</v>
      </c>
      <c r="E7" s="137">
        <v>1171668</v>
      </c>
      <c r="F7" s="522"/>
    </row>
    <row r="8" spans="1:6" ht="12.95" customHeight="1">
      <c r="A8" s="126" t="s">
        <v>72</v>
      </c>
      <c r="B8" s="123" t="s">
        <v>329</v>
      </c>
      <c r="C8" s="138">
        <v>12016299</v>
      </c>
      <c r="D8" s="123" t="s">
        <v>328</v>
      </c>
      <c r="E8" s="137">
        <v>24912800</v>
      </c>
      <c r="F8" s="522"/>
    </row>
    <row r="9" spans="1:6" ht="12.95" customHeight="1">
      <c r="A9" s="126" t="s">
        <v>70</v>
      </c>
      <c r="B9" s="123" t="s">
        <v>327</v>
      </c>
      <c r="C9" s="138">
        <v>746000</v>
      </c>
      <c r="D9" s="123" t="s">
        <v>130</v>
      </c>
      <c r="E9" s="137">
        <v>5200000</v>
      </c>
      <c r="F9" s="522"/>
    </row>
    <row r="10" spans="1:6" ht="12.95" customHeight="1">
      <c r="A10" s="126" t="s">
        <v>62</v>
      </c>
      <c r="B10" s="141" t="s">
        <v>326</v>
      </c>
      <c r="C10" s="138">
        <v>170000</v>
      </c>
      <c r="D10" s="123" t="s">
        <v>128</v>
      </c>
      <c r="E10" s="137">
        <v>3802334</v>
      </c>
      <c r="F10" s="522"/>
    </row>
    <row r="11" spans="1:6" ht="12.95" customHeight="1">
      <c r="A11" s="126" t="s">
        <v>48</v>
      </c>
      <c r="B11" s="123" t="s">
        <v>325</v>
      </c>
      <c r="C11" s="139"/>
      <c r="D11" s="123" t="s">
        <v>104</v>
      </c>
      <c r="E11" s="137">
        <v>2000000</v>
      </c>
      <c r="F11" s="522"/>
    </row>
    <row r="12" spans="1:6" ht="12.95" customHeight="1">
      <c r="A12" s="126" t="s">
        <v>38</v>
      </c>
      <c r="B12" s="123" t="s">
        <v>324</v>
      </c>
      <c r="C12" s="138"/>
      <c r="D12" s="134"/>
      <c r="E12" s="137"/>
      <c r="F12" s="522"/>
    </row>
    <row r="13" spans="1:6" ht="12.95" customHeight="1">
      <c r="A13" s="126" t="s">
        <v>26</v>
      </c>
      <c r="B13" s="134"/>
      <c r="C13" s="138"/>
      <c r="D13" s="134"/>
      <c r="E13" s="137"/>
      <c r="F13" s="522"/>
    </row>
    <row r="14" spans="1:6" ht="12.95" customHeight="1">
      <c r="A14" s="126" t="s">
        <v>24</v>
      </c>
      <c r="B14" s="140"/>
      <c r="C14" s="139"/>
      <c r="D14" s="134"/>
      <c r="E14" s="137"/>
      <c r="F14" s="522"/>
    </row>
    <row r="15" spans="1:6" ht="12.95" customHeight="1">
      <c r="A15" s="126" t="s">
        <v>22</v>
      </c>
      <c r="B15" s="134"/>
      <c r="C15" s="138"/>
      <c r="D15" s="134"/>
      <c r="E15" s="137"/>
      <c r="F15" s="522"/>
    </row>
    <row r="16" spans="1:6" ht="12.95" customHeight="1">
      <c r="A16" s="126" t="s">
        <v>20</v>
      </c>
      <c r="B16" s="134"/>
      <c r="C16" s="138"/>
      <c r="D16" s="134"/>
      <c r="E16" s="137"/>
      <c r="F16" s="522"/>
    </row>
    <row r="17" spans="1:6" ht="12.95" customHeight="1" thickBot="1">
      <c r="A17" s="126" t="s">
        <v>323</v>
      </c>
      <c r="B17" s="136"/>
      <c r="C17" s="135"/>
      <c r="D17" s="134"/>
      <c r="E17" s="133"/>
      <c r="F17" s="522"/>
    </row>
    <row r="18" spans="1:6" ht="15.95" customHeight="1" thickBot="1">
      <c r="A18" s="113" t="s">
        <v>322</v>
      </c>
      <c r="B18" s="115" t="s">
        <v>321</v>
      </c>
      <c r="C18" s="116">
        <f>C6+C7+C9+C10+C11+C13+C14+C15+C16+C17</f>
        <v>37365827</v>
      </c>
      <c r="D18" s="115" t="s">
        <v>320</v>
      </c>
      <c r="E18" s="114">
        <f>SUM(E6:E17)</f>
        <v>43869912</v>
      </c>
      <c r="F18" s="522"/>
    </row>
    <row r="19" spans="1:6" ht="12.95" customHeight="1">
      <c r="A19" s="130" t="s">
        <v>319</v>
      </c>
      <c r="B19" s="120" t="s">
        <v>318</v>
      </c>
      <c r="C19" s="132">
        <f>SUM(C20:C23)</f>
        <v>7358980</v>
      </c>
      <c r="D19" s="125" t="s">
        <v>317</v>
      </c>
      <c r="E19" s="117"/>
      <c r="F19" s="522"/>
    </row>
    <row r="20" spans="1:6" ht="12.95" customHeight="1">
      <c r="A20" s="128" t="s">
        <v>316</v>
      </c>
      <c r="B20" s="125" t="s">
        <v>315</v>
      </c>
      <c r="C20" s="124">
        <v>7358980</v>
      </c>
      <c r="D20" s="125" t="s">
        <v>314</v>
      </c>
      <c r="E20" s="122"/>
      <c r="F20" s="522"/>
    </row>
    <row r="21" spans="1:6" ht="12.95" customHeight="1">
      <c r="A21" s="128" t="s">
        <v>313</v>
      </c>
      <c r="B21" s="125" t="s">
        <v>312</v>
      </c>
      <c r="C21" s="124"/>
      <c r="D21" s="125" t="s">
        <v>311</v>
      </c>
      <c r="E21" s="122"/>
      <c r="F21" s="522"/>
    </row>
    <row r="22" spans="1:6" ht="12.95" customHeight="1">
      <c r="A22" s="128" t="s">
        <v>310</v>
      </c>
      <c r="B22" s="125" t="s">
        <v>309</v>
      </c>
      <c r="C22" s="124"/>
      <c r="D22" s="125" t="s">
        <v>308</v>
      </c>
      <c r="E22" s="122"/>
      <c r="F22" s="522"/>
    </row>
    <row r="23" spans="1:6" ht="12.95" customHeight="1">
      <c r="A23" s="128" t="s">
        <v>307</v>
      </c>
      <c r="B23" s="127" t="s">
        <v>306</v>
      </c>
      <c r="C23" s="124"/>
      <c r="D23" s="120" t="s">
        <v>305</v>
      </c>
      <c r="E23" s="122"/>
      <c r="F23" s="522"/>
    </row>
    <row r="24" spans="1:6" ht="12.95" customHeight="1">
      <c r="A24" s="128" t="s">
        <v>304</v>
      </c>
      <c r="B24" s="125" t="s">
        <v>303</v>
      </c>
      <c r="C24" s="131">
        <f>+C25+C26</f>
        <v>0</v>
      </c>
      <c r="D24" s="125" t="s">
        <v>302</v>
      </c>
      <c r="E24" s="122"/>
      <c r="F24" s="522"/>
    </row>
    <row r="25" spans="1:6" ht="12.95" customHeight="1">
      <c r="A25" s="130" t="s">
        <v>301</v>
      </c>
      <c r="B25" s="120" t="s">
        <v>300</v>
      </c>
      <c r="C25" s="119"/>
      <c r="D25" s="129" t="s">
        <v>41</v>
      </c>
      <c r="E25" s="117"/>
      <c r="F25" s="522"/>
    </row>
    <row r="26" spans="1:6" ht="12.95" customHeight="1">
      <c r="A26" s="128" t="s">
        <v>299</v>
      </c>
      <c r="B26" s="127" t="s">
        <v>298</v>
      </c>
      <c r="C26" s="124"/>
      <c r="D26" s="123" t="s">
        <v>25</v>
      </c>
      <c r="E26" s="122"/>
      <c r="F26" s="522"/>
    </row>
    <row r="27" spans="1:6" ht="12.95" customHeight="1">
      <c r="A27" s="126" t="s">
        <v>297</v>
      </c>
      <c r="B27" s="125" t="s">
        <v>152</v>
      </c>
      <c r="C27" s="124"/>
      <c r="D27" s="123" t="s">
        <v>43</v>
      </c>
      <c r="E27" s="122">
        <v>854895</v>
      </c>
      <c r="F27" s="522"/>
    </row>
    <row r="28" spans="1:6" ht="12.95" customHeight="1" thickBot="1">
      <c r="A28" s="121" t="s">
        <v>296</v>
      </c>
      <c r="B28" s="120" t="s">
        <v>150</v>
      </c>
      <c r="C28" s="119"/>
      <c r="D28" s="118"/>
      <c r="E28" s="117"/>
      <c r="F28" s="522"/>
    </row>
    <row r="29" spans="1:6" ht="15.95" customHeight="1" thickBot="1">
      <c r="A29" s="113" t="s">
        <v>295</v>
      </c>
      <c r="B29" s="115" t="s">
        <v>294</v>
      </c>
      <c r="C29" s="116">
        <f>+C19+C24+C27+C28</f>
        <v>7358980</v>
      </c>
      <c r="D29" s="115" t="s">
        <v>293</v>
      </c>
      <c r="E29" s="114">
        <f>SUM(E19:E28)</f>
        <v>854895</v>
      </c>
      <c r="F29" s="522"/>
    </row>
    <row r="30" spans="1:6" ht="13.5" thickBot="1">
      <c r="A30" s="113" t="s">
        <v>292</v>
      </c>
      <c r="B30" s="112" t="s">
        <v>291</v>
      </c>
      <c r="C30" s="111">
        <f>+C18+C29</f>
        <v>44724807</v>
      </c>
      <c r="D30" s="112" t="s">
        <v>290</v>
      </c>
      <c r="E30" s="111">
        <f>+E18+E29</f>
        <v>44724807</v>
      </c>
      <c r="F30" s="522"/>
    </row>
    <row r="31" spans="1:6" ht="13.5" thickBot="1">
      <c r="A31" s="113" t="s">
        <v>289</v>
      </c>
      <c r="B31" s="112" t="s">
        <v>288</v>
      </c>
      <c r="C31" s="111">
        <f>IF(C18-E18&lt;0,E18-C18,"-")</f>
        <v>6504085</v>
      </c>
      <c r="D31" s="112" t="s">
        <v>287</v>
      </c>
      <c r="E31" s="111" t="str">
        <f>IF(C18-E18&gt;0,C18-E18,"-")</f>
        <v>-</v>
      </c>
      <c r="F31" s="522"/>
    </row>
    <row r="32" spans="1:6" ht="13.5" thickBot="1">
      <c r="A32" s="113" t="s">
        <v>286</v>
      </c>
      <c r="B32" s="112" t="s">
        <v>285</v>
      </c>
      <c r="C32" s="111" t="str">
        <f>IF(C30-E30&lt;0,E30-C30,"-")</f>
        <v>-</v>
      </c>
      <c r="D32" s="112" t="s">
        <v>284</v>
      </c>
      <c r="E32" s="111" t="str">
        <f>IF(C30-E30&gt;0,C30-E30,"-")</f>
        <v>-</v>
      </c>
      <c r="F32" s="522"/>
    </row>
    <row r="33" spans="2:4" ht="18.75">
      <c r="B33" s="523"/>
      <c r="C33" s="523"/>
      <c r="D33" s="523"/>
    </row>
  </sheetData>
  <mergeCells count="3">
    <mergeCell ref="A3:A4"/>
    <mergeCell ref="F1:F32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6" zoomScale="120" zoomScaleNormal="120" zoomScaleSheetLayoutView="115" workbookViewId="0">
      <selection activeCell="F34" sqref="F34"/>
    </sheetView>
  </sheetViews>
  <sheetFormatPr defaultRowHeight="12.75"/>
  <cols>
    <col min="1" max="1" width="6.83203125" style="109" customWidth="1"/>
    <col min="2" max="2" width="55.1640625" style="110" customWidth="1"/>
    <col min="3" max="3" width="16.33203125" style="109" customWidth="1"/>
    <col min="4" max="4" width="55.1640625" style="109" customWidth="1"/>
    <col min="5" max="5" width="16.33203125" style="109" customWidth="1"/>
    <col min="6" max="6" width="4.83203125" style="109" customWidth="1"/>
    <col min="7" max="16384" width="9.33203125" style="109"/>
  </cols>
  <sheetData>
    <row r="1" spans="1:6" ht="31.5">
      <c r="B1" s="159" t="s">
        <v>369</v>
      </c>
      <c r="C1" s="158"/>
      <c r="D1" s="158"/>
      <c r="E1" s="158"/>
      <c r="F1" s="522" t="str">
        <f>CONCATENATE("2.2. melléklet ",[1]ALAPADATOK!A7," ",[1]ALAPADATOK!B7," ",[1]ALAPADATOK!C7," ",[1]ALAPADATOK!D7," ",[1]ALAPADATOK!E7," ",[1]ALAPADATOK!F7," ",[1]ALAPADATOK!G7," ",[1]ALAPADATOK!H7)</f>
        <v>2.2. melléklet a 1 / 2019 ( III.13 ) önkormányzati rendelethez</v>
      </c>
    </row>
    <row r="2" spans="1:6" ht="13.5" thickBot="1">
      <c r="E2" s="176" t="str">
        <f>CONCATENATE(KV_1.1.sz.mell.!C7)</f>
        <v>Forintban!</v>
      </c>
      <c r="F2" s="522"/>
    </row>
    <row r="3" spans="1:6" ht="13.5" thickBot="1">
      <c r="A3" s="524" t="s">
        <v>143</v>
      </c>
      <c r="B3" s="155" t="s">
        <v>337</v>
      </c>
      <c r="C3" s="156"/>
      <c r="D3" s="155" t="s">
        <v>336</v>
      </c>
      <c r="E3" s="154"/>
      <c r="F3" s="522"/>
    </row>
    <row r="4" spans="1:6" s="150" customFormat="1" ht="24.75" thickBot="1">
      <c r="A4" s="525"/>
      <c r="B4" s="152" t="s">
        <v>335</v>
      </c>
      <c r="C4" s="153" t="str">
        <f>+KV_2.1.sz.mell.!C4</f>
        <v>2019. évi előirányzat</v>
      </c>
      <c r="D4" s="152" t="s">
        <v>335</v>
      </c>
      <c r="E4" s="151" t="str">
        <f>+KV_2.1.sz.mell.!C4</f>
        <v>2019. évi előirányzat</v>
      </c>
      <c r="F4" s="522"/>
    </row>
    <row r="5" spans="1:6" s="150" customFormat="1" ht="13.5" thickBot="1">
      <c r="A5" s="149"/>
      <c r="B5" s="147" t="s">
        <v>141</v>
      </c>
      <c r="C5" s="148" t="s">
        <v>140</v>
      </c>
      <c r="D5" s="147" t="s">
        <v>334</v>
      </c>
      <c r="E5" s="146" t="s">
        <v>333</v>
      </c>
      <c r="F5" s="522"/>
    </row>
    <row r="6" spans="1:6" ht="12.95" customHeight="1">
      <c r="A6" s="144" t="s">
        <v>139</v>
      </c>
      <c r="B6" s="129" t="s">
        <v>368</v>
      </c>
      <c r="C6" s="143">
        <v>87884689</v>
      </c>
      <c r="D6" s="129" t="s">
        <v>97</v>
      </c>
      <c r="E6" s="142"/>
      <c r="F6" s="522"/>
    </row>
    <row r="7" spans="1:6">
      <c r="A7" s="126" t="s">
        <v>15</v>
      </c>
      <c r="B7" s="123" t="s">
        <v>367</v>
      </c>
      <c r="C7" s="138"/>
      <c r="D7" s="123" t="s">
        <v>366</v>
      </c>
      <c r="E7" s="137"/>
      <c r="F7" s="522"/>
    </row>
    <row r="8" spans="1:6" ht="12.95" customHeight="1">
      <c r="A8" s="126" t="s">
        <v>72</v>
      </c>
      <c r="B8" s="123" t="s">
        <v>365</v>
      </c>
      <c r="C8" s="138">
        <v>800000</v>
      </c>
      <c r="D8" s="123" t="s">
        <v>93</v>
      </c>
      <c r="E8" s="137">
        <v>105406449</v>
      </c>
      <c r="F8" s="522"/>
    </row>
    <row r="9" spans="1:6" ht="12.95" customHeight="1">
      <c r="A9" s="126" t="s">
        <v>70</v>
      </c>
      <c r="B9" s="123" t="s">
        <v>364</v>
      </c>
      <c r="C9" s="138"/>
      <c r="D9" s="123" t="s">
        <v>363</v>
      </c>
      <c r="E9" s="137">
        <v>105406449</v>
      </c>
      <c r="F9" s="522"/>
    </row>
    <row r="10" spans="1:6" ht="12.75" customHeight="1">
      <c r="A10" s="126" t="s">
        <v>62</v>
      </c>
      <c r="B10" s="123" t="s">
        <v>362</v>
      </c>
      <c r="C10" s="138"/>
      <c r="D10" s="123" t="s">
        <v>361</v>
      </c>
      <c r="E10" s="137">
        <v>15784079</v>
      </c>
      <c r="F10" s="522"/>
    </row>
    <row r="11" spans="1:6" ht="12.95" customHeight="1">
      <c r="A11" s="126" t="s">
        <v>48</v>
      </c>
      <c r="B11" s="123" t="s">
        <v>360</v>
      </c>
      <c r="C11" s="139">
        <v>15784079</v>
      </c>
      <c r="D11" s="173"/>
      <c r="E11" s="137"/>
      <c r="F11" s="522"/>
    </row>
    <row r="12" spans="1:6" ht="12.95" customHeight="1">
      <c r="A12" s="126" t="s">
        <v>38</v>
      </c>
      <c r="B12" s="134"/>
      <c r="C12" s="138"/>
      <c r="D12" s="173"/>
      <c r="E12" s="137"/>
      <c r="F12" s="522"/>
    </row>
    <row r="13" spans="1:6" ht="12.95" customHeight="1">
      <c r="A13" s="126" t="s">
        <v>26</v>
      </c>
      <c r="B13" s="134"/>
      <c r="C13" s="138"/>
      <c r="D13" s="175"/>
      <c r="E13" s="137"/>
      <c r="F13" s="522"/>
    </row>
    <row r="14" spans="1:6" ht="12.95" customHeight="1">
      <c r="A14" s="126" t="s">
        <v>24</v>
      </c>
      <c r="B14" s="174"/>
      <c r="C14" s="139"/>
      <c r="D14" s="173"/>
      <c r="E14" s="137"/>
      <c r="F14" s="522"/>
    </row>
    <row r="15" spans="1:6">
      <c r="A15" s="126" t="s">
        <v>22</v>
      </c>
      <c r="B15" s="134"/>
      <c r="C15" s="139"/>
      <c r="D15" s="173"/>
      <c r="E15" s="137"/>
      <c r="F15" s="522"/>
    </row>
    <row r="16" spans="1:6" ht="12.95" customHeight="1" thickBot="1">
      <c r="A16" s="121" t="s">
        <v>20</v>
      </c>
      <c r="B16" s="118"/>
      <c r="C16" s="172"/>
      <c r="D16" s="171" t="s">
        <v>104</v>
      </c>
      <c r="E16" s="170"/>
      <c r="F16" s="522"/>
    </row>
    <row r="17" spans="1:6" ht="15.95" customHeight="1" thickBot="1">
      <c r="A17" s="113" t="s">
        <v>323</v>
      </c>
      <c r="B17" s="115" t="s">
        <v>359</v>
      </c>
      <c r="C17" s="116">
        <f>+C6+C8+C9+C11+C12+C13+C14+C15+C16</f>
        <v>104468768</v>
      </c>
      <c r="D17" s="115" t="s">
        <v>358</v>
      </c>
      <c r="E17" s="114">
        <f>+E6+E8+E10+E11+E12+E13+E14+E15+E16</f>
        <v>121190528</v>
      </c>
      <c r="F17" s="522"/>
    </row>
    <row r="18" spans="1:6" ht="12.95" customHeight="1">
      <c r="A18" s="144" t="s">
        <v>322</v>
      </c>
      <c r="B18" s="169" t="s">
        <v>357</v>
      </c>
      <c r="C18" s="168">
        <f>SUM(C19:C23)</f>
        <v>16721760</v>
      </c>
      <c r="D18" s="125" t="s">
        <v>317</v>
      </c>
      <c r="E18" s="167"/>
      <c r="F18" s="522"/>
    </row>
    <row r="19" spans="1:6" ht="12.95" customHeight="1">
      <c r="A19" s="126" t="s">
        <v>319</v>
      </c>
      <c r="B19" s="127" t="s">
        <v>356</v>
      </c>
      <c r="C19" s="124">
        <v>16721760</v>
      </c>
      <c r="D19" s="125" t="s">
        <v>355</v>
      </c>
      <c r="E19" s="122"/>
      <c r="F19" s="522"/>
    </row>
    <row r="20" spans="1:6" ht="12.95" customHeight="1">
      <c r="A20" s="144" t="s">
        <v>316</v>
      </c>
      <c r="B20" s="127" t="s">
        <v>354</v>
      </c>
      <c r="C20" s="124"/>
      <c r="D20" s="125" t="s">
        <v>311</v>
      </c>
      <c r="E20" s="122"/>
      <c r="F20" s="522"/>
    </row>
    <row r="21" spans="1:6" ht="12.95" customHeight="1">
      <c r="A21" s="126" t="s">
        <v>313</v>
      </c>
      <c r="B21" s="127" t="s">
        <v>353</v>
      </c>
      <c r="C21" s="124"/>
      <c r="D21" s="125" t="s">
        <v>308</v>
      </c>
      <c r="E21" s="122"/>
      <c r="F21" s="522"/>
    </row>
    <row r="22" spans="1:6" ht="12.95" customHeight="1">
      <c r="A22" s="144" t="s">
        <v>310</v>
      </c>
      <c r="B22" s="127" t="s">
        <v>306</v>
      </c>
      <c r="C22" s="124"/>
      <c r="D22" s="120" t="s">
        <v>305</v>
      </c>
      <c r="E22" s="122"/>
      <c r="F22" s="522"/>
    </row>
    <row r="23" spans="1:6" ht="12.95" customHeight="1">
      <c r="A23" s="126" t="s">
        <v>307</v>
      </c>
      <c r="B23" s="164" t="s">
        <v>352</v>
      </c>
      <c r="C23" s="124"/>
      <c r="D23" s="125" t="s">
        <v>351</v>
      </c>
      <c r="E23" s="122"/>
      <c r="F23" s="522"/>
    </row>
    <row r="24" spans="1:6" ht="12.95" customHeight="1">
      <c r="A24" s="144" t="s">
        <v>304</v>
      </c>
      <c r="B24" s="166" t="s">
        <v>350</v>
      </c>
      <c r="C24" s="131">
        <f>+C25+C26+C27+C28+C29</f>
        <v>0</v>
      </c>
      <c r="D24" s="165" t="s">
        <v>349</v>
      </c>
      <c r="E24" s="122"/>
      <c r="F24" s="522"/>
    </row>
    <row r="25" spans="1:6" ht="12.95" customHeight="1">
      <c r="A25" s="126" t="s">
        <v>301</v>
      </c>
      <c r="B25" s="164" t="s">
        <v>348</v>
      </c>
      <c r="C25" s="124"/>
      <c r="D25" s="165" t="s">
        <v>39</v>
      </c>
      <c r="E25" s="122"/>
      <c r="F25" s="522"/>
    </row>
    <row r="26" spans="1:6" ht="12.95" customHeight="1">
      <c r="A26" s="144" t="s">
        <v>299</v>
      </c>
      <c r="B26" s="164" t="s">
        <v>347</v>
      </c>
      <c r="C26" s="124"/>
      <c r="D26" s="163"/>
      <c r="E26" s="122"/>
      <c r="F26" s="522"/>
    </row>
    <row r="27" spans="1:6" ht="12.95" customHeight="1">
      <c r="A27" s="126" t="s">
        <v>297</v>
      </c>
      <c r="B27" s="127" t="s">
        <v>346</v>
      </c>
      <c r="C27" s="124"/>
      <c r="D27" s="160"/>
      <c r="E27" s="122"/>
      <c r="F27" s="522"/>
    </row>
    <row r="28" spans="1:6" ht="12.95" customHeight="1">
      <c r="A28" s="144" t="s">
        <v>296</v>
      </c>
      <c r="B28" s="162" t="s">
        <v>345</v>
      </c>
      <c r="C28" s="124"/>
      <c r="D28" s="134"/>
      <c r="E28" s="122"/>
      <c r="F28" s="522"/>
    </row>
    <row r="29" spans="1:6" ht="12.95" customHeight="1" thickBot="1">
      <c r="A29" s="126" t="s">
        <v>295</v>
      </c>
      <c r="B29" s="161" t="s">
        <v>344</v>
      </c>
      <c r="C29" s="124"/>
      <c r="D29" s="160"/>
      <c r="E29" s="122"/>
      <c r="F29" s="522"/>
    </row>
    <row r="30" spans="1:6" ht="21.75" customHeight="1" thickBot="1">
      <c r="A30" s="113" t="s">
        <v>292</v>
      </c>
      <c r="B30" s="115" t="s">
        <v>343</v>
      </c>
      <c r="C30" s="116">
        <f>+C18+C24</f>
        <v>16721760</v>
      </c>
      <c r="D30" s="115" t="s">
        <v>342</v>
      </c>
      <c r="E30" s="114">
        <f>SUM(E18:E29)</f>
        <v>0</v>
      </c>
      <c r="F30" s="522"/>
    </row>
    <row r="31" spans="1:6" ht="13.5" thickBot="1">
      <c r="A31" s="113" t="s">
        <v>289</v>
      </c>
      <c r="B31" s="112" t="s">
        <v>341</v>
      </c>
      <c r="C31" s="111">
        <f>+C17+C30</f>
        <v>121190528</v>
      </c>
      <c r="D31" s="112" t="s">
        <v>340</v>
      </c>
      <c r="E31" s="111">
        <f>+E17+E30</f>
        <v>121190528</v>
      </c>
      <c r="F31" s="522"/>
    </row>
    <row r="32" spans="1:6" ht="13.5" thickBot="1">
      <c r="A32" s="113" t="s">
        <v>286</v>
      </c>
      <c r="B32" s="112" t="s">
        <v>288</v>
      </c>
      <c r="C32" s="111">
        <f>IF(C17-E17&lt;0,E17-C17,"-")</f>
        <v>16721760</v>
      </c>
      <c r="D32" s="112" t="s">
        <v>287</v>
      </c>
      <c r="E32" s="111" t="str">
        <f>IF(C17-E17&gt;0,C17-E17,"-")</f>
        <v>-</v>
      </c>
      <c r="F32" s="522"/>
    </row>
    <row r="33" spans="1:6" ht="13.5" thickBot="1">
      <c r="A33" s="113" t="s">
        <v>339</v>
      </c>
      <c r="B33" s="112" t="s">
        <v>285</v>
      </c>
      <c r="C33" s="111" t="str">
        <f>IF(C31-E31&lt;0,E31-C31,"-")</f>
        <v>-</v>
      </c>
      <c r="D33" s="112" t="s">
        <v>284</v>
      </c>
      <c r="E33" s="111" t="str">
        <f>IF(C31-E31&gt;0,C31-E31,"-")</f>
        <v>-</v>
      </c>
      <c r="F33" s="522"/>
    </row>
  </sheetData>
  <mergeCells count="2">
    <mergeCell ref="A3:A4"/>
    <mergeCell ref="F1:F33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zoomScale="120" zoomScaleNormal="120" workbookViewId="0">
      <selection activeCell="A3" sqref="A3:E3"/>
    </sheetView>
  </sheetViews>
  <sheetFormatPr defaultRowHeight="12.75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>
      <c r="A1" s="183" t="s">
        <v>13</v>
      </c>
      <c r="E1" s="182" t="s">
        <v>370</v>
      </c>
    </row>
    <row r="3" spans="1:5">
      <c r="A3" s="1"/>
      <c r="B3" s="180"/>
      <c r="C3" s="1"/>
      <c r="D3" s="179"/>
      <c r="E3" s="180"/>
    </row>
    <row r="4" spans="1:5" ht="15.75">
      <c r="A4" s="4" t="str">
        <f>+KV_ÖSSZEFÜGGÉSEK!A5</f>
        <v>2019. évi előirányzat BEVÉTELEK</v>
      </c>
      <c r="B4" s="181"/>
      <c r="C4" s="3"/>
      <c r="D4" s="179"/>
      <c r="E4" s="180"/>
    </row>
    <row r="5" spans="1:5">
      <c r="A5" s="1"/>
      <c r="B5" s="180"/>
      <c r="C5" s="1"/>
      <c r="D5" s="179"/>
      <c r="E5" s="180"/>
    </row>
    <row r="6" spans="1:5">
      <c r="A6" s="1" t="s">
        <v>11</v>
      </c>
      <c r="B6" s="180">
        <f>+KV_1.1.sz.mell.!C67</f>
        <v>141834595</v>
      </c>
      <c r="C6" s="1" t="s">
        <v>10</v>
      </c>
      <c r="D6" s="179">
        <f>+KV_2.1.sz.mell.!C18+KV_2.2.sz.mell.!C17</f>
        <v>141834595</v>
      </c>
      <c r="E6" s="180">
        <f>+B6-D6</f>
        <v>0</v>
      </c>
    </row>
    <row r="7" spans="1:5">
      <c r="A7" s="1" t="s">
        <v>9</v>
      </c>
      <c r="B7" s="180">
        <f>+KV_1.1.sz.mell.!C91</f>
        <v>24080740</v>
      </c>
      <c r="C7" s="1" t="s">
        <v>8</v>
      </c>
      <c r="D7" s="179">
        <f>+KV_2.1.sz.mell.!C29+KV_2.2.sz.mell.!C30</f>
        <v>24080740</v>
      </c>
      <c r="E7" s="180">
        <f>+B7-D7</f>
        <v>0</v>
      </c>
    </row>
    <row r="8" spans="1:5">
      <c r="A8" s="1" t="s">
        <v>7</v>
      </c>
      <c r="B8" s="180">
        <f>+KV_1.1.sz.mell.!C92</f>
        <v>165915335</v>
      </c>
      <c r="C8" s="1" t="s">
        <v>6</v>
      </c>
      <c r="D8" s="179">
        <f>+KV_2.1.sz.mell.!C30+KV_2.2.sz.mell.!C31</f>
        <v>165915335</v>
      </c>
      <c r="E8" s="180">
        <f>+B8-D8</f>
        <v>0</v>
      </c>
    </row>
    <row r="9" spans="1:5">
      <c r="A9" s="1"/>
      <c r="B9" s="180"/>
      <c r="C9" s="1"/>
      <c r="D9" s="179"/>
      <c r="E9" s="180"/>
    </row>
    <row r="10" spans="1:5">
      <c r="A10" s="1"/>
      <c r="B10" s="180"/>
      <c r="C10" s="1"/>
      <c r="D10" s="179"/>
      <c r="E10" s="180"/>
    </row>
    <row r="11" spans="1:5" ht="15.75">
      <c r="A11" s="4" t="str">
        <f>+KV_ÖSSZEFÜGGÉSEK!A12</f>
        <v>2019. évi előirányzat KIADÁSOK</v>
      </c>
      <c r="B11" s="181"/>
      <c r="C11" s="3"/>
      <c r="D11" s="179"/>
      <c r="E11" s="180"/>
    </row>
    <row r="12" spans="1:5">
      <c r="A12" s="1"/>
      <c r="B12" s="180"/>
      <c r="C12" s="1"/>
      <c r="D12" s="179"/>
      <c r="E12" s="180"/>
    </row>
    <row r="13" spans="1:5">
      <c r="A13" s="1" t="s">
        <v>5</v>
      </c>
      <c r="B13" s="180">
        <f>+KV_1.1.sz.mell.!C133</f>
        <v>165060440</v>
      </c>
      <c r="C13" s="1" t="s">
        <v>4</v>
      </c>
      <c r="D13" s="179">
        <f>+KV_2.1.sz.mell.!E18+KV_2.2.sz.mell.!E17</f>
        <v>165060440</v>
      </c>
      <c r="E13" s="180">
        <f>+B13-D13</f>
        <v>0</v>
      </c>
    </row>
    <row r="14" spans="1:5">
      <c r="A14" s="1" t="s">
        <v>3</v>
      </c>
      <c r="B14" s="180">
        <f>+KV_1.1.sz.mell.!C158</f>
        <v>854895</v>
      </c>
      <c r="C14" s="1" t="s">
        <v>2</v>
      </c>
      <c r="D14" s="179">
        <f>+KV_2.1.sz.mell.!E29+KV_2.2.sz.mell.!E30</f>
        <v>854895</v>
      </c>
      <c r="E14" s="180">
        <f>+B14-D14</f>
        <v>0</v>
      </c>
    </row>
    <row r="15" spans="1:5">
      <c r="A15" s="1" t="s">
        <v>1</v>
      </c>
      <c r="B15" s="180">
        <f>+KV_1.1.sz.mell.!C159</f>
        <v>165915335</v>
      </c>
      <c r="C15" s="1" t="s">
        <v>0</v>
      </c>
      <c r="D15" s="179">
        <f>+KV_2.1.sz.mell.!E30+KV_2.2.sz.mell.!E31</f>
        <v>165915335</v>
      </c>
      <c r="E15" s="180">
        <f>+B15-D15</f>
        <v>0</v>
      </c>
    </row>
    <row r="16" spans="1:5">
      <c r="A16" s="177"/>
      <c r="B16" s="177"/>
      <c r="C16" s="1"/>
      <c r="D16" s="179"/>
      <c r="E16" s="178"/>
    </row>
    <row r="17" spans="1:5">
      <c r="A17" s="177"/>
      <c r="B17" s="177"/>
      <c r="C17" s="177"/>
      <c r="D17" s="177"/>
      <c r="E17" s="177"/>
    </row>
    <row r="18" spans="1:5">
      <c r="A18" s="177"/>
      <c r="B18" s="177"/>
      <c r="C18" s="177"/>
      <c r="D18" s="177"/>
      <c r="E18" s="177"/>
    </row>
    <row r="19" spans="1:5">
      <c r="A19" s="177"/>
      <c r="B19" s="177"/>
      <c r="C19" s="177"/>
      <c r="D19" s="177"/>
      <c r="E19" s="177"/>
    </row>
  </sheetData>
  <sheetProtection sheet="1"/>
  <conditionalFormatting sqref="E3:E15">
    <cfRule type="cellIs" dxfId="5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"/>
  <sheetViews>
    <sheetView zoomScale="120" zoomScaleNormal="120" workbookViewId="0">
      <selection activeCell="B3" sqref="B3"/>
    </sheetView>
  </sheetViews>
  <sheetFormatPr defaultRowHeight="15"/>
  <cols>
    <col min="1" max="1" width="5.6640625" style="184" customWidth="1"/>
    <col min="2" max="2" width="35.6640625" style="184" customWidth="1"/>
    <col min="3" max="6" width="14" style="184" customWidth="1"/>
    <col min="7" max="16384" width="9.33203125" style="184"/>
  </cols>
  <sheetData>
    <row r="1" spans="1:7">
      <c r="B1" s="184" t="s">
        <v>377</v>
      </c>
    </row>
    <row r="2" spans="1:7">
      <c r="B2" s="526" t="str">
        <f>CONCATENATE("3. melléklet ",[1]ALAPADATOK!A7," ",[1]ALAPADATOK!B7," ",[1]ALAPADATOK!C7," ",[1]ALAPADATOK!D7," ",[1]ALAPADATOK!E7," ",[1]ALAPADATOK!F7," ",[1]ALAPADATOK!G7," ",[1]ALAPADATOK!H7)</f>
        <v>3. melléklet a 1 / 2019 ( III.13 ) önkormányzati rendelethez</v>
      </c>
      <c r="C2" s="526"/>
      <c r="D2" s="526"/>
      <c r="E2" s="526"/>
      <c r="F2" s="526"/>
    </row>
    <row r="4" spans="1:7" ht="33.200000000000003" customHeight="1">
      <c r="A4" s="527" t="s">
        <v>537</v>
      </c>
      <c r="B4" s="527"/>
      <c r="C4" s="527"/>
      <c r="D4" s="527"/>
      <c r="E4" s="527"/>
      <c r="F4" s="527"/>
    </row>
    <row r="5" spans="1:7" ht="15.95" customHeight="1" thickBot="1">
      <c r="A5" s="206"/>
      <c r="B5" s="206"/>
      <c r="C5" s="528"/>
      <c r="D5" s="528"/>
      <c r="E5" s="535" t="str">
        <f>KV_2.2.sz.mell.!E2</f>
        <v>Forintban!</v>
      </c>
      <c r="F5" s="535"/>
      <c r="G5" s="205"/>
    </row>
    <row r="6" spans="1:7" ht="63.2" customHeight="1">
      <c r="A6" s="531" t="s">
        <v>376</v>
      </c>
      <c r="B6" s="533" t="s">
        <v>375</v>
      </c>
      <c r="C6" s="533" t="s">
        <v>374</v>
      </c>
      <c r="D6" s="533"/>
      <c r="E6" s="533"/>
      <c r="F6" s="529" t="s">
        <v>373</v>
      </c>
    </row>
    <row r="7" spans="1:7" ht="15.75" thickBot="1">
      <c r="A7" s="532"/>
      <c r="B7" s="534"/>
      <c r="C7" s="204">
        <f>+LEFT(KV_ÖSSZEFÜGGÉSEK!A5,4)+1</f>
        <v>2020</v>
      </c>
      <c r="D7" s="204">
        <f>+C7+1</f>
        <v>2021</v>
      </c>
      <c r="E7" s="204">
        <f>+D7+1</f>
        <v>2022</v>
      </c>
      <c r="F7" s="530"/>
    </row>
    <row r="8" spans="1:7" ht="15.75" thickBot="1">
      <c r="A8" s="203"/>
      <c r="B8" s="202" t="s">
        <v>141</v>
      </c>
      <c r="C8" s="202" t="s">
        <v>140</v>
      </c>
      <c r="D8" s="202" t="s">
        <v>334</v>
      </c>
      <c r="E8" s="202" t="s">
        <v>333</v>
      </c>
      <c r="F8" s="201" t="s">
        <v>372</v>
      </c>
    </row>
    <row r="9" spans="1:7">
      <c r="A9" s="200" t="s">
        <v>139</v>
      </c>
      <c r="B9" s="199"/>
      <c r="C9" s="198"/>
      <c r="D9" s="198"/>
      <c r="E9" s="198"/>
      <c r="F9" s="197">
        <f>SUM(C9:E9)</f>
        <v>0</v>
      </c>
    </row>
    <row r="10" spans="1:7">
      <c r="A10" s="196" t="s">
        <v>15</v>
      </c>
      <c r="B10" s="195"/>
      <c r="C10" s="194"/>
      <c r="D10" s="194"/>
      <c r="E10" s="194"/>
      <c r="F10" s="190">
        <f>SUM(C10:E10)</f>
        <v>0</v>
      </c>
    </row>
    <row r="11" spans="1:7">
      <c r="A11" s="196" t="s">
        <v>72</v>
      </c>
      <c r="B11" s="195"/>
      <c r="C11" s="194"/>
      <c r="D11" s="194"/>
      <c r="E11" s="194"/>
      <c r="F11" s="190">
        <f>SUM(C11:E11)</f>
        <v>0</v>
      </c>
    </row>
    <row r="12" spans="1:7">
      <c r="A12" s="196" t="s">
        <v>70</v>
      </c>
      <c r="B12" s="195"/>
      <c r="C12" s="194"/>
      <c r="D12" s="194"/>
      <c r="E12" s="194"/>
      <c r="F12" s="190">
        <f>SUM(C12:E12)</f>
        <v>0</v>
      </c>
    </row>
    <row r="13" spans="1:7" ht="15.75" thickBot="1">
      <c r="A13" s="193" t="s">
        <v>62</v>
      </c>
      <c r="B13" s="192"/>
      <c r="C13" s="191"/>
      <c r="D13" s="191"/>
      <c r="E13" s="191"/>
      <c r="F13" s="190">
        <f>SUM(C13:E13)</f>
        <v>0</v>
      </c>
    </row>
    <row r="14" spans="1:7" s="185" customFormat="1" thickBot="1">
      <c r="A14" s="189" t="s">
        <v>48</v>
      </c>
      <c r="B14" s="188" t="s">
        <v>371</v>
      </c>
      <c r="C14" s="187">
        <f>SUM(C9:C13)</f>
        <v>0</v>
      </c>
      <c r="D14" s="187">
        <f>SUM(D9:D13)</f>
        <v>0</v>
      </c>
      <c r="E14" s="187">
        <f>SUM(E9:E13)</f>
        <v>0</v>
      </c>
      <c r="F14" s="186">
        <f>SUM(F9:F13)</f>
        <v>0</v>
      </c>
    </row>
  </sheetData>
  <mergeCells count="8">
    <mergeCell ref="B2:F2"/>
    <mergeCell ref="A4:F4"/>
    <mergeCell ref="C5:D5"/>
    <mergeCell ref="F6:F7"/>
    <mergeCell ref="A6:A7"/>
    <mergeCell ref="B6:B7"/>
    <mergeCell ref="C6:E6"/>
    <mergeCell ref="E5:F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2:D15"/>
  <sheetViews>
    <sheetView zoomScale="120" zoomScaleNormal="120" workbookViewId="0">
      <selection activeCell="B3" sqref="B3"/>
    </sheetView>
  </sheetViews>
  <sheetFormatPr defaultRowHeight="15"/>
  <cols>
    <col min="1" max="1" width="5.6640625" style="184" customWidth="1"/>
    <col min="2" max="2" width="68.6640625" style="184" customWidth="1"/>
    <col min="3" max="3" width="19.5" style="184" customWidth="1"/>
    <col min="4" max="16384" width="9.33203125" style="184"/>
  </cols>
  <sheetData>
    <row r="2" spans="1:4">
      <c r="B2" s="526" t="str">
        <f>CONCATENATE("4. melléklet ",[1]ALAPADATOK!A7," ",[1]ALAPADATOK!B7," ",[1]ALAPADATOK!C7," ",[1]ALAPADATOK!D7," ",[1]ALAPADATOK!E7," ",[1]ALAPADATOK!F7," ",[1]ALAPADATOK!G7," ",[1]ALAPADATOK!H7)</f>
        <v>4. melléklet a 1 / 2019 ( III.13 ) önkormányzati rendelethez</v>
      </c>
      <c r="C2" s="526"/>
    </row>
    <row r="4" spans="1:4" ht="48.75" customHeight="1">
      <c r="A4" s="536" t="s">
        <v>538</v>
      </c>
      <c r="B4" s="536"/>
      <c r="C4" s="536"/>
    </row>
    <row r="5" spans="1:4" ht="15.95" customHeight="1" thickBot="1">
      <c r="A5" s="206"/>
      <c r="B5" s="206"/>
      <c r="C5" s="224" t="str">
        <f>KV_2.2.sz.mell.!E2</f>
        <v>Forintban!</v>
      </c>
      <c r="D5" s="205"/>
    </row>
    <row r="6" spans="1:4" ht="26.45" customHeight="1" thickBot="1">
      <c r="A6" s="223" t="s">
        <v>376</v>
      </c>
      <c r="B6" s="222" t="s">
        <v>386</v>
      </c>
      <c r="C6" s="221" t="str">
        <f>+KV_1.1.sz.mell.!C8</f>
        <v>2019. évi előirányzat</v>
      </c>
    </row>
    <row r="7" spans="1:4" ht="15.75" thickBot="1">
      <c r="A7" s="220"/>
      <c r="B7" s="219" t="s">
        <v>141</v>
      </c>
      <c r="C7" s="218" t="s">
        <v>140</v>
      </c>
    </row>
    <row r="8" spans="1:4">
      <c r="A8" s="217" t="s">
        <v>139</v>
      </c>
      <c r="B8" s="216" t="s">
        <v>385</v>
      </c>
      <c r="C8" s="215">
        <v>500000</v>
      </c>
    </row>
    <row r="9" spans="1:4" ht="24.75">
      <c r="A9" s="210" t="s">
        <v>15</v>
      </c>
      <c r="B9" s="214" t="s">
        <v>384</v>
      </c>
      <c r="C9" s="208">
        <v>800000</v>
      </c>
    </row>
    <row r="10" spans="1:4">
      <c r="A10" s="210" t="s">
        <v>72</v>
      </c>
      <c r="B10" s="212" t="s">
        <v>383</v>
      </c>
      <c r="C10" s="208"/>
    </row>
    <row r="11" spans="1:4" ht="24.75">
      <c r="A11" s="210" t="s">
        <v>70</v>
      </c>
      <c r="B11" s="212" t="s">
        <v>382</v>
      </c>
      <c r="C11" s="208"/>
    </row>
    <row r="12" spans="1:4">
      <c r="A12" s="213" t="s">
        <v>62</v>
      </c>
      <c r="B12" s="212" t="s">
        <v>381</v>
      </c>
      <c r="C12" s="211">
        <v>10000</v>
      </c>
    </row>
    <row r="13" spans="1:4" ht="15.75" thickBot="1">
      <c r="A13" s="210" t="s">
        <v>48</v>
      </c>
      <c r="B13" s="209" t="s">
        <v>380</v>
      </c>
      <c r="C13" s="208"/>
    </row>
    <row r="14" spans="1:4" ht="15.75" thickBot="1">
      <c r="A14" s="537" t="s">
        <v>379</v>
      </c>
      <c r="B14" s="538"/>
      <c r="C14" s="207">
        <f>SUM(C8:C13)</f>
        <v>1310000</v>
      </c>
    </row>
    <row r="15" spans="1:4" ht="23.25" customHeight="1">
      <c r="A15" s="539" t="s">
        <v>378</v>
      </c>
      <c r="B15" s="539"/>
      <c r="C15" s="539"/>
    </row>
  </sheetData>
  <mergeCells count="4">
    <mergeCell ref="A4:C4"/>
    <mergeCell ref="A14:B14"/>
    <mergeCell ref="A15:C15"/>
    <mergeCell ref="B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zoomScale="120" zoomScaleNormal="120" workbookViewId="0">
      <selection activeCell="B3" sqref="B3"/>
    </sheetView>
  </sheetViews>
  <sheetFormatPr defaultRowHeight="15"/>
  <cols>
    <col min="1" max="1" width="5.6640625" style="184" customWidth="1"/>
    <col min="2" max="2" width="66.83203125" style="184" customWidth="1"/>
    <col min="3" max="3" width="27" style="184" customWidth="1"/>
    <col min="4" max="16384" width="9.33203125" style="184"/>
  </cols>
  <sheetData>
    <row r="1" spans="1:4">
      <c r="B1" s="184" t="s">
        <v>377</v>
      </c>
    </row>
    <row r="2" spans="1:4">
      <c r="B2" s="526" t="str">
        <f>CONCATENATE("5. melléklet ",[1]ALAPADATOK!A7," ",[1]ALAPADATOK!B7," ",[1]ALAPADATOK!C7," ",[1]ALAPADATOK!D7," ",[1]ALAPADATOK!E7," ",[1]ALAPADATOK!F7," ",[1]ALAPADATOK!G7," ",[1]ALAPADATOK!H7)</f>
        <v>5. melléklet a 1 / 2019 ( III.13 ) önkormányzati rendelethez</v>
      </c>
      <c r="C2" s="526"/>
    </row>
    <row r="4" spans="1:4" ht="33.200000000000003" customHeight="1">
      <c r="A4" s="536" t="s">
        <v>539</v>
      </c>
      <c r="B4" s="536"/>
      <c r="C4" s="536"/>
    </row>
    <row r="5" spans="1:4" ht="15.95" customHeight="1" thickBot="1">
      <c r="A5" s="206"/>
      <c r="B5" s="206"/>
      <c r="C5" s="224" t="str">
        <f>KV_4.sz.mell.!C5</f>
        <v>Forintban!</v>
      </c>
      <c r="D5" s="205"/>
    </row>
    <row r="6" spans="1:4" ht="26.45" customHeight="1" thickBot="1">
      <c r="A6" s="223" t="s">
        <v>376</v>
      </c>
      <c r="B6" s="222" t="s">
        <v>389</v>
      </c>
      <c r="C6" s="221" t="s">
        <v>388</v>
      </c>
    </row>
    <row r="7" spans="1:4" ht="15.75" thickBot="1">
      <c r="A7" s="220"/>
      <c r="B7" s="219" t="s">
        <v>141</v>
      </c>
      <c r="C7" s="218" t="s">
        <v>140</v>
      </c>
    </row>
    <row r="8" spans="1:4">
      <c r="A8" s="217" t="s">
        <v>139</v>
      </c>
      <c r="B8" s="233"/>
      <c r="C8" s="232"/>
    </row>
    <row r="9" spans="1:4">
      <c r="A9" s="210" t="s">
        <v>15</v>
      </c>
      <c r="B9" s="231"/>
      <c r="C9" s="230"/>
    </row>
    <row r="10" spans="1:4" ht="15.75" thickBot="1">
      <c r="A10" s="213" t="s">
        <v>72</v>
      </c>
      <c r="B10" s="229"/>
      <c r="C10" s="228"/>
    </row>
    <row r="11" spans="1:4" s="185" customFormat="1" ht="17.25" customHeight="1" thickBot="1">
      <c r="A11" s="227" t="s">
        <v>70</v>
      </c>
      <c r="B11" s="226" t="s">
        <v>387</v>
      </c>
      <c r="C11" s="207">
        <f>SUM(C8:C10)</f>
        <v>0</v>
      </c>
    </row>
    <row r="15" spans="1:4" ht="15.75">
      <c r="B15" s="225"/>
    </row>
  </sheetData>
  <mergeCells count="2">
    <mergeCell ref="A4:C4"/>
    <mergeCell ref="B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B24"/>
  <sheetViews>
    <sheetView view="pageLayout" zoomScaleNormal="120" workbookViewId="0">
      <selection activeCell="C3" sqref="A3:E3"/>
    </sheetView>
  </sheetViews>
  <sheetFormatPr defaultRowHeight="12.75"/>
  <cols>
    <col min="1" max="1" width="80.1640625" style="235" customWidth="1"/>
    <col min="2" max="2" width="38.5" style="109" customWidth="1"/>
    <col min="3" max="4" width="12.83203125" style="234" customWidth="1"/>
    <col min="5" max="5" width="13.83203125" style="234" customWidth="1"/>
    <col min="6" max="16384" width="9.33203125" style="234"/>
  </cols>
  <sheetData>
    <row r="1" spans="1:2" ht="15">
      <c r="A1" s="526"/>
      <c r="B1" s="526"/>
    </row>
    <row r="2" spans="1:2" ht="18" customHeight="1">
      <c r="A2" s="249" t="s">
        <v>377</v>
      </c>
      <c r="B2" s="250"/>
    </row>
    <row r="3" spans="1:2" ht="15">
      <c r="A3" s="526" t="str">
        <f>CONCATENATE("6. melléklet ",[1]ALAPADATOK!A7," ",[1]ALAPADATOK!B7," ",[1]ALAPADATOK!C7," ",[1]ALAPADATOK!D7," ",[1]ALAPADATOK!E7," ",[1]ALAPADATOK!F7," ",[1]ALAPADATOK!G7," ",[1]ALAPADATOK!H7)</f>
        <v>6. melléklet a 1 / 2019 ( III.13 ) önkormányzati rendelethez</v>
      </c>
      <c r="B3" s="526"/>
    </row>
    <row r="4" spans="1:2" ht="25.5" customHeight="1">
      <c r="A4" s="540" t="s">
        <v>393</v>
      </c>
      <c r="B4" s="540"/>
    </row>
    <row r="5" spans="1:2" ht="22.5" customHeight="1" thickBot="1">
      <c r="A5" s="249"/>
      <c r="B5" s="248" t="str">
        <f>KV_5.sz.mell.!C5</f>
        <v>Forintban!</v>
      </c>
    </row>
    <row r="6" spans="1:2" s="245" customFormat="1" ht="44.45" customHeight="1" thickBot="1">
      <c r="A6" s="247" t="s">
        <v>392</v>
      </c>
      <c r="B6" s="246" t="s">
        <v>391</v>
      </c>
    </row>
    <row r="7" spans="1:2" s="109" customFormat="1" ht="12" customHeight="1" thickBot="1">
      <c r="A7" s="244" t="s">
        <v>141</v>
      </c>
      <c r="B7" s="243" t="s">
        <v>140</v>
      </c>
    </row>
    <row r="8" spans="1:2" ht="15.95" customHeight="1">
      <c r="A8" s="241"/>
      <c r="B8" s="240"/>
    </row>
    <row r="9" spans="1:2" ht="15.95" customHeight="1">
      <c r="A9" s="241"/>
      <c r="B9" s="240"/>
    </row>
    <row r="10" spans="1:2" ht="15.95" customHeight="1">
      <c r="A10" s="241"/>
      <c r="B10" s="240"/>
    </row>
    <row r="11" spans="1:2" ht="15.95" customHeight="1">
      <c r="A11" s="242"/>
      <c r="B11" s="240"/>
    </row>
    <row r="12" spans="1:2" ht="15.95" customHeight="1">
      <c r="A12" s="241"/>
      <c r="B12" s="240"/>
    </row>
    <row r="13" spans="1:2" ht="15.95" customHeight="1">
      <c r="A13" s="242"/>
      <c r="B13" s="240"/>
    </row>
    <row r="14" spans="1:2" ht="15.95" customHeight="1">
      <c r="A14" s="241"/>
      <c r="B14" s="240"/>
    </row>
    <row r="15" spans="1:2" ht="15.95" customHeight="1">
      <c r="A15" s="241"/>
      <c r="B15" s="240"/>
    </row>
    <row r="16" spans="1:2" ht="15.95" customHeight="1">
      <c r="A16" s="241"/>
      <c r="B16" s="240"/>
    </row>
    <row r="17" spans="1:2" ht="15.95" customHeight="1">
      <c r="A17" s="241"/>
      <c r="B17" s="240"/>
    </row>
    <row r="18" spans="1:2" ht="15.95" customHeight="1">
      <c r="A18" s="241"/>
      <c r="B18" s="240"/>
    </row>
    <row r="19" spans="1:2" ht="15.95" customHeight="1">
      <c r="A19" s="241"/>
      <c r="B19" s="240"/>
    </row>
    <row r="20" spans="1:2" ht="15.95" customHeight="1">
      <c r="A20" s="241"/>
      <c r="B20" s="240"/>
    </row>
    <row r="21" spans="1:2" ht="15.95" customHeight="1">
      <c r="A21" s="241"/>
      <c r="B21" s="240"/>
    </row>
    <row r="22" spans="1:2" ht="15.95" customHeight="1">
      <c r="A22" s="241"/>
      <c r="B22" s="240"/>
    </row>
    <row r="23" spans="1:2" ht="15.95" customHeight="1" thickBot="1">
      <c r="A23" s="136"/>
      <c r="B23" s="239"/>
    </row>
    <row r="24" spans="1:2" s="236" customFormat="1" ht="18" customHeight="1" thickBot="1">
      <c r="A24" s="238" t="s">
        <v>390</v>
      </c>
      <c r="B24" s="237">
        <f>SUM(B8:B23)</f>
        <v>0</v>
      </c>
    </row>
  </sheetData>
  <mergeCells count="3">
    <mergeCell ref="A4:B4"/>
    <mergeCell ref="A1:B1"/>
    <mergeCell ref="A3:B3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3</vt:i4>
      </vt:variant>
    </vt:vector>
  </HeadingPairs>
  <TitlesOfParts>
    <vt:vector size="21" baseType="lpstr">
      <vt:lpstr>KV_ÖSSZEFÜGGÉSEK</vt:lpstr>
      <vt:lpstr>KV_1.1.sz.mell.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KV_1.sz.tájékoztató_t.</vt:lpstr>
      <vt:lpstr>KV_2.sz.tájékoztató_t.</vt:lpstr>
      <vt:lpstr>KV_3.sz.tájékoztató_t.</vt:lpstr>
      <vt:lpstr>KV_4.sz.tájékoztató_t.</vt:lpstr>
      <vt:lpstr>KV_5.sz.tájékoztató_t.</vt:lpstr>
      <vt:lpstr>KV_6.sz.tájékoztató_t.</vt:lpstr>
      <vt:lpstr>KV_7.sz.tájékoztató_t.</vt:lpstr>
      <vt:lpstr>KV_1.1.sz.mell.!Nyomtatási_terület</vt:lpstr>
      <vt:lpstr>KV_1.sz.tájékoztató_t.!Nyomtatási_terület</vt:lpstr>
      <vt:lpstr>KV_7.sz.tájékoztató_t.!Nyomtatási_terület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0003</cp:lastModifiedBy>
  <dcterms:created xsi:type="dcterms:W3CDTF">2019-03-18T13:24:20Z</dcterms:created>
  <dcterms:modified xsi:type="dcterms:W3CDTF">2019-03-21T12:04:23Z</dcterms:modified>
</cp:coreProperties>
</file>