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112" windowHeight="9036" firstSheet="5" activeTab="9"/>
  </bookViews>
  <sheets>
    <sheet name="címrendes bevétel" sheetId="1" r:id="rId1"/>
    <sheet name="Önk.bevétel" sheetId="2" r:id="rId2"/>
    <sheet name="Hivatal bevétel" sheetId="3" r:id="rId3"/>
    <sheet name="Óvoda bevétel" sheetId="4" r:id="rId4"/>
    <sheet name="Múzeum bevétel" sheetId="5" r:id="rId5"/>
    <sheet name="Család- Gyerm. Közp bevétel" sheetId="6" r:id="rId6"/>
    <sheet name="címrendes kiadás" sheetId="7" r:id="rId7"/>
    <sheet name="Önk.kiadás" sheetId="8" r:id="rId8"/>
    <sheet name="Hivatal kiadás" sheetId="9" r:id="rId9"/>
    <sheet name="Óvoda kiadás" sheetId="10" r:id="rId10"/>
    <sheet name="Múzeum kiadás" sheetId="11" r:id="rId11"/>
    <sheet name="Család- és Gyerm. K. kiadás" sheetId="12" r:id="rId12"/>
    <sheet name="hitel 3.sz." sheetId="13" r:id="rId13"/>
    <sheet name="4.sz.mell." sheetId="14" r:id="rId14"/>
    <sheet name="5.mell." sheetId="15" r:id="rId15"/>
    <sheet name="6.mell." sheetId="16" r:id="rId16"/>
    <sheet name="7.mell." sheetId="17" r:id="rId17"/>
    <sheet name="9.m." sheetId="18" r:id="rId18"/>
    <sheet name="10.mell " sheetId="19" r:id="rId19"/>
    <sheet name="11a melléklet" sheetId="20" r:id="rId20"/>
    <sheet name="11b melléklet" sheetId="21" r:id="rId21"/>
    <sheet name="12.mell." sheetId="22" r:id="rId22"/>
    <sheet name="13.mell." sheetId="23" r:id="rId23"/>
  </sheets>
  <definedNames>
    <definedName name="_xlnm.Print_Titles" localSheetId="0">'címrendes bevétel'!$1:$7</definedName>
    <definedName name="_xlnm.Print_Titles" localSheetId="6">'címrendes kiadás'!$1:$1</definedName>
    <definedName name="_xlnm.Print_Titles" localSheetId="7">'Önk.kiadás'!$1:$10</definedName>
    <definedName name="_xlnm.Print_Area" localSheetId="18">'10.mell '!$A$1:$L$44</definedName>
    <definedName name="_xlnm.Print_Area" localSheetId="19">'11a melléklet'!$A$1:$C$94</definedName>
    <definedName name="_xlnm.Print_Area" localSheetId="20">'11b melléklet'!$A$1:$C$27</definedName>
    <definedName name="_xlnm.Print_Area" localSheetId="13">'4.sz.mell.'!$A$1:$R$46</definedName>
    <definedName name="_xlnm.Print_Area" localSheetId="14">'5.mell.'!$A$1:$L$88</definedName>
    <definedName name="_xlnm.Print_Area" localSheetId="15">'6.mell.'!$A$1:$J$86</definedName>
    <definedName name="_xlnm.Print_Area" localSheetId="16">'7.mell.'!$A$1:$F$54</definedName>
    <definedName name="_xlnm.Print_Area" localSheetId="17">'9.m.'!$A$1:$O$28</definedName>
    <definedName name="_xlnm.Print_Area" localSheetId="0">'címrendes bevétel'!$A$1:$S$222</definedName>
    <definedName name="_xlnm.Print_Area" localSheetId="6">'címrendes kiadás'!$A$1:$S$193</definedName>
    <definedName name="_xlnm.Print_Area" localSheetId="11">'Család- és Gyerm. K. kiadás'!$A$1:$H$37</definedName>
    <definedName name="_xlnm.Print_Area" localSheetId="5">'Család- Gyerm. Közp bevétel'!$A$1:$H$16</definedName>
    <definedName name="_xlnm.Print_Area" localSheetId="12">'hitel 3.sz.'!$A$1:$N$62</definedName>
    <definedName name="_xlnm.Print_Area" localSheetId="2">'Hivatal bevétel'!$A$1:$H$19</definedName>
    <definedName name="_xlnm.Print_Area" localSheetId="8">'Hivatal kiadás'!$A$1:$H$34</definedName>
    <definedName name="_xlnm.Print_Area" localSheetId="4">'Múzeum bevétel'!$A$1:$H$28</definedName>
    <definedName name="_xlnm.Print_Area" localSheetId="10">'Múzeum kiadás'!$A$1:$H$58</definedName>
    <definedName name="_xlnm.Print_Area" localSheetId="3">'Óvoda bevétel'!$A$1:$H$17</definedName>
    <definedName name="_xlnm.Print_Area" localSheetId="9">'Óvoda kiadás'!$A$1:$H$26</definedName>
    <definedName name="_xlnm.Print_Area" localSheetId="1">'Önk.bevétel'!$A$1:$H$63</definedName>
    <definedName name="_xlnm.Print_Area" localSheetId="7">'Önk.kiadás'!$A$1:$I$115</definedName>
  </definedNames>
  <calcPr fullCalcOnLoad="1"/>
</workbook>
</file>

<file path=xl/sharedStrings.xml><?xml version="1.0" encoding="utf-8"?>
<sst xmlns="http://schemas.openxmlformats.org/spreadsheetml/2006/main" count="2986" uniqueCount="941">
  <si>
    <t>munkabérek (Óvoda)</t>
  </si>
  <si>
    <t>munkabérek (Bölcsőde)</t>
  </si>
  <si>
    <t>munkabéreket terhelő járulékok (Óvoda)</t>
  </si>
  <si>
    <t>munkabéreket terhelő járulékok (Bölcsőde)</t>
  </si>
  <si>
    <t>Dologi kiadások (Óvoda)</t>
  </si>
  <si>
    <t>Dologi kiadások (Bölcsőde)</t>
  </si>
  <si>
    <t>Hosszabb időtartamú és Start közfoglalkoztatás támogatása</t>
  </si>
  <si>
    <t>GZR-T-Ö-2016-0005 elektromos töltőállomás</t>
  </si>
  <si>
    <t>TOP-3.2.1-16-BS1-2017-00039 Lengyel Palota és Polgármesteri Hivatal energ.korsz.</t>
  </si>
  <si>
    <t>TOP-3.2.1-16-BS1-2017-00040 Fürdő, Gyerm.élelm., Vízisz. sporttelep energ.korsz.</t>
  </si>
  <si>
    <t>M44-es régészeti megelőző feltárás (Tiszakürt-Kondoros)</t>
  </si>
  <si>
    <t>M44-es régészeti megelőző feltárás (Kondoros-Békéscsaba)</t>
  </si>
  <si>
    <t xml:space="preserve">               TOP-3.2.1-16-BS1-2017-00039 Lengyel Palota és Polgármesteri Hivatal energ.korsz. Tám.szerz. szerinti tartalék</t>
  </si>
  <si>
    <t xml:space="preserve">               TOP-3.2.1-16-BS1-2017-00040 Fürdő, Gyerm.élelm., Vízisz. sporttelep energ.korsz. Tám.szerz. szerinti tartalék</t>
  </si>
  <si>
    <t>tárgyi eszközök beszerzése (Óvoda)</t>
  </si>
  <si>
    <t>tárgyi eszközök beszerzése (Bölcsőde)</t>
  </si>
  <si>
    <t>AKÜ - TOP I. hitel</t>
  </si>
  <si>
    <t>AKÜ - TOP II. hitel</t>
  </si>
  <si>
    <t>Család- és Gy.Központ feladat pályázati támogatás (gyerekház működés)</t>
  </si>
  <si>
    <t>AKÜ hitel - TOP pályázatokhoz II.</t>
  </si>
  <si>
    <t>Egyéb működési célú kiadások</t>
  </si>
  <si>
    <t>K5</t>
  </si>
  <si>
    <t>1.5.1.</t>
  </si>
  <si>
    <t>Egyéb elvonások befizetések</t>
  </si>
  <si>
    <t>K502</t>
  </si>
  <si>
    <t>1.5.2.</t>
  </si>
  <si>
    <t>Működési célú visszatérítendő támogatások ÁTH-on belülre</t>
  </si>
  <si>
    <t>K504</t>
  </si>
  <si>
    <t>1.5.3.</t>
  </si>
  <si>
    <t>Egyéb működési célú támogatások ÁHT-on belülre</t>
  </si>
  <si>
    <t>K506</t>
  </si>
  <si>
    <t>1.5.4.</t>
  </si>
  <si>
    <t>Működési célú visszatérítendő támogatások ÁTH-on kívülre</t>
  </si>
  <si>
    <t>K508</t>
  </si>
  <si>
    <t>1.5.5.</t>
  </si>
  <si>
    <t>Egyéb működési célú támogatások ÁHT-on kívülre</t>
  </si>
  <si>
    <t>K512</t>
  </si>
  <si>
    <t>1.5.6.</t>
  </si>
  <si>
    <t>Működési célú tartalék</t>
  </si>
  <si>
    <t>K513</t>
  </si>
  <si>
    <t>Egyéb működési célú kiadások összesen</t>
  </si>
  <si>
    <t xml:space="preserve"> Önkormányzat összesen</t>
  </si>
  <si>
    <t>Szarvasi Család és Gyermekjóléti Központ összesen</t>
  </si>
  <si>
    <t>Működési kiadások összesen</t>
  </si>
  <si>
    <t>Működési célú visszatérítendő támogatások ÁHT-on kívülre</t>
  </si>
  <si>
    <t>Működési kiadások mindösszesen</t>
  </si>
  <si>
    <t>Eredeti ei.</t>
  </si>
  <si>
    <t>Felhalmozási kiadások</t>
  </si>
  <si>
    <t>Fejlesztési célú tartalék</t>
  </si>
  <si>
    <t>Beruházások</t>
  </si>
  <si>
    <t>K6</t>
  </si>
  <si>
    <t>Alföldvíz Zrt. vízrekonstrukciós munkái</t>
  </si>
  <si>
    <t>Közfoglalkoztatás eszközök</t>
  </si>
  <si>
    <t>Közfoglalkoztatás eszközök nem elszámolható</t>
  </si>
  <si>
    <t>Kisértékű tárgyi eszköz vásárlás</t>
  </si>
  <si>
    <t>Beruházások összesen</t>
  </si>
  <si>
    <t>Felújítások</t>
  </si>
  <si>
    <t>K7</t>
  </si>
  <si>
    <t>Közfoglalkoztatási program felújítások</t>
  </si>
  <si>
    <t>Felújítások összesen</t>
  </si>
  <si>
    <t>Egyéb felhalmozási célú kiadások</t>
  </si>
  <si>
    <t>2.4.1.</t>
  </si>
  <si>
    <t>Egyéb felhalm.célú tám.ÁHT-on belülre</t>
  </si>
  <si>
    <t>K84</t>
  </si>
  <si>
    <t>2.4.2.</t>
  </si>
  <si>
    <t>Egyéb felhalm.célú tám.ÁHT-on kívülre</t>
  </si>
  <si>
    <t>K89</t>
  </si>
  <si>
    <t xml:space="preserve">   Lakossági közműfejlesztés támogatás</t>
  </si>
  <si>
    <t>Egyéb felhalmozási célú kiadások összesen</t>
  </si>
  <si>
    <t>K8</t>
  </si>
  <si>
    <t>Informatikai fejlesztés/egyéb eszközbeszerzés</t>
  </si>
  <si>
    <t>Kisértékű/nagyértékű tárgyi eszköz vásárlás</t>
  </si>
  <si>
    <t>Tessedik Sámuel Múzeum és Szárazmalom, Városi Könyvtár összesen</t>
  </si>
  <si>
    <t xml:space="preserve">5. </t>
  </si>
  <si>
    <t>EFOP-3.2.9-16-2016 pályázat</t>
  </si>
  <si>
    <t>Felhalm. kiadások mindösszesen</t>
  </si>
  <si>
    <t xml:space="preserve"> 1.</t>
  </si>
  <si>
    <t>Finanszirozási kiadások</t>
  </si>
  <si>
    <t>K9</t>
  </si>
  <si>
    <t>Felhalmozási hitel törlesztése</t>
  </si>
  <si>
    <t>OTP Nyrt. Városrehabilitáció hitel</t>
  </si>
  <si>
    <t>K911</t>
  </si>
  <si>
    <t>ÁHT-on belüli megelőlegezések visszafizetése</t>
  </si>
  <si>
    <t>Finanszirozási kiadások mindösszesen</t>
  </si>
  <si>
    <t>KIADÁSOK MINDÖSSZESEN</t>
  </si>
  <si>
    <t>Személyi juttatások</t>
  </si>
  <si>
    <t>Egyéb feladatok személyi juttatása</t>
  </si>
  <si>
    <t>Személyi juttatások összesen</t>
  </si>
  <si>
    <t>Munkaadókat terh.befiz.köt.</t>
  </si>
  <si>
    <t>Egyéb feladatok munkaadókat terh.jár.szoc.hj.adó</t>
  </si>
  <si>
    <t>Munkaadókat terh.jár.és szoc.hozzáj.adó összesen</t>
  </si>
  <si>
    <t>Ingatlan hasznosítás (KOMÉP Régi + új bérlakások)</t>
  </si>
  <si>
    <t>Vízkárelhárítás</t>
  </si>
  <si>
    <t>Város- és községgazdálkodási szolg.</t>
  </si>
  <si>
    <t xml:space="preserve">             - Mezei őrszolgálat</t>
  </si>
  <si>
    <t xml:space="preserve">             - Szúnyog-, kullancs-, patkányirtás</t>
  </si>
  <si>
    <t xml:space="preserve">             - Pályázatokhoz kapcsolódó kiadások</t>
  </si>
  <si>
    <t>Települési vízellátás (közkifolyó, Vízmű)</t>
  </si>
  <si>
    <t>Lapkiadás</t>
  </si>
  <si>
    <t>Vasút út 46-48. orvosi rendelők fenntartási ktge</t>
  </si>
  <si>
    <t>Gyermekétkeztetés</t>
  </si>
  <si>
    <t>Közfoglalkoztatás dologi kiadások nem elszámolható</t>
  </si>
  <si>
    <t>Közfoglalkoztatás önerő + támogatás (dologi kiadások)</t>
  </si>
  <si>
    <t>TOP-1.1.1-16-BS1-2017-00003 Vasút átjáró megnyitása az Orosházi úton</t>
  </si>
  <si>
    <t>Vagyonbiztosítás</t>
  </si>
  <si>
    <t>Adó, kamat, pénzf.terh.ktg., tagdijak, stb.</t>
  </si>
  <si>
    <t>Kamatfizetés</t>
  </si>
  <si>
    <t xml:space="preserve"> - felhalmozási hitel kamat</t>
  </si>
  <si>
    <t>Működési célú visszatérítendő támogatások ÁHT-on belülre</t>
  </si>
  <si>
    <t>Többc. Társ. Szociális intézmény</t>
  </si>
  <si>
    <t>Többc. Társ. Támogatása feladatellátáshoz</t>
  </si>
  <si>
    <t>Békés M.Önkormányzatok Ivóvízminőség-javító Társulása műk.tám.</t>
  </si>
  <si>
    <t>Gyomaendrőd Város Önk. támogatása szúnyoggyéítési pályázathoz</t>
  </si>
  <si>
    <t>Szlovák Önkormányzat támogatása</t>
  </si>
  <si>
    <t>Roma Nemzetiségi Önkormányzat támogatása</t>
  </si>
  <si>
    <t>Működési célú visszatérítendő támogatások (Körösök Völgye Vidékfejl.Egy.)</t>
  </si>
  <si>
    <t>Ifjusági és sportfeladatok támogatása</t>
  </si>
  <si>
    <t>Rákóczi Szövetség támogatása</t>
  </si>
  <si>
    <t>Civil szervezetek támogatása</t>
  </si>
  <si>
    <t xml:space="preserve">Polgárőrség támogatása </t>
  </si>
  <si>
    <t>Közfeladatok ellátásának támogatása (KOMÉP)</t>
  </si>
  <si>
    <t>Cervinus Teátrum Színház támogatás</t>
  </si>
  <si>
    <t>Cervinus Teátrum Művelődési Központ támogatás</t>
  </si>
  <si>
    <t>Cervinus Teátrum Művelődési Központ egyéb városi rendezvények</t>
  </si>
  <si>
    <t>Szarvas Kóbor és Elveszett Kutyáiért Állatvédő Egyesület</t>
  </si>
  <si>
    <t>Szlovák Iskoláért és Óvodáért Alapítvány</t>
  </si>
  <si>
    <t>Székely Mihály Szakképzésért Alapítvány</t>
  </si>
  <si>
    <t>Szarvasi Történelmi Emlékút Közalapítvány</t>
  </si>
  <si>
    <t>Mályvavirág Alapítvány</t>
  </si>
  <si>
    <t>Dr. Igriczi és Dr. Pavuk Eü. Kft. támogatása</t>
  </si>
  <si>
    <t>Polgármesteri alap I.</t>
  </si>
  <si>
    <t>TOURINFORM Iroda működtetése</t>
  </si>
  <si>
    <t>TDM szervezet támogatása</t>
  </si>
  <si>
    <t>Kiadások összesen</t>
  </si>
  <si>
    <t>munkabérek</t>
  </si>
  <si>
    <t>nyári diákmunka</t>
  </si>
  <si>
    <t>munkabéreket terhelő járulékok</t>
  </si>
  <si>
    <t>nyári diákmunkához kapcsolódó munkaadói járulékok</t>
  </si>
  <si>
    <t>Biztositási dijak</t>
  </si>
  <si>
    <t>Adó,kamat,pénzf.terh.ktg.,tagdijak,stb.</t>
  </si>
  <si>
    <t>Kistérségnek átadott pénzeszköz</t>
  </si>
  <si>
    <t>tárgyi eszközök beszerzése</t>
  </si>
  <si>
    <t>KIADÁSOK ÖSSZESEN:</t>
  </si>
  <si>
    <t>Önkormányzat hitelállománya</t>
  </si>
  <si>
    <t>2020. év</t>
  </si>
  <si>
    <t>2021. év</t>
  </si>
  <si>
    <t>2022. év</t>
  </si>
  <si>
    <t>2023. év</t>
  </si>
  <si>
    <t>2024. év</t>
  </si>
  <si>
    <t>2025. év</t>
  </si>
  <si>
    <t>Hitel megnevezése</t>
  </si>
  <si>
    <t>nyitó</t>
  </si>
  <si>
    <t>felvét</t>
  </si>
  <si>
    <t xml:space="preserve">törlesztés </t>
  </si>
  <si>
    <t>záró</t>
  </si>
  <si>
    <t>OTP Nyrt. Városrehabilitáció kölcsön</t>
  </si>
  <si>
    <t>Hitel  összesen</t>
  </si>
  <si>
    <t>Tájékoztatásul a devizás kötelezettségek 2013.06.30-i állományáról eFt-ban (295,6 Ft/Euro, állomány 2 666 879,8 EUR)</t>
  </si>
  <si>
    <t>Kötvénykibocsátás 2007.</t>
  </si>
  <si>
    <t>Tájékoztatásul a devizás kötelezettségek 2013.09.30-i állományáról eFt-ban (305,08 Ft/Euro, állomány 2 370 322,77 EUR)</t>
  </si>
  <si>
    <t>Önkormányzati kezességvállalás és lízing</t>
  </si>
  <si>
    <t>összesen</t>
  </si>
  <si>
    <t>KOMÉP Kft. Ravatalozó építésre felvett beruházási hitel kezességvállalása</t>
  </si>
  <si>
    <t>Önkormányzat adósságot keletkeztető ügyleteiből adódó kötelezettségeinek alakulása</t>
  </si>
  <si>
    <t>2026. év</t>
  </si>
  <si>
    <t>Kv.működési bevételek</t>
  </si>
  <si>
    <t>Államig. feladat</t>
  </si>
  <si>
    <t>Kv.működési kiadások</t>
  </si>
  <si>
    <t>Műl.c.visszatérítendő tám. ÁHT-on belülről</t>
  </si>
  <si>
    <t>Munkaa.terh.jár.és szoc.hj.a.</t>
  </si>
  <si>
    <t>Egyéb műk.c.tám.ÁHT-on belülről</t>
  </si>
  <si>
    <t>Fejlesztési hitel kamata</t>
  </si>
  <si>
    <t>Dologi kiadás</t>
  </si>
  <si>
    <t>Műk.c. visszat. Tám. ÁHT-on belülre</t>
  </si>
  <si>
    <t>Működési célú átvett pénzesz.</t>
  </si>
  <si>
    <t>Egyéb műk.c.tám.ÁHT-on belülre</t>
  </si>
  <si>
    <t>Műk.c. visszat. Tám. ÁHT-on kívülre</t>
  </si>
  <si>
    <t>Működési bevételek ÁHT-on belülről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</si>
  <si>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</si>
  <si>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</si>
  <si>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</si>
  <si>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</si>
  <si>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</si>
  <si>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</si>
  <si>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</si>
  <si>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</si>
  <si>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</si>
  <si>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</si>
  <si>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Cervinus Teátrum Művelődési Központ Művészeti csoportok szakmai működése</t>
  </si>
  <si>
    <t>16.</t>
  </si>
  <si>
    <t>17.</t>
  </si>
  <si>
    <t>18.</t>
  </si>
  <si>
    <t>Felhalmozási célú támogatások ÁHT-on belülről</t>
  </si>
  <si>
    <t xml:space="preserve">Működési bevételek   </t>
  </si>
  <si>
    <t>19.</t>
  </si>
  <si>
    <t>Bevételek összesen (1+…+8)</t>
  </si>
  <si>
    <t>Munkaadókat terh. jár.</t>
  </si>
  <si>
    <t>Tartalék (működési és felhalmozási)</t>
  </si>
  <si>
    <t>20.</t>
  </si>
  <si>
    <t>Kiadások összesen (10+…+19.)</t>
  </si>
  <si>
    <t>Egyenleg (9-20)</t>
  </si>
  <si>
    <t>Működési célú vissztér. Támogatások ÁHT-on kívülre</t>
  </si>
  <si>
    <t>Működési célú vissztér. Támogatások ÁHT-on belülre</t>
  </si>
  <si>
    <t>Működési tartalék</t>
  </si>
  <si>
    <t>Fejlesztési tartalék</t>
  </si>
  <si>
    <t>Működési célú visszatérítendő tám.ÁHT-on belülről</t>
  </si>
  <si>
    <t>Felhalmozási célú visszatér.tám.visszat.ÁHT-on belülről</t>
  </si>
  <si>
    <t>Egyéb felh.c.támogatások ÁHT-on belülről</t>
  </si>
  <si>
    <t>Pénzforgalom nélküli bevételek (maradvány)</t>
  </si>
  <si>
    <t>K914</t>
  </si>
  <si>
    <t>Többc. Társ. Normatíva támogatás (+bérkomp., szoc. ágazati pótlék)</t>
  </si>
  <si>
    <t>Veteránjármű Baráti Kör támogatása</t>
  </si>
  <si>
    <t>Intézmények fenntartási kiadásai keret (int. igények tám.)</t>
  </si>
  <si>
    <t>Kamatbevételek</t>
  </si>
  <si>
    <t>EFOP-1.2.11-16-2017-00060 Szarvas hazavár!</t>
  </si>
  <si>
    <t xml:space="preserve">Hosszabb időtartamú és start közfoglalkoztatás személyi juttatása </t>
  </si>
  <si>
    <t xml:space="preserve">Hosszabb időtartamú és start közfoglalkoztatás járulékok </t>
  </si>
  <si>
    <t>Gyógy-Termál támogatása</t>
  </si>
  <si>
    <t>EFOP-1.5.3-16-2017-00064 Humán szolg. fejlesztése Szarvas térségben</t>
  </si>
  <si>
    <t>EFOP-1.2.1-16-2017-00060 Szarvas hazavár</t>
  </si>
  <si>
    <t>N</t>
  </si>
  <si>
    <t>Bölcsődei étkezési térítési díj bevétele</t>
  </si>
  <si>
    <t>bérleti díj/egyéb bevétel</t>
  </si>
  <si>
    <t>EFOP-1.5.3-16-2017-00064 Humán szolgáltatások fejlesztése Szarvas térségben</t>
  </si>
  <si>
    <t>Építm.adó 20 %-a</t>
  </si>
  <si>
    <t>Működési célú  támogatások ÁHT-on belülről</t>
  </si>
  <si>
    <t>Egyéb műk.c.tám.ÁHT-on kívülre</t>
  </si>
  <si>
    <t>Tartalékok-Működési</t>
  </si>
  <si>
    <t>Felhalmozási célú önkormányzati tám.</t>
  </si>
  <si>
    <t>Felh.célú visszat. Tám. ÁHT-on belül</t>
  </si>
  <si>
    <t>Egyéb felh.c.tám.bev.ÁHT-on belülről</t>
  </si>
  <si>
    <t>Tartalékok-Fejlesztési</t>
  </si>
  <si>
    <t>Tulajdonosi bevételek</t>
  </si>
  <si>
    <t>Felh.c.visszatér.tám.ÁHT-on kívülről</t>
  </si>
  <si>
    <t>Egyéb felh.c.átvett pénzeszközök</t>
  </si>
  <si>
    <t>Kv.felhalmozási bevételek</t>
  </si>
  <si>
    <t>Kv.felhalmozási kiadások</t>
  </si>
  <si>
    <t>Kv.bevételek összesen</t>
  </si>
  <si>
    <t>Kv.kiadások összesen</t>
  </si>
  <si>
    <t>Finanszírozási kadások</t>
  </si>
  <si>
    <t>Működési finanszírozási bevételek</t>
  </si>
  <si>
    <t>Működési finanszírozási kiadások</t>
  </si>
  <si>
    <t>Hitel-,kölcsönfelvétel pü.vállalkozástól</t>
  </si>
  <si>
    <t>B811</t>
  </si>
  <si>
    <t>Hosszú lej.hitel,kölcsön törl.pü.váll-nak</t>
  </si>
  <si>
    <t>ÁHT-on elüli megelőlegezések vissz.</t>
  </si>
  <si>
    <t>Felhalmozási finanszírozási bevételek</t>
  </si>
  <si>
    <t>Felhalmozási finanszírozási kiadások</t>
  </si>
  <si>
    <t>Finanszírozási bevételek össz.</t>
  </si>
  <si>
    <t>Finanszírozási kadások össz.</t>
  </si>
  <si>
    <t>Bevételek  mindösszesen</t>
  </si>
  <si>
    <t>Kiadások mindösszesen</t>
  </si>
  <si>
    <t>BEVÉTELEK</t>
  </si>
  <si>
    <t xml:space="preserve">        Önkormányzatok működési támogatásai</t>
  </si>
  <si>
    <t xml:space="preserve">        Működési c. visszatérítendő tám. visszat. ÁHT-on belülről</t>
  </si>
  <si>
    <t xml:space="preserve">        Egyéb működési c. támogatások bevételei áht-on belülről</t>
  </si>
  <si>
    <t xml:space="preserve">B2 </t>
  </si>
  <si>
    <t>Felhalmozási c. visszatérítendő tám. visszat. ÁHT-on belülről</t>
  </si>
  <si>
    <t>Egyéb felh.c.támogatások bevételei áht-on belülről</t>
  </si>
  <si>
    <t>Felh.c.visszatérítendő tám,kölcs.visszatér.áht.kív.</t>
  </si>
  <si>
    <t>Finanszírozási bevételek összesen</t>
  </si>
  <si>
    <t>Bevételek összesen</t>
  </si>
  <si>
    <t>KIADÁSOK</t>
  </si>
  <si>
    <t xml:space="preserve">Működési kiadások </t>
  </si>
  <si>
    <t xml:space="preserve">      Kamatkiadások-Felhalmozási</t>
  </si>
  <si>
    <t xml:space="preserve">      Egyéb dologi kiadások</t>
  </si>
  <si>
    <t xml:space="preserve">K3 </t>
  </si>
  <si>
    <t xml:space="preserve">      Egyéb elvonások befizetések</t>
  </si>
  <si>
    <t xml:space="preserve">      Működési c. visszat. támogatások ÁHT-on belülre</t>
  </si>
  <si>
    <t xml:space="preserve">      Egyéb működési célú támogatások áht-on belülre</t>
  </si>
  <si>
    <t xml:space="preserve">      Működési c. visszat. támogatások ÁHT-on kívülre</t>
  </si>
  <si>
    <t xml:space="preserve">      Egyéb működési célú támogatások áht-on kívülre</t>
  </si>
  <si>
    <t xml:space="preserve">      Működési célú tartalék</t>
  </si>
  <si>
    <t xml:space="preserve">Felhalmozási kiadások </t>
  </si>
  <si>
    <t xml:space="preserve">     Fejlesztési célú tartalék</t>
  </si>
  <si>
    <t xml:space="preserve">     Beruházások</t>
  </si>
  <si>
    <t xml:space="preserve">     Felújítások</t>
  </si>
  <si>
    <t xml:space="preserve">     Egyéb felhalmozási célú kiadások</t>
  </si>
  <si>
    <t>Felhalmozási kiadások mindösszesen</t>
  </si>
  <si>
    <t>Finanszírozási kiadások</t>
  </si>
  <si>
    <t xml:space="preserve">     Felhalmozási hitel törlesztése</t>
  </si>
  <si>
    <t xml:space="preserve">     ÁHT-on belüli megelőlegezések visszafizetése</t>
  </si>
  <si>
    <t>Finanszírozási kiadások összesen</t>
  </si>
  <si>
    <t xml:space="preserve">        Működési célú visszatérítendő tám. visszatérülése ÁHT-on belülről</t>
  </si>
  <si>
    <t>Felhalmozási célú önkormányzati támogatások</t>
  </si>
  <si>
    <t>Felhalmozási c. visszatérítendő tám. visszatérülése ÁHT-on belülről</t>
  </si>
  <si>
    <t xml:space="preserve">      Működési célú visszatérítendő támogatások ÁHT-on belülre</t>
  </si>
  <si>
    <t xml:space="preserve">      Működési célú visszatérítendő támogatások ÁHT-on kívülre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</si>
  <si>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</si>
  <si>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</si>
  <si>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</si>
  <si>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</si>
  <si>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</si>
  <si>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</si>
  <si>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</si>
  <si>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</si>
  <si>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</si>
  <si>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</si>
  <si>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</si>
  <si>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</si>
  <si>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</si>
  <si>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</si>
  <si>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Kiemelt előirányzat</t>
  </si>
  <si>
    <t>Önkormányzat             1 cím</t>
  </si>
  <si>
    <t>Polgármesteri Hivatal                2 cím</t>
  </si>
  <si>
    <t>Tessedik Sámuel Múzeum és Szárazmalom, Városi Könyvtár 4 cím</t>
  </si>
  <si>
    <t>Szarvasi Család- és Gyermekjóléti Központ           5 cím</t>
  </si>
  <si>
    <t>Mindösszesen</t>
  </si>
  <si>
    <t>Óvoda</t>
  </si>
  <si>
    <t>Bölcsőde</t>
  </si>
  <si>
    <t>Múzeum</t>
  </si>
  <si>
    <t>Könyvtár</t>
  </si>
  <si>
    <t>Munkaadókat terh.jár,szocho</t>
  </si>
  <si>
    <t>Kamatkiadások - Felh.</t>
  </si>
  <si>
    <t>Műk.kiadás össz.</t>
  </si>
  <si>
    <t>Felhalmozási kiadás</t>
  </si>
  <si>
    <t>Kiadás mindössz.</t>
  </si>
  <si>
    <t>Bevétel összesen</t>
  </si>
  <si>
    <t>Támogatási igény</t>
  </si>
  <si>
    <t>Norm.felüli tám.</t>
  </si>
  <si>
    <t>Támogatás %</t>
  </si>
  <si>
    <t>adatok Ft-ban</t>
  </si>
  <si>
    <t>Részvényértékesítés</t>
  </si>
  <si>
    <t>Szarvasi Női Kézilabda Klub visszatérítendő támogatása</t>
  </si>
  <si>
    <t>AKÜ hitel - TOP pályázatokhoz I.</t>
  </si>
  <si>
    <t>2027. év</t>
  </si>
  <si>
    <t>Sor-</t>
  </si>
  <si>
    <t>tárgyév</t>
  </si>
  <si>
    <t>Saját bevétel és adósságot keletkeztető ügyletből eredő fizetési kötelezettség a tárgyévet követő</t>
  </si>
  <si>
    <t xml:space="preserve"> szám</t>
  </si>
  <si>
    <t xml:space="preserve">Helyi adók </t>
  </si>
  <si>
    <t>Díjak, pótlékok, bírságok, települési adók</t>
  </si>
  <si>
    <t>Immateriális javak, ingatlanok és egyéb tárgyi eszközök értékesítése</t>
  </si>
  <si>
    <t>Részesedések értékesítése és részesedések megszűnéséhez kapcsolódó bevételek</t>
  </si>
  <si>
    <t>Privatizációból származó bevételek</t>
  </si>
  <si>
    <t>Garancia- és kezességvállalásból származó megtérülések</t>
  </si>
  <si>
    <t>Saját bevételek (01+…+07)</t>
  </si>
  <si>
    <t>Saját bevételek (08. sor) 50%-a</t>
  </si>
  <si>
    <t>Előző év(ek)ben keletkezett tárgyévet terhelő fizetési kötelezettség (11+…+18)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</si>
  <si>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</si>
  <si>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</si>
  <si>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</si>
  <si>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</si>
  <si>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</si>
  <si>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részletfizetési kötelezettség</t>
  </si>
  <si>
    <t>Szerződésben kikötött visszavásárlási kötelezettség</t>
  </si>
  <si>
    <t xml:space="preserve">Kezesség- és garanciavállalásból eredő fizetési kötelezettség 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</si>
  <si>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</si>
  <si>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</si>
  <si>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</si>
  <si>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Bursa ösztöndíj</t>
  </si>
  <si>
    <t>DAKK Zrt. előző évi veszteség rendezése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</si>
  <si>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</si>
  <si>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</si>
  <si>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</si>
  <si>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</si>
  <si>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</si>
  <si>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</si>
  <si>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</si>
  <si>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</si>
  <si>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</si>
  <si>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</si>
  <si>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</si>
  <si>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</si>
  <si>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</si>
  <si>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Államigazg. feladat</t>
  </si>
  <si>
    <t>Kötelező feladat</t>
  </si>
  <si>
    <t>Önként v. feladat</t>
  </si>
  <si>
    <t>Rovat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</si>
  <si>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</si>
  <si>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</si>
  <si>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</si>
  <si>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</si>
  <si>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</si>
  <si>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</si>
  <si>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</si>
  <si>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</si>
  <si>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</si>
  <si>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</si>
  <si>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</si>
  <si>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</si>
  <si>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</si>
  <si>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</si>
  <si>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Q</t>
  </si>
  <si>
    <t>R</t>
  </si>
  <si>
    <t>S</t>
  </si>
  <si>
    <t>T</t>
  </si>
  <si>
    <t>1.</t>
  </si>
  <si>
    <t>Önkormányzat</t>
  </si>
  <si>
    <t>I.</t>
  </si>
  <si>
    <t>Működési célú  támogatások államháztartáson belülről</t>
  </si>
  <si>
    <t>B1</t>
  </si>
  <si>
    <t>Önkormányzatok működési támogatásai</t>
  </si>
  <si>
    <t>B11</t>
  </si>
  <si>
    <t>1.1.</t>
  </si>
  <si>
    <t>Önk.ált.működésének és ágazati feladatainak tám.</t>
  </si>
  <si>
    <t>1.1.1.</t>
  </si>
  <si>
    <t>Önkormányzatok működésének általános támogatása</t>
  </si>
  <si>
    <t>B111</t>
  </si>
  <si>
    <t>1.1.2.</t>
  </si>
  <si>
    <t>Önkorm.egyes köznevelési felad.tám.</t>
  </si>
  <si>
    <t>B112</t>
  </si>
  <si>
    <t>1.1.3.</t>
  </si>
  <si>
    <t>Önkorm.szoc.,gyermekjól.és gyermekétkezt. feladat tám.</t>
  </si>
  <si>
    <t>B113</t>
  </si>
  <si>
    <t>1.1.4.</t>
  </si>
  <si>
    <t>Önk.kulturális feladatainak tám.</t>
  </si>
  <si>
    <t>B114</t>
  </si>
  <si>
    <t>Összesen:</t>
  </si>
  <si>
    <t>1.2.</t>
  </si>
  <si>
    <t>Műk.c.költségvetési támogatások és kieg.tám.</t>
  </si>
  <si>
    <t>1.2.1.</t>
  </si>
  <si>
    <t>EU önerő alap támogatás</t>
  </si>
  <si>
    <t>B115</t>
  </si>
  <si>
    <t>1.2.2.</t>
  </si>
  <si>
    <t>Érdekeltségnövelő támogatás</t>
  </si>
  <si>
    <t>1.2.3.</t>
  </si>
  <si>
    <t>Bérkompenzáció támogatása</t>
  </si>
  <si>
    <t>1.2.4.</t>
  </si>
  <si>
    <t>Rendkívüli önkorányzati támogatás</t>
  </si>
  <si>
    <t>1.2.5.</t>
  </si>
  <si>
    <t>Kiegészítő támogatások</t>
  </si>
  <si>
    <t>1.3.</t>
  </si>
  <si>
    <t>Elszámolásból származó bevételek</t>
  </si>
  <si>
    <t>B116</t>
  </si>
  <si>
    <t>1.3.1.</t>
  </si>
  <si>
    <t>Önkormányzatok műk.támogatásai összesen:</t>
  </si>
  <si>
    <t>2.</t>
  </si>
  <si>
    <t>Működési c. visszatérítendő tám. visszatérülése ÁHT-on belülről</t>
  </si>
  <si>
    <t>B14</t>
  </si>
  <si>
    <t>3.</t>
  </si>
  <si>
    <t>Egyéb működési c. támogatások bevételei ÁHT-on belülről</t>
  </si>
  <si>
    <t>B16</t>
  </si>
  <si>
    <t>Műk.c.támogatások államháztartáson belülről összesen</t>
  </si>
  <si>
    <t>II.</t>
  </si>
  <si>
    <t>Felhalmozási célú támogatások államháztatartáson belülről</t>
  </si>
  <si>
    <t>B2</t>
  </si>
  <si>
    <t xml:space="preserve">Felhalmozási célú önkormányzati támogatások </t>
  </si>
  <si>
    <t>B21</t>
  </si>
  <si>
    <t>Felhalmozási célú visszatérítendő támogatások ÁHT-on belülről</t>
  </si>
  <si>
    <t>B23</t>
  </si>
  <si>
    <t>Egyéb felh.c.támogatások bevételei ÁHT-on belülről</t>
  </si>
  <si>
    <t>B25</t>
  </si>
  <si>
    <t>Felh.c.támogatások államháztartáson belülről összesen</t>
  </si>
  <si>
    <t>III.</t>
  </si>
  <si>
    <t>Közhatalmi bevételek</t>
  </si>
  <si>
    <t>B3</t>
  </si>
  <si>
    <t>Vagyoni tipusú adók</t>
  </si>
  <si>
    <t>B34</t>
  </si>
  <si>
    <t xml:space="preserve">Épitményadó </t>
  </si>
  <si>
    <t>Termékek és szolgáltatások adói</t>
  </si>
  <si>
    <t>B35</t>
  </si>
  <si>
    <t>2.1.</t>
  </si>
  <si>
    <t>Iparűzési adó</t>
  </si>
  <si>
    <t>B351</t>
  </si>
  <si>
    <t>2.2.</t>
  </si>
  <si>
    <t>Gépjárműadó</t>
  </si>
  <si>
    <t>B354</t>
  </si>
  <si>
    <t>2.3.</t>
  </si>
  <si>
    <t>Idegenforgalmi adó</t>
  </si>
  <si>
    <t>B355</t>
  </si>
  <si>
    <t>2.4.</t>
  </si>
  <si>
    <t>Talajterhelési dij</t>
  </si>
  <si>
    <t>Egyéb közhatalmi bevételek</t>
  </si>
  <si>
    <t>B36</t>
  </si>
  <si>
    <t>3.1.</t>
  </si>
  <si>
    <t>Birság, pótlék</t>
  </si>
  <si>
    <t>3.2.</t>
  </si>
  <si>
    <t>Környezetvédelmi birság</t>
  </si>
  <si>
    <t>3.3.</t>
  </si>
  <si>
    <t>Egyéb sajátos bevétel</t>
  </si>
  <si>
    <t>3.4.</t>
  </si>
  <si>
    <t>Közhatalmi bevételek összesen</t>
  </si>
  <si>
    <t>IV.</t>
  </si>
  <si>
    <t>Működési bevételek</t>
  </si>
  <si>
    <t>B4</t>
  </si>
  <si>
    <t>Intézményi működési bevételek</t>
  </si>
  <si>
    <t>Pénzügyi befektetések bevételei</t>
  </si>
  <si>
    <t>Egyéb tulajdonosi bevételek</t>
  </si>
  <si>
    <t>B404</t>
  </si>
  <si>
    <t>Működési bevételek összesen</t>
  </si>
  <si>
    <t>V.</t>
  </si>
  <si>
    <t>Felhalmozási bevételek</t>
  </si>
  <si>
    <t>B5</t>
  </si>
  <si>
    <t>Ingatlanok értékesítése</t>
  </si>
  <si>
    <t>B52</t>
  </si>
  <si>
    <t>Részesedések értékesítése</t>
  </si>
  <si>
    <t>B54</t>
  </si>
  <si>
    <t>Felhalmozási bevételek összesen</t>
  </si>
  <si>
    <t>VI.</t>
  </si>
  <si>
    <t>Működési célú átvett pénzeszközök</t>
  </si>
  <si>
    <t>B6</t>
  </si>
  <si>
    <t>B64</t>
  </si>
  <si>
    <t>Egyéb működési célú átvett pénzeszközök</t>
  </si>
  <si>
    <t>B65</t>
  </si>
  <si>
    <t>Működési célú átvett pénzeszközök összesen</t>
  </si>
  <si>
    <t>VII.</t>
  </si>
  <si>
    <t>Felhalmozási célú átvett pénzeszközök</t>
  </si>
  <si>
    <t>B7</t>
  </si>
  <si>
    <t>Felh.c.visszatérítendő tám,kölcs.visszatér.ÁHT-on kív.</t>
  </si>
  <si>
    <t>B74</t>
  </si>
  <si>
    <t>Kölcsönök visszatérülése</t>
  </si>
  <si>
    <t>Összesen</t>
  </si>
  <si>
    <t>Egyéb felhalmozási célú átvett pénzeszközök</t>
  </si>
  <si>
    <t>B75</t>
  </si>
  <si>
    <t>Felhalmozási célú átvett pénzeszköz</t>
  </si>
  <si>
    <t>Felhalmozási célú átvett pénzeszközök összesen</t>
  </si>
  <si>
    <t>Önkormányzat összesen</t>
  </si>
  <si>
    <t xml:space="preserve">Polgármesteri Hivatal </t>
  </si>
  <si>
    <t>Egyéb működési célú támogatások bevételei ÁHT-on belülről</t>
  </si>
  <si>
    <t>Felh.c.támogatások államháztatartáson belülről összesen</t>
  </si>
  <si>
    <t>Igazgatási szolgáltatási díjak</t>
  </si>
  <si>
    <t>Polgármesteri Hivatal összesen</t>
  </si>
  <si>
    <t>4.</t>
  </si>
  <si>
    <t>Tessedik Sámuel Múzeum és Szárazmalom, Városi Könyvtár</t>
  </si>
  <si>
    <t>Tessedik S. Múzeum és Szárazm.,Városi Könyvtár össz.</t>
  </si>
  <si>
    <t>5.</t>
  </si>
  <si>
    <t>Szarvasi Család- és Gyermekjóléti Központ</t>
  </si>
  <si>
    <t>Szarvasi Család- és Gyermekjóléti Központ összesen</t>
  </si>
  <si>
    <t>O</t>
  </si>
  <si>
    <t>Változás</t>
  </si>
  <si>
    <t>Tárgyévi költségvetési bevételek jogcímcsoportonként</t>
  </si>
  <si>
    <t>Működési célú támogatások ÁHT-on belülről összesen</t>
  </si>
  <si>
    <t>Felhalmozási célú támogatások ÁHT-on belülről összesen</t>
  </si>
  <si>
    <t xml:space="preserve"> </t>
  </si>
  <si>
    <t>Tárgyévi költségvetési bevételek mindösszesen</t>
  </si>
  <si>
    <t>Tárgyévi finanszirozási bevételek</t>
  </si>
  <si>
    <t xml:space="preserve">Önkormányzat </t>
  </si>
  <si>
    <t>VIII.</t>
  </si>
  <si>
    <t>Finanszírozási bevételek</t>
  </si>
  <si>
    <t>B8</t>
  </si>
  <si>
    <t>Hitelek, kölcsönök, értékpapírok</t>
  </si>
  <si>
    <t>Hosszú lejáratú hitelek, kölcs.felv.pénzügyi váll-tól</t>
  </si>
  <si>
    <t>B8111</t>
  </si>
  <si>
    <t>Rövid lejáratú hitelek, kölcs.felv.pénzügyi váll-tól</t>
  </si>
  <si>
    <t>B8113</t>
  </si>
  <si>
    <t>Éven túli lejáratú belföldi értékpap.kibocsátása</t>
  </si>
  <si>
    <t>B8124</t>
  </si>
  <si>
    <t>Hitelek, kölcsönök, értékpapírok összesen</t>
  </si>
  <si>
    <t>Pénzforgalom nélküli bevételek</t>
  </si>
  <si>
    <t>Maradvány igénybevétele</t>
  </si>
  <si>
    <t>B813</t>
  </si>
  <si>
    <t>Pénzforgalom nélküli bevételek összesen</t>
  </si>
  <si>
    <t>Polgármesteri Hivatal</t>
  </si>
  <si>
    <t>Tessedik S. Múzeum és Szárazm., Városi Könyvtár össz.</t>
  </si>
  <si>
    <t>Tárgyévi finanszírozási bevételek mindösszesen</t>
  </si>
  <si>
    <t>BEVÉTELEK MINDÖSSZESEN</t>
  </si>
  <si>
    <t>adatok e Ft-ban</t>
  </si>
  <si>
    <t>Megnevezés</t>
  </si>
  <si>
    <t>Gyomaendrődi hulladékátrakó bérleti díj</t>
  </si>
  <si>
    <t>Mezőőri szolgáltatás támogatás</t>
  </si>
  <si>
    <t>Természetbeni gyermekvédelmi támogatás (Erzsébet utalvány)</t>
  </si>
  <si>
    <t>Mobilitási Hét támogatása</t>
  </si>
  <si>
    <t>BURSA Hungarica ösztöndíj</t>
  </si>
  <si>
    <t>Egyéb működési c.támogatások bevételei ÁHT-on belülről</t>
  </si>
  <si>
    <t>Lak.közműfejlesztés</t>
  </si>
  <si>
    <t>Közművelődési érdekeltségnövelő pályázat</t>
  </si>
  <si>
    <t>TOP-1.2.1-15-BS1-2016-00025 (Tessedik S. Múzeum fejlesztése)</t>
  </si>
  <si>
    <t>TOP-1.1.3-15-BS1-2016-00023 (Helyi termékek piacának fejlesztése)</t>
  </si>
  <si>
    <t>TOP-4.2.1-15-BS1-2016-00020 (Családsegítő Központ inf. fejlesztése)</t>
  </si>
  <si>
    <t>Egyéb felhalmozási c.támogatások bevételei ÁHT-on belülről</t>
  </si>
  <si>
    <t>Fő téri Ált. Isk. szolgáltatás KLIK</t>
  </si>
  <si>
    <t xml:space="preserve">             -Termál bérleti díj</t>
  </si>
  <si>
    <t xml:space="preserve">             -Vízmű bérleti díj</t>
  </si>
  <si>
    <t xml:space="preserve">             - Önkormányzati bérlakások bevételei</t>
  </si>
  <si>
    <t xml:space="preserve">             -Hulladékátrakó bérleti díj KOMÉP</t>
  </si>
  <si>
    <t>Önkormányzati vagyonhasznosítás (egyéb bérl.díj, stb.)</t>
  </si>
  <si>
    <t>Közmunka program működési bevétele</t>
  </si>
  <si>
    <t>Étkezési térítési díj</t>
  </si>
  <si>
    <t>Vagyonértékesítés / Ingatlanok értékesítése</t>
  </si>
  <si>
    <t>Körösök Völgye Vidékfejlesztési Egyesület előfinanszírozás visszatérülése</t>
  </si>
  <si>
    <t>Női Kézilabda Klub visszatérítése</t>
  </si>
  <si>
    <t>Működési célú átvetett pénzeszközök</t>
  </si>
  <si>
    <t>Belvízkár kamatmentes kölcsön visszafiz.</t>
  </si>
  <si>
    <t>Pályázati támogatások megelőlegezésének visszatérülése</t>
  </si>
  <si>
    <t>Lakossági szennyvízbefizetés</t>
  </si>
  <si>
    <t>Finanszírozási bevételek (hitel)</t>
  </si>
  <si>
    <t>BEVÉTELEK ÖSSZESEN:</t>
  </si>
  <si>
    <t>Kistérségi Iroda munkaszervezet</t>
  </si>
  <si>
    <t>Nyári diákmunka támogatása</t>
  </si>
  <si>
    <t>Működési célú támogatások áht-on belülről</t>
  </si>
  <si>
    <t>Egyéb bevételek</t>
  </si>
  <si>
    <t>Családi ünnepek szervezése</t>
  </si>
  <si>
    <t>Működési célú átvett pénzeszköz</t>
  </si>
  <si>
    <t>Diákmunka</t>
  </si>
  <si>
    <t>Intézményi működési bevételek (Múzeum)</t>
  </si>
  <si>
    <t>Intézményi működési bevételek (Könyvtár)</t>
  </si>
  <si>
    <t>M44-es régészeti megfigyelés</t>
  </si>
  <si>
    <t>Szarvas III. bánya régészeti megfigyelés</t>
  </si>
  <si>
    <t>Működési kiadások</t>
  </si>
  <si>
    <t>Személyi juttatás</t>
  </si>
  <si>
    <t>K1</t>
  </si>
  <si>
    <t>Munkaadókat terh.jár. és szoc.hozzáj.adó</t>
  </si>
  <si>
    <t>K2</t>
  </si>
  <si>
    <t>Dologi kiadások</t>
  </si>
  <si>
    <t>K3</t>
  </si>
  <si>
    <t>Kamatkiadások-Felhalmozási</t>
  </si>
  <si>
    <t>K353</t>
  </si>
  <si>
    <t>1.3.2.</t>
  </si>
  <si>
    <t>Egyéb dologi kiadások</t>
  </si>
  <si>
    <t>Dologi kiadások összesen</t>
  </si>
  <si>
    <t>1.4.</t>
  </si>
  <si>
    <t>Ellátottak pénzbeli juttatásai</t>
  </si>
  <si>
    <t>K4</t>
  </si>
  <si>
    <t>1.5.</t>
  </si>
  <si>
    <t xml:space="preserve">   TDM - Térfelirat</t>
  </si>
  <si>
    <t>TOP-7.1.1-16-2016-00048</t>
  </si>
  <si>
    <t>EFOP-3.7.3-16-2017-00085 (Könyvtár)</t>
  </si>
  <si>
    <t>Régészet egyéb</t>
  </si>
  <si>
    <t>munkabérek (Múzeum)</t>
  </si>
  <si>
    <t>munkabérek (Könyvtár)</t>
  </si>
  <si>
    <t>EFOP-3.7.3-16-2017-00085</t>
  </si>
  <si>
    <t>Dologi kiadások (Múzeum)</t>
  </si>
  <si>
    <t>Dologi kiadások (Könyvtár)</t>
  </si>
  <si>
    <t>munkabéreket terhelő járulékok (Múzeum)</t>
  </si>
  <si>
    <t>munkabéreket terhelő járulékok (Könyvtár)</t>
  </si>
  <si>
    <t>tárgyi eszközök beszerzése (Múzeum)</t>
  </si>
  <si>
    <t>tárgyi eszközök beszerzése (Könyvtár)</t>
  </si>
  <si>
    <t>talált tárgyak bevétel továbbutalása</t>
  </si>
  <si>
    <t>Munkaügyi Központ támogatás (közmunka) 2018.07.01-2019.02.28.</t>
  </si>
  <si>
    <t>közmunka program személyi kiadásai 2018.07.01-2019.02.28.</t>
  </si>
  <si>
    <t>közmunka program munkaadói járulékai 2018.07.01-2019.02.28.</t>
  </si>
  <si>
    <t>M44-es régészeti megfigyelés (Kondoros-Békéscsaba)</t>
  </si>
  <si>
    <t>Ruzicskay művészetelep pályázat támogatása</t>
  </si>
  <si>
    <t>1288-9/2018/HERMAN - zártkert pályázat</t>
  </si>
  <si>
    <t>TOP-3.1.1-16-BS1-2017-00013 Kerékpáros közlekedés fejlesztése Szarvas-Bszta.</t>
  </si>
  <si>
    <t>Lakosságtól útépítésre átvett pénzeszköz</t>
  </si>
  <si>
    <t>bérlakások felújítása</t>
  </si>
  <si>
    <t>TOP-1.4.1-16-BS1-2017-00029 "Aprók Kertje" Bölcsőde felújítása és  eszk.</t>
  </si>
  <si>
    <t>TOP-1.4.1-16-BS1-2017-00029 "Aprók Kertje" Bölcsőde felújítása és  eszközbeszerzése</t>
  </si>
  <si>
    <t>egyéb bevétel</t>
  </si>
  <si>
    <t>Bóbita Alapítvány</t>
  </si>
  <si>
    <t>Közvilágítás, díszvilágítás</t>
  </si>
  <si>
    <t>Polgármesteri alap I. (reprezentáció)</t>
  </si>
  <si>
    <t>Helyi autóbuszközlekedés biztosítása</t>
  </si>
  <si>
    <t>TOP-3.2.1-16-BS1-2017-00041 "Termál II."</t>
  </si>
  <si>
    <t>Városnapi díjak</t>
  </si>
  <si>
    <t>Körös-szögi Nonprofit Kft.</t>
  </si>
  <si>
    <t>Szarvasi Hagyományőrző Közalapítvány támogatása</t>
  </si>
  <si>
    <t xml:space="preserve"> Mód. ei. XII.31.</t>
  </si>
  <si>
    <t xml:space="preserve">Összesen </t>
  </si>
  <si>
    <t xml:space="preserve">M </t>
  </si>
  <si>
    <t>eredeti ei.</t>
  </si>
  <si>
    <t>Államigazgatási feladatok</t>
  </si>
  <si>
    <t>Önkormányzati feladatok</t>
  </si>
  <si>
    <t>Önként vállalt</t>
  </si>
  <si>
    <t>Szarvas Város Önkormányzata</t>
  </si>
  <si>
    <t>Polgármester</t>
  </si>
  <si>
    <t>Bizottsági tag</t>
  </si>
  <si>
    <t>Képviselő</t>
  </si>
  <si>
    <t>Köztisztviselő</t>
  </si>
  <si>
    <t>Szakmai (mezőőr)</t>
  </si>
  <si>
    <t>Szarvasi Polgármesteri Hivatal</t>
  </si>
  <si>
    <t>Köztisztviselők</t>
  </si>
  <si>
    <t>Ügyviteli dolgozók</t>
  </si>
  <si>
    <t>Fizikai dolgozók</t>
  </si>
  <si>
    <t>Közfoglalkoztatás szervezők</t>
  </si>
  <si>
    <t>Közfoglalkoztatottak</t>
  </si>
  <si>
    <t>Óvodapedagógus</t>
  </si>
  <si>
    <t xml:space="preserve">Óvodapedagógust segítő </t>
  </si>
  <si>
    <t>Technikai</t>
  </si>
  <si>
    <t>Bölcsőde szakmai</t>
  </si>
  <si>
    <t>Bölcsőde technikai</t>
  </si>
  <si>
    <t>Szakmai (múzeum)</t>
  </si>
  <si>
    <t>Szakmai (könyvtár)</t>
  </si>
  <si>
    <t>Szakmai (Gyerekház)</t>
  </si>
  <si>
    <t>Szarvas Város Önkormányzata összesen:</t>
  </si>
  <si>
    <t>Szarvas Város Óvodája és Bölcsődéje                           3 cím</t>
  </si>
  <si>
    <t>Kimutatás a közvetett támogatásokról</t>
  </si>
  <si>
    <t>Adónem</t>
  </si>
  <si>
    <t>Az önkormányzat rendeletében foglalt       kedvezmény, mentesség</t>
  </si>
  <si>
    <t xml:space="preserve">A </t>
  </si>
  <si>
    <t>Építményadó 41/2009. (XII. 18.)</t>
  </si>
  <si>
    <t>65. évét betöltött egyedülálló</t>
  </si>
  <si>
    <t>Helyi iparűzési adó 1/2016. (I.22.)</t>
  </si>
  <si>
    <t>2,5 mFt adóalapot meg nem haladó vállalkozások</t>
  </si>
  <si>
    <t>orvosok</t>
  </si>
  <si>
    <t>kutatás-fejlesztés</t>
  </si>
  <si>
    <t>Idegenforgalmi adó 40/2009. (XII.18.)</t>
  </si>
  <si>
    <t>70. életévét betöltött magánszemélyek</t>
  </si>
  <si>
    <t>Támogatás összesen</t>
  </si>
  <si>
    <t>KT határozat száma</t>
  </si>
  <si>
    <t>Tárgy</t>
  </si>
  <si>
    <t>Szarvas Város Teljes költségvetés (eFt)</t>
  </si>
  <si>
    <t>Konzorciumi Partner (eFt)</t>
  </si>
  <si>
    <t>Teljes saját forrás (eFt)</t>
  </si>
  <si>
    <t>237/2016. (IV.21.)</t>
  </si>
  <si>
    <t>TOP 1.1.3-15-BS1-2016-0023   Helyi gazdaságfejlesztés (Helyi termékek piacának fejlesztése)</t>
  </si>
  <si>
    <t>345/2016. (V.27.)</t>
  </si>
  <si>
    <t>TOP 1.2.1-15-BS1-2016-00025   Társadalmi és környezeti szempontból fenntartható turizmusfejlesztés (Múzeum)</t>
  </si>
  <si>
    <t>233/2016. (IV.21)</t>
  </si>
  <si>
    <t>TOP 4.2.1-15-BS1-2016-00020  Szociális alapszolgáltatások infrastrukturájának bővítése, fejlesztése (családsegítő Kossuth u. 56-58. sz.</t>
  </si>
  <si>
    <t>353/2016. (VI.03)</t>
  </si>
  <si>
    <t>TOP-7.1.1-16-2016-00048 (Hivatal) Szarvasi helyi közösség közösségi fejlesztési stratégia</t>
  </si>
  <si>
    <t>76/2017. (II.16.)</t>
  </si>
  <si>
    <t>EFOP-3.7.3-16-2017-00085 (Könyvtár) "Egész életen át tartó tanulás biztosítása"</t>
  </si>
  <si>
    <t>436/2017. (VI.29)</t>
  </si>
  <si>
    <t>EFOP-1.2.11-16-2017-00060 Szarvas Hazavár!</t>
  </si>
  <si>
    <t>166/2017. (III.23.)</t>
  </si>
  <si>
    <t>13/2018. (I.18.)</t>
  </si>
  <si>
    <t>525/2017. (VII.31.)</t>
  </si>
  <si>
    <t>524/2017 (VII.31.)</t>
  </si>
  <si>
    <t>TOP-3.2.1-16-BS1-2017-00041 Termál II.</t>
  </si>
  <si>
    <t>510/2017 (VII.31.)</t>
  </si>
  <si>
    <t>TOP-2.1.2-16-BS1-2017-00010 Zöld város kialakítása</t>
  </si>
  <si>
    <t>547/2017 (VII.11.)</t>
  </si>
  <si>
    <t>TOP-3.1.1-16-BS1-2017-00013 Fenntartható települési közlekedésfejlesztés, kerékpáros közlekedés fejlesztése Szarvason és Békésszentadnráson</t>
  </si>
  <si>
    <t>Szarvas Város Óvodája és Bölcsődéje</t>
  </si>
  <si>
    <t>Szarvas Város Óvodája és Bölcsődéje összesen</t>
  </si>
  <si>
    <t>TOP pályázat</t>
  </si>
  <si>
    <t>munkabérek (Központ)</t>
  </si>
  <si>
    <t>munkabérek (Szolgálat)</t>
  </si>
  <si>
    <t>munkabérek (Gyerekház)</t>
  </si>
  <si>
    <t>GINOP pályázat (önerő)</t>
  </si>
  <si>
    <t>munkabéreket terhelő járulékok (Központ)</t>
  </si>
  <si>
    <t>munkabéreket terhelő járulékok (Szolgálat)</t>
  </si>
  <si>
    <t>munkabéreket terhelő járulékok (Gyerekház)</t>
  </si>
  <si>
    <t>Dologi kiadások (Központ)</t>
  </si>
  <si>
    <t>Dologi kiadások (Szolgálat)</t>
  </si>
  <si>
    <t>Dologi kiadások (Gyerekház)</t>
  </si>
  <si>
    <t>tárgyi eszközök beszerzése (Központ)</t>
  </si>
  <si>
    <t>tárgyi eszközök beszerzése (Szolgálat)</t>
  </si>
  <si>
    <t>tárgyi eszközök beszerzése (Gyerekház)</t>
  </si>
  <si>
    <t>Szakmai (Központ)</t>
  </si>
  <si>
    <t>Szakmai (Szolgálat)</t>
  </si>
  <si>
    <t>Technikai (Központ)</t>
  </si>
  <si>
    <t>EFOP- Humán szolg. Fejl. Szarvas térségében</t>
  </si>
  <si>
    <t>EFOP - "Szarvas hazavár"</t>
  </si>
  <si>
    <t>Alpolgármester</t>
  </si>
  <si>
    <t>Oktatási intézmények bevételei (Fő téri Ált. Isk. tornaterem, Bethlen G. u. 11/2.)</t>
  </si>
  <si>
    <t>Gyermekvédelmi támogatás - Erzsébet-utalvány visszaküldése</t>
  </si>
  <si>
    <t>DAREH Önk. Társulás működési támogatása</t>
  </si>
  <si>
    <t>TOP-1.2.1-15-BS1-2016-00025 indikátor</t>
  </si>
  <si>
    <t>Segélyek dologi kiadásai (postaköltség, köztemetés, hulladékdíj-ment. stb.)</t>
  </si>
  <si>
    <t>Szarvasi Krónika Alapítvány</t>
  </si>
  <si>
    <t>TOP-2.1.2-16-BS1-2017-00010 Zöld város</t>
  </si>
  <si>
    <t>ROHU179 "Adminisztratív híd…"</t>
  </si>
  <si>
    <t>várótermi padok, bútorok</t>
  </si>
  <si>
    <t>Szarvasi Futball Klub</t>
  </si>
  <si>
    <t xml:space="preserve">Szarvas Város Önkormányzatának 2020. évi bevételi forrásai </t>
  </si>
  <si>
    <t>2020. évi Eredeti ei.</t>
  </si>
  <si>
    <t>Önkormányzat 2020. évi bevételei</t>
  </si>
  <si>
    <t>Osztalékbevétel (Szarvasi Ált. Inf. Kft.)</t>
  </si>
  <si>
    <t>Polgármesteri Hivatal 2020. évi bevételei</t>
  </si>
  <si>
    <t>Munkaügyi Központ támogatás (közmunka) 2019.10.01-2020.02.29.</t>
  </si>
  <si>
    <t>Szarvas Város Óvodája és Bölcsődéje 2020. évi bevételei</t>
  </si>
  <si>
    <t>Tessedik Sámuel Múzeum és Szárazmalom, Városi Könyvtár 2020. évi bevételei</t>
  </si>
  <si>
    <t>Munkaügyi Központ támogatás (TOP-5.1.1-15) 2019.08.07-2020.04.06.</t>
  </si>
  <si>
    <t>Szarvasi Család- és Gyermekjóléti Központ 2020. évi bevételei</t>
  </si>
  <si>
    <t>Szarvas Város Önkormányzatának 2020. évi működési kiadásai</t>
  </si>
  <si>
    <t>Szarvas Város Önkormányzatának 2020. évi felhalmozási kiadásai</t>
  </si>
  <si>
    <t>Óvoda villámvédelem</t>
  </si>
  <si>
    <t>Lengyel Palota vagyonrendezés</t>
  </si>
  <si>
    <t>Béke u. 1. tetőszigetelés</t>
  </si>
  <si>
    <t>Szarvas Város Önkormányzatának 2020. évi finanszírozási kiadásai</t>
  </si>
  <si>
    <t>Önkormányzat 2020. évi kiadásai</t>
  </si>
  <si>
    <t>Polgármesteri Hivatal 2020. évi kiadásai</t>
  </si>
  <si>
    <t>közmunka program személyi kiadásai 2019.10.01-2020.02.29.</t>
  </si>
  <si>
    <t>közmunka program munkaadói járulékai 2019.10.01-2020.02.29.</t>
  </si>
  <si>
    <t>Szarvas Város Óvoodája és Bölcsődéje 2020. évi kiadásai</t>
  </si>
  <si>
    <t>Tessedik Sámuel Múzeum és Szárazmalom, Városi Könyvtár 2020. évi kiadásai</t>
  </si>
  <si>
    <t>TOP program személyi kiadásai 2019.08.07-2020.04.06.</t>
  </si>
  <si>
    <t>TOP program munkaadói járulékai 2019.08.07-2020.04.06.</t>
  </si>
  <si>
    <t>Család- és Gyermekjóléti Központ 2020. évi kiadásai</t>
  </si>
  <si>
    <t xml:space="preserve">Szarvas Város Önkormányzata 2020. évi hitelállományának, adósságot keletkeztető ügyleteiből adódó kötelezettségeinek alakulása </t>
  </si>
  <si>
    <t>2020. évi kamatfizetés</t>
  </si>
  <si>
    <t>Szarvas Város Önkormányzatának 2020. évi működési, felhalmozási és finanszírozási célú bevételeinek és kiadásainak mérlege</t>
  </si>
  <si>
    <t>2020. Évi előirányzat-felhasználási ütemterv</t>
  </si>
  <si>
    <t>Szarvas Város Önkormányzatának 2020. évi létszámadatai (fő)</t>
  </si>
  <si>
    <t xml:space="preserve">2020. évi költségvetés címenkénti összesítése, kiemelt előirányzati bontásban </t>
  </si>
  <si>
    <t>Fejlesztési tartalék részletezése 2020. év</t>
  </si>
  <si>
    <t>Fejlesztési tartalék eredeti előirányzata: 2020.01.01.</t>
  </si>
  <si>
    <t xml:space="preserve">Működési tartalék részletezése 2020. év </t>
  </si>
  <si>
    <t>Működési tartalék eredeti előirányzata: 2020.01.01.</t>
  </si>
  <si>
    <t>Európai Uniós támogatással megvalósuló projektek 2020. évben</t>
  </si>
  <si>
    <t>2020. évi      kedvezmény, mentesség várható összege</t>
  </si>
  <si>
    <t>Müködési, felhalmozási és finanszírozási célú bevételek és kiadások alakulása államigazgatási, kötelező-, önként vállalt feladatok szerinti bontásban 2020. évben</t>
  </si>
  <si>
    <t>TOP-Könyvtár</t>
  </si>
  <si>
    <t>GINOP-5.2.1-14-2015-0001</t>
  </si>
  <si>
    <t>Vasút út 46-48., Széchenyi u. 2.  orvosi rendelők bevételei</t>
  </si>
  <si>
    <t>GINOP pályázat</t>
  </si>
  <si>
    <t>Közfoglalkoztatás ( 2020.02.29-ig 100 fő, 2020. 03.01-től 97 fő)</t>
  </si>
  <si>
    <t>Falvak, városok Szövetsége</t>
  </si>
  <si>
    <t>ROHU48 "Határmenti katasztrófahelyzetek..."</t>
  </si>
  <si>
    <t>ROHU48 "Határmenti katasztrófahelyzetek ..."</t>
  </si>
  <si>
    <t>Tükör u. felújítása</t>
  </si>
  <si>
    <t>Visegrádi 21830204. sz. projket</t>
  </si>
  <si>
    <t>TOP-1.1.3-15-BS1-2016-00023 Helyi termék piac</t>
  </si>
  <si>
    <t xml:space="preserve">      TOP-1.1.1-16-BS1-2017-00003 Vasút átjáró megnyitása az Orosházi úton</t>
  </si>
  <si>
    <t xml:space="preserve">      KÖFOP-1.2.1-VEKOP-16-2017-00824 ASP</t>
  </si>
  <si>
    <t xml:space="preserve">      TOP-1.1.3-15-BS1-2016-00023 Helyi termék piac</t>
  </si>
  <si>
    <t xml:space="preserve">      TOP-3.2.1-16-BS1-2017-00041 Termál II.</t>
  </si>
  <si>
    <t>TOP-3.1.1-16-BS1-2017-00013 Kerékpáros közlekedés fejlesztés Szarvason és Bszta.</t>
  </si>
  <si>
    <t>Köztemetés megtérítés</t>
  </si>
  <si>
    <t>háziorvosok</t>
  </si>
  <si>
    <t xml:space="preserve">               TOP-1.1.3-15-BS1-2016-00023 Piac (H)</t>
  </si>
  <si>
    <t xml:space="preserve">               TOP-1.2.1-15-BS1-2016-00025 Múzeum (H)</t>
  </si>
  <si>
    <t xml:space="preserve">               TOP-4.2.1-15-BS1-2016-00020 Családsegítő (H)</t>
  </si>
  <si>
    <t xml:space="preserve">               járdák építésének tartaléka</t>
  </si>
  <si>
    <t>Intézmények fenntartási kiadása (Fő téri tornaterem, Ped.szak., Családsegítő)</t>
  </si>
  <si>
    <t>2021. évi egyensúlyi alap</t>
  </si>
  <si>
    <t>Támogatás</t>
  </si>
  <si>
    <t>Saját forrás</t>
  </si>
  <si>
    <t>714/2018. (XII.20.)</t>
  </si>
  <si>
    <t xml:space="preserve">TOP-7.1.1-16-H-ESZA- 2019-000170 Helyi kulturális értékeinek bemutathatóvá tétele a szarvasi Városi Könyvtárban </t>
  </si>
  <si>
    <t>14/2018. (I.18.)</t>
  </si>
  <si>
    <t>TOP-3.2.1-16-BS1-2017-00042 KOMÉP épületenergetikai felújítás (nettó elszámolású)</t>
  </si>
  <si>
    <t>TOP-3.2.1-16-BS1-2018-00090 Közbiztonsági Centrum és a Közfoglalkoztatási központ energetikai fejlesztése</t>
  </si>
  <si>
    <t>2020. évi</t>
  </si>
  <si>
    <t>2019. évi elszámolások</t>
  </si>
  <si>
    <t>ÁHT-on belüli megelőlegezések</t>
  </si>
  <si>
    <t>B814</t>
  </si>
  <si>
    <t>2021. évi állami támogatás előlege</t>
  </si>
  <si>
    <t xml:space="preserve">               TOP-2.1.2-16-BS1-2017-00010 Zöld város</t>
  </si>
  <si>
    <t xml:space="preserve">               TOP-3.2.1-16-BS1-2017-00041 Termál II. pályázatban</t>
  </si>
  <si>
    <t xml:space="preserve">                EFOP-1.2.11-16-2017-00060 Szarvas hazavár!</t>
  </si>
  <si>
    <t xml:space="preserve">          Kubinyi pályázat támogatása</t>
  </si>
  <si>
    <t xml:space="preserve">               további útépítések tartaléka</t>
  </si>
  <si>
    <t xml:space="preserve">               zárt kert pályázat utófinanszírozás</t>
  </si>
  <si>
    <t>Gyermekünkért Jövőnkért Alapítvány</t>
  </si>
  <si>
    <t>EMT-E-19-0186 Kult. Int. Tám. (Víziszínház felújítás)</t>
  </si>
  <si>
    <t>Cervinus Teátrum VP6-19.2.1-54-10-19 pályázatához támogatás</t>
  </si>
  <si>
    <t>GT-k esetleges támogatása közfogl.miatt (Gyerm. 3,5 M+2019. évi maradvány)</t>
  </si>
  <si>
    <t>Felhalmozási célú visszatérítendő támogatások, kölcsönök nyújtása ÁHT-on kívülre</t>
  </si>
  <si>
    <t xml:space="preserve">   Szarvas Kóbor és Elveszett Kutyáiért Állatvédő Egyesület</t>
  </si>
  <si>
    <t>2.4.3</t>
  </si>
  <si>
    <t>K86</t>
  </si>
  <si>
    <t xml:space="preserve">   Fürdő tetőcserép cseréje</t>
  </si>
  <si>
    <t xml:space="preserve">   KOMÉP - Vágóhíd u. 1/1. nyílászárók cseréje</t>
  </si>
  <si>
    <t>Kockázatkezelési tartalék</t>
  </si>
  <si>
    <t xml:space="preserve">               Alföldvíz Zrt Gördülő fejlesztési terv 2018-2019. Br. 116.080.207 Ft (2019. évi eredeti költségvetésben felújításra tervezve br. 58.407.036 Ft, de ebből megy a havaria is!)</t>
  </si>
  <si>
    <t xml:space="preserve">                                  - Csokonai utcai szennyvízvezeték 21.282.124 Ft + ÁFA           </t>
  </si>
  <si>
    <t xml:space="preserve">                                  - Szabadság u. ivóvíz rekonstrukció 39.957.601 Ft + ÁFA</t>
  </si>
  <si>
    <t xml:space="preserve">               40/2015. (II.19.) Lakossági útépítéshez forrás biztosítás 10.000.000 Ft (visszavonva); 54/2017. (II.16.) 25% lakossági önerő, forrás 20.000.000 Ft, 485/2017. (VII.21.) +2.500.000, 77/2018. (II.22.) + 9.066.295, + 374/2018 (VI.21.) Dr. Melich u. kivitelezés 9.060.490 Ft - kock.kez.tart-ból) (2018.III.RM. lakosságtól átvett pénzeszköz 2.607.656 Ft), 646/2018. (XI.22.) Szilvafa utcai útépítés 25% önerő 1.752.434 Ft (kock.kez.tartalékból) (IV. RM. lakosságtól átvett pe. 1.134.844 Ft, 133/2018. (III.22) Csokonai u. útépítés tervezés és engedélyeztetés (Körös-Szigma Bt.) 252.000 Ft ), 2018. V. RM lakosságtól átvett pe. 252.500 Ft, Szilvafa u. -500.000 Ft (Komép), 2019. II. RM. -103.600 Ft, 2019.III. szakhatósági díjak -551.820, lakossági hozz. 702.600 Ft, 2019. IV. RM. Dobó u. - 11.905.894 Ft + ÁFA, Csokonai u. -9.112.500 Ft + ÁFA, Dr. Melich u. -8.257.500 Ft + ÁFA, lakosság hozzáj. +509.250 Ft, 317/2019. (VI.20.) -895.350 Ft műszaki ell.</t>
  </si>
  <si>
    <t xml:space="preserve">                                 135/2018. (III.22) Malom u. útépítés tervezés és engedélyeztetés (Körös-Szigma Bt.) 269.400 Ft </t>
  </si>
  <si>
    <t xml:space="preserve">               301/2015.(VI.18.) Piac tömb átfogó fejlesztése tanulány terv készítés (Építészeti Műhely Kft.)</t>
  </si>
  <si>
    <t xml:space="preserve">               381/2015. (VIII.27) bűzmérő eszköz </t>
  </si>
  <si>
    <t xml:space="preserve">               507/2015.(XI.19.) 2014-2020 pályázati ciklusra tervek, tanulmányok előkészítésére elkülönített összeg (623/2017.IX.14.) 762.000 Ft) + 2018. évi maradványból 10.000.000 Ft, 2019. II.RM. 3.282.694 Ft, III. RM 891.620 Ft, IV. RM 1.866.891 Ft</t>
  </si>
  <si>
    <t xml:space="preserve">                                 403/2019. (VIII.15) Szarvas Város Önkormányzatának útfelújítása és gépbeszerzése közbesz.feladatok (Imperial Tender Kft)</t>
  </si>
  <si>
    <t xml:space="preserve">                                 489/2019. (IX.26.) Kossuth u. 52. EON csatlakozási díj</t>
  </si>
  <si>
    <t xml:space="preserve">                                 555/2019. (XI.21.) "Szarvas Város Önkormányzatának útfelújítása és gépbeszerzése" Bezinai út áttervezése (Tótkaépítőipari Kft)</t>
  </si>
  <si>
    <t xml:space="preserve">                                 556/2019. (XI.21.) "Szarvas Város Önkormányzatának útfelújítása és gépbeszerzése" Középhalmi bekötőút V.KK 900. -58. sz. áttervezése (Körös-Szigma Bt)</t>
  </si>
  <si>
    <t xml:space="preserve">               53/2016.(II.18.) Sportfejlesztési tartalék (10.000.000 Ft - 1.000.000 Ft sportpálya irányító torony karbantartása III.RM.) 2017. évi adó telj. Miatt + 8.469.000 Ft, +3.000.000 Ft (hat. Visszavonás miatt)  (2018.IV.RM adótöbblet 5% = 9.412.459 FT) (2018. V. RM adótöbblet 5%= 12.996.042 Ft), 2019. III. 2,5 M, 2019. IV. RM. 10.484.750 Ft, 2019. V. RM. 10.415.942 Ft)</t>
  </si>
  <si>
    <t xml:space="preserve">                          238/2018.(IV.27.) TAO-forrás bevonásával Szentesi Kosárlabda Klub (Fő tér 3. sportcsarnok és öltözőinek felújítása, eszközbeszerzés</t>
  </si>
  <si>
    <t xml:space="preserve">                          353/2019.(VII.26.) Szarvasi Footbal Club működési támogatás (2019. III. - 5.220.984 Ft, V. -3.017.954 Ft)</t>
  </si>
  <si>
    <r>
      <t xml:space="preserve">                          632/2019. (XII.19.)</t>
    </r>
    <r>
      <rPr>
        <b/>
        <sz val="9"/>
        <rFont val="Arial"/>
        <family val="2"/>
      </rPr>
      <t xml:space="preserve"> visszatérítendő</t>
    </r>
    <r>
      <rPr>
        <sz val="9"/>
        <rFont val="Arial"/>
        <family val="2"/>
      </rPr>
      <t xml:space="preserve"> támogatás a Szarvasi Jégkorong Egyesületnek 2020. évben!!!</t>
    </r>
  </si>
  <si>
    <t xml:space="preserve">               282/2016.(V.19.) Településrendezési eszközök kötelező módosítása keretösszeg (2016., 2017., 2018. évben tervezni!!!) (392/2016. (VI.23.) -1.400.000 Ft), 314/2017. (V.18.) 285.000 Ft, 523/2017.(VII.31) Építészeti és Mérnöni Műhely Kft. 3.556.000 Ft, 2017. III. RM. -1.200.000 Ft, 2018. IV. RM -3.556.000 Ft)</t>
  </si>
  <si>
    <t xml:space="preserve">                                           628/2019.(XII.19.) Nagyfoki holtág és Üdülő sétány holtág felőli területéhet kapcsolódó módosítás (Nemes Roland)</t>
  </si>
  <si>
    <t xml:space="preserve">               444/2016.(VIII.18.) ingatlan  vételi ajánlat (Kossuth u. 52.) 2095/A/3. és 2095/A/4. hrsz. 260/2017. (IV.27.) határozattal további 700.000 Ft</t>
  </si>
  <si>
    <t xml:space="preserve">               588/2016.(XI.24.) Gyógy-Termál Nkft-nek elektromos mérőhely átalakítására támogatás (736.400 Ft 2016-ban)</t>
  </si>
  <si>
    <t xml:space="preserve">               2/2017.(I.09.) VP6-7.2.1-7.4.1.2-16 "Külterületi helyi közutak fejlesztése" 1. célterület pályázat önerő</t>
  </si>
  <si>
    <t xml:space="preserve">               29/2017.(I.19.) Kossuth tér 2. átalakítás engedély terveinek elkészítése (Építészeti és Mérnöki Műhely Kft.)</t>
  </si>
  <si>
    <t xml:space="preserve">               30/2017.(I.19.) Polgármesteri Hivatal Béke 1. bővítéséhez engedély terveinek elkészítése (Építészeti és Mérnöki Műhely Kft.)</t>
  </si>
  <si>
    <t xml:space="preserve">               53/2017.(II.16.) orvoshiány megoldására ösztöndíj keret</t>
  </si>
  <si>
    <t xml:space="preserve">                            593/2018. (X.18.) Dr. Patai Krisztina szerződés 2018. november 1-től 46 hónapra havi nettó 75.000 Ft</t>
  </si>
  <si>
    <t xml:space="preserve">               111/2017.(III.10.) Modern zenei kreatív ház kialakítása, engedélyes terv (Kompakt Design Mérnöki Kft.)</t>
  </si>
  <si>
    <t xml:space="preserve">               198/2017.(IV.19.) Interreg Románia-Magyarország V. program Sólyomkővárral benyújt. pály."A természeti és kulturális örökség megőrzése, védelme és fejl." Önerő: 10.150 € (árfolyam 2017.04.18. 312,92 Ft)</t>
  </si>
  <si>
    <t xml:space="preserve">               231/2017.(IV.27.) Interreg Románia-Magyarország V. program - Békés Megyéért Vállalkozásfejl. Alapítvány "Gallicoop kereszteződés" körforg. Megvalósításhoz hozzájárulás</t>
  </si>
  <si>
    <t xml:space="preserve">               516/2017.(VII.31.) TOP-1.2.1-16 "Társadalmi és környezeti szempontból fenntartható turizmusfejlesztés" Palánkvár terv (Szarvasi Városterv Kft.) ha nyer, elszámolható</t>
  </si>
  <si>
    <t xml:space="preserve">               516/2017.(VII.31.) TOP-1.2.1-16 "Társadalmi és környezeti szempontból fenntartható turizmusfejlesztés" Szent István park felújítása, parti bástya terv (Szarvasi Városterv Kft.) ha nyer, elszámolható</t>
  </si>
  <si>
    <t xml:space="preserve">               17/2018.(I.18.) Kossuth u. 52. gázvezeték áthelyezés</t>
  </si>
  <si>
    <t xml:space="preserve">               90/2018.(II.22.) szarvasi felsőoktatási intézményben tanuló nappali tagozatos diákok részére támogatási keret (2018. IV. RM (45 fő) 2.250.000 Ft)</t>
  </si>
  <si>
    <t xml:space="preserve">               196/2018.(IV.19.) Kossuth u. 44. és 46. -ból telekrész megvásárlására ajánlat kb. 3.540.000 Ft</t>
  </si>
  <si>
    <t xml:space="preserve">               199/2018.(IV.19.) Kossuth u. 3. ARTSTART Művészeti- és Kulturális Szolg. Bt. Antennatorony megvásárlására ajánlat</t>
  </si>
  <si>
    <t xml:space="preserve">               TOP megelőlegezések visszapótlása (624/2017.(IX.14.) 2.342.347 Ft Garai Szolg. Mittrovszky kastély) + 25.839.267 Ft (III.RM. Visszapótlás) (692/2017. (X.19.) KOMÉP - 19.910.362 Ft)</t>
  </si>
  <si>
    <t xml:space="preserve">               397/2018.(VI.21.) "Successful Roma" pályázat önerő - 10.800 €, (Norvég Alap) 3.502.764 Ft HITEL!!!!!!!!!!!!!!</t>
  </si>
  <si>
    <t xml:space="preserve">               452/2018.(VIII.03.) napelempark mérési műszaki terv (Wernervill Kft)</t>
  </si>
  <si>
    <t xml:space="preserve">               Szarvasi Ált. Informatikai Kft. 2017. évi osztalékbevétel többlet</t>
  </si>
  <si>
    <t xml:space="preserve">               Szarvasi Ált. Informatikai Kft. 2018. évi osztalékbevétel előleg</t>
  </si>
  <si>
    <t xml:space="preserve">                            608/2018.(X.26.) TOP-1.2.1-16 "Erzsébet-ligeti Pavilon turisztikai fejlesztése" üzleti terv (Aditus Zrt.) bruttó 6.350.000 Ft (ha nyer elszámolható a nettó, ÁFA visszaigényelhető)</t>
  </si>
  <si>
    <t xml:space="preserve">                            715/2018.(XII.20.) Tudományos és Technológiai Park pályázat előkészítés (Ipari-, Tudományos-, Innovációs és Technológiai Parkok Egyesülete (2019.III. - 3.276.600 Ft)</t>
  </si>
  <si>
    <t xml:space="preserve">                            292/2019. (V.31.) Kubinyi program - Ruzicskay lakóház felújítás</t>
  </si>
  <si>
    <t xml:space="preserve">               gépjármű parkolók kialakítása</t>
  </si>
  <si>
    <t xml:space="preserve">              203/2019.(IV.25.) Széchenyi u. 2. takarófal készítés - keretösszeg</t>
  </si>
  <si>
    <t xml:space="preserve">              NKA Víziszínház támogatása</t>
  </si>
  <si>
    <t xml:space="preserve">              321/2019.(VI.20.) Pavilon engedélyezési terv (Oros-Ház Kft.)</t>
  </si>
  <si>
    <t xml:space="preserve">              Óvoda támogatása fejlesztésekre (ÁHT-on kívüli támogatás)</t>
  </si>
  <si>
    <t xml:space="preserve">             482/2019. (IX.26.) Szellemi inkubátorhá kialakítása (Szécsi Attila)</t>
  </si>
  <si>
    <t xml:space="preserve">                             646/2019. (XII.19.) irodai bútor (Szarvas Coop)</t>
  </si>
  <si>
    <t xml:space="preserve">                             647/2019. (XII.19.) informatikai eszköz (Print Solutions)</t>
  </si>
  <si>
    <t xml:space="preserve">             559/2019. (XI.21.) INTERREG Duna Tr. Program (Helyi értékek megerősítésének fejlett, partneri együttműködésen alapuló megoldásai" önerő</t>
  </si>
  <si>
    <t xml:space="preserve">             634/2019. (XII.19.) TOP-3.2.1-16-BS1-2018-00090 Közbiztonsági Centrum és Közfog. Központ ép. Energetikai fejlesztése tervek (Majoros Zoltán)</t>
  </si>
  <si>
    <t xml:space="preserve">             638/2019. (XII.19.) TOP-3.2.1-16-BS1-2018-00090 Közbiztonsági Centrum és Közfog. Központ ép. Energetikai fejlesztése műszaki ellenőrzés 311.150 Ft-ból  (CADteam Elektrocontroll)</t>
  </si>
  <si>
    <t xml:space="preserve">             639/2019. (XII.19.) TOP-3.2.1-16-BS1-2018-00090 Közbiztonsági Centrum és Közfog. Központ ép. Energetikai fejlesztése projektmen. 635.000 Ft-ból (Vaskúti Közterületfenntartó Nkft.)</t>
  </si>
  <si>
    <t xml:space="preserve">  Kockázatkezelési tartalék szabad maradványa </t>
  </si>
  <si>
    <t>512/2013 Melis György szobor állításához önerő+nevezési díj (Operamúzeumra szánt pénz)</t>
  </si>
  <si>
    <t>515/2013 Múzeumnak felhalm.kiadásra átcsoportosítás</t>
  </si>
  <si>
    <t>Jegykiadó rendszer létrehozása 3 helyszínen (3 db pénztárgép beszerzése 2016-ban 525.780 Ft)</t>
  </si>
  <si>
    <t xml:space="preserve">              Bútor vásárlása (40 db szék, 2 db asztal) (felhasználva 160/2015. IV.23.) hat. alapján 1.396.800 Ft</t>
  </si>
  <si>
    <t>2018-2019. évi területalapú támogatás</t>
  </si>
  <si>
    <t>Ipari Park (Inkubátorház) 2016.12.31-i bankszámla egyenlege (39.062.741 Ft), 2017.12.31-i bankszámla egyenlege 50.407.712 Ft (459/2018. (VIII.03.) átcspo. 39.800.033 Ft)</t>
  </si>
  <si>
    <t>Szentesi u. lakópark elsz. kötelezettsége 2016.12.31-i bankszámla egyenlege (20.277.628 Ft), 2017.12.31-i bankszámla egyenlege 21.690.035 Ft</t>
  </si>
  <si>
    <t>4 db szociális bérlakás elsz. kötelezettsége 2016.12.31.-i bankszámla egyenlege (52.459.838 Ft), 2017.12.31-i bankszámla egyenlege 58.227.803 Ft</t>
  </si>
  <si>
    <t>Víziközmű számla egyenlege 2016.12.31-i bankszámla egyenlege (22.866.569 Ft), 2017.12.31-i bankszámla egyenlege 23.186.612 Ft</t>
  </si>
  <si>
    <t>Uniós pályázatok szláit érintő kamatbevételek 2016.12.31.</t>
  </si>
  <si>
    <t>bérlakások bevétele</t>
  </si>
  <si>
    <t xml:space="preserve">Bérlakás építési számla egyenlege </t>
  </si>
  <si>
    <t>Szabad tartalék</t>
  </si>
  <si>
    <t>Múzeum Ruzicskay közgyüjtemény működési kiadásai</t>
  </si>
  <si>
    <t>Ruzicskay Alapítvány pénzkészlet</t>
  </si>
  <si>
    <t>Mobilitási Hét támogatása 2016-2018. év</t>
  </si>
  <si>
    <t>Legjobb önkormányzati gyarkolat program támogatása</t>
  </si>
  <si>
    <t xml:space="preserve">            FIABCI pályázat nevezési díj (5.000 euro)</t>
  </si>
  <si>
    <t>közfoglalkoztatás 2019.02.28-ig támogatás</t>
  </si>
  <si>
    <t>755/2017. (XI.16.) KAB-KEF-17-A önerő</t>
  </si>
  <si>
    <t xml:space="preserve">közmunka program működési bevétele </t>
  </si>
  <si>
    <t>Erdélyi Attila munkássága - elkülönített keret - 2016.12.31-ig fel nem használt rész (Múzeum) 849.398 Ft - II.RM: - 388.531 Ft</t>
  </si>
  <si>
    <t>Szabó László játékkiállításra madvány - elkülönített keret - 2016.12.31-ig fel nem használt rész (Múzeum) 329.469 Ft - II.RM: -86.680</t>
  </si>
  <si>
    <t>Szociális földprogram működési bevétele</t>
  </si>
  <si>
    <t>Régészeti bevételi miatti megtérülés tartaléka</t>
  </si>
  <si>
    <t>610/2017. (IX.14.) "Mindennapi hőseink" képeskönyv támogatása (Kiss János)</t>
  </si>
  <si>
    <t>236/2018. (IV.27.) KAB-KEF-18-A  működési feltételek és programok támogatása ÖNERŐ+pályázati díj</t>
  </si>
  <si>
    <t>237/2018. (IV.27.) KAB-FF-A  Szenvedélybetegek felépülési folyamatainak támogatása ÖNERŐ+pályázati díj</t>
  </si>
  <si>
    <t>Virágosítás Szarvason pályázat</t>
  </si>
  <si>
    <t xml:space="preserve">                          15/2020. (I.23) Magyar Kézilabda Szövetség tornaterem felújítási program min. 9 M önerő</t>
  </si>
  <si>
    <t xml:space="preserve">                            16/2020. (I.23.) Szentesi út 11. A,B,C lépcsőház szigetelés</t>
  </si>
  <si>
    <t>Kistérség KEOP eszközök bérbeadása</t>
  </si>
  <si>
    <t>Kistérség szélessávú informatikai hálózat ért.</t>
  </si>
  <si>
    <t>2020. évi 00. havi állami támogatás megelőlegezése</t>
  </si>
  <si>
    <t>Müködési, felhalmozási és finanszírozási célú bevételek és kiadások alakulása 2020-2023. években</t>
  </si>
  <si>
    <t>1/a melléklet a 4/2020.(II.21.) önkormányzati rendelethez</t>
  </si>
  <si>
    <t>1/b melléklet a 4/2020.(II.21) önkormányzati rendelethez</t>
  </si>
  <si>
    <t>1/c melléklet a 4/2020.(II.21) önkormányzati rendelethez</t>
  </si>
  <si>
    <t>1/d melléklet a 4/2020.(II.21) önkormányzati rendelethez</t>
  </si>
  <si>
    <t>2 melléklet a 4/2020.(II.21.) önkormányzati rendelethez</t>
  </si>
  <si>
    <t>2/b melléklet a 4/2020.(II.21.) önkormányzati rendelethez</t>
  </si>
  <si>
    <t>2/c melléklet a 4/2020.(II.21.) önkormányzati rendelethez</t>
  </si>
  <si>
    <t>2/d melléklet a 4/2020.(II.21.) önkormányzati rendelethez</t>
  </si>
  <si>
    <t>2/e melléklet a 4/2020.(II.21.) önkormányzati rendelethez</t>
  </si>
  <si>
    <t>3 melléklet a 4/2020.(II.21.) önkormányzati rendelethez</t>
  </si>
  <si>
    <t>4 melléklet a 4/2020.(II.21.) önkormányzati rendelethez</t>
  </si>
  <si>
    <t>5 melléklet a 4/2020.(II.21.) önkormányzati rendelethez</t>
  </si>
  <si>
    <t>6 melléklet a 4/2020.(II.21.) önkormányzati rendelethez</t>
  </si>
  <si>
    <t>7 melléklet a 4/2020.(II.21.) önkormányzati rendelethez</t>
  </si>
  <si>
    <t>9 melléklet a 4/2020.(II.21.) önkormányzati rendelethez</t>
  </si>
  <si>
    <t>10 melléklet a 4/2020.(II.21.) önkormányzati rendelethez</t>
  </si>
  <si>
    <t>11/a melléklet a 4/2020.(II.21.) önkormányzati rendelethez</t>
  </si>
  <si>
    <t>11/b melléklet a 4/2020. (II.21.) önkormányzati rendelethez</t>
  </si>
  <si>
    <t>12 melléklet a 4/2020.(II.21.) önkormányzati rendelethez</t>
  </si>
  <si>
    <t>13 melléklet a 4/2020.(II.21.) önkormányzati rendelethez</t>
  </si>
  <si>
    <t>1/e melléklet a 4/2020.(II.21.) önkormányzati rendelethez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</si>
</sst>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mmm\ d/"/>
    <numFmt numFmtId="173" formatCode="#,##0\ _F_t"/>
    <numFmt numFmtId="174" formatCode="0.0"/>
    <numFmt numFmtId="175" formatCode="#,##0.0"/>
    <numFmt numFmtId="176" formatCode="#,##0\ [$€-1];[Red]\-#,##0\ [$€-1]"/>
    <numFmt numFmtId="177" formatCode="[$€-2]\ #,##0;[Red]\-[$€-2]\ #,##0"/>
    <numFmt numFmtId="178" formatCode="[$-40E]yyyy\.\ mmmm\ d\."/>
    <numFmt numFmtId="179" formatCode="#,##0_ ;[Red]\-#,##0\ "/>
    <numFmt numFmtId="180" formatCode="\+\ 0"/>
    <numFmt numFmtId="181" formatCode="\+\2.\2%"/>
    <numFmt numFmtId="182" formatCode="\+\ .\2%"/>
    <numFmt numFmtId="183" formatCode="0.0%"/>
    <numFmt numFmtId="184" formatCode="\+\ .\4%"/>
    <numFmt numFmtId="185" formatCode="\+\ .\7%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#,##0.000"/>
    <numFmt numFmtId="193" formatCode="#,##0_ ;\-#,##0\ "/>
    <numFmt numFmtId="194" formatCode="0_ ;\-0\ "/>
    <numFmt numFmtId="195" formatCode="yyyy\-mm\-dd;@"/>
    <numFmt numFmtId="196" formatCode="mmm/yyyy"/>
    <numFmt numFmtId="197" formatCode="m\.\ d\.;@"/>
    <numFmt numFmtId="198" formatCode="_-* #,##0.000\ _F_t_-;\-* #,##0.000\ _F_t_-;_-* &quot;-&quot;??\ _F_t_-;_-@_-"/>
    <numFmt numFmtId="199" formatCode="_-* #,##0.0000\ _F_t_-;\-* #,##0.0000\ _F_t_-;_-* &quot;-&quot;??\ _F_t_-;_-@_-"/>
    <numFmt numFmtId="200" formatCode="#,##0\ &quot;Ft&quot;"/>
    <numFmt numFmtId="201" formatCode="[$-40E]yyyy\.\ mmmm\ d\.\,\ dddd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u val="single"/>
      <sz val="7.5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4" borderId="0" applyNumberFormat="0" applyBorder="0" applyAlignment="0" applyProtection="0"/>
    <xf numFmtId="0" fontId="15" fillId="28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9" borderId="0" applyNumberFormat="0" applyBorder="0" applyAlignment="0" applyProtection="0"/>
    <xf numFmtId="0" fontId="21" fillId="28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3" fontId="23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10" fillId="0" borderId="0" xfId="66" applyFont="1" applyFill="1" applyBorder="1" applyAlignment="1">
      <alignment horizontal="left" vertical="center" wrapText="1"/>
      <protection/>
    </xf>
    <xf numFmtId="3" fontId="10" fillId="0" borderId="0" xfId="66" applyNumberFormat="1" applyFont="1" applyBorder="1" applyAlignment="1">
      <alignment horizontal="center" vertical="center"/>
      <protection/>
    </xf>
    <xf numFmtId="3" fontId="26" fillId="0" borderId="0" xfId="66" applyNumberFormat="1" applyFont="1" applyBorder="1" applyAlignment="1">
      <alignment vertical="center" wrapText="1"/>
      <protection/>
    </xf>
    <xf numFmtId="3" fontId="26" fillId="0" borderId="0" xfId="66" applyNumberFormat="1" applyFont="1" applyBorder="1" applyAlignment="1">
      <alignment vertical="center"/>
      <protection/>
    </xf>
    <xf numFmtId="0" fontId="10" fillId="0" borderId="0" xfId="66" applyFont="1">
      <alignment/>
      <protection/>
    </xf>
    <xf numFmtId="0" fontId="26" fillId="0" borderId="0" xfId="66" applyFont="1" applyBorder="1" applyAlignment="1">
      <alignment horizontal="center"/>
      <protection/>
    </xf>
    <xf numFmtId="0" fontId="10" fillId="0" borderId="0" xfId="66" applyFont="1" applyAlignment="1">
      <alignment/>
      <protection/>
    </xf>
    <xf numFmtId="0" fontId="26" fillId="0" borderId="12" xfId="66" applyFont="1" applyBorder="1" applyAlignment="1">
      <alignment horizontal="center"/>
      <protection/>
    </xf>
    <xf numFmtId="0" fontId="26" fillId="0" borderId="12" xfId="66" applyFont="1" applyBorder="1" applyAlignment="1">
      <alignment horizontal="right"/>
      <protection/>
    </xf>
    <xf numFmtId="0" fontId="26" fillId="0" borderId="13" xfId="68" applyFont="1" applyBorder="1" applyAlignment="1">
      <alignment/>
      <protection/>
    </xf>
    <xf numFmtId="0" fontId="26" fillId="0" borderId="14" xfId="68" applyFont="1" applyBorder="1" applyAlignment="1">
      <alignment/>
      <protection/>
    </xf>
    <xf numFmtId="0" fontId="26" fillId="0" borderId="15" xfId="68" applyFont="1" applyFill="1" applyBorder="1" applyAlignment="1">
      <alignment horizontal="right"/>
      <protection/>
    </xf>
    <xf numFmtId="0" fontId="26" fillId="0" borderId="16" xfId="68" applyFont="1" applyBorder="1" applyAlignment="1">
      <alignment horizontal="right"/>
      <protection/>
    </xf>
    <xf numFmtId="0" fontId="26" fillId="0" borderId="16" xfId="68" applyFont="1" applyFill="1" applyBorder="1" applyAlignment="1">
      <alignment/>
      <protection/>
    </xf>
    <xf numFmtId="0" fontId="10" fillId="0" borderId="0" xfId="68" applyFont="1">
      <alignment/>
      <protection/>
    </xf>
    <xf numFmtId="0" fontId="10" fillId="0" borderId="0" xfId="68" applyFont="1" applyBorder="1">
      <alignment/>
      <protection/>
    </xf>
    <xf numFmtId="0" fontId="26" fillId="0" borderId="0" xfId="68" applyFont="1" applyFill="1" applyBorder="1" applyAlignment="1">
      <alignment/>
      <protection/>
    </xf>
    <xf numFmtId="0" fontId="10" fillId="0" borderId="17" xfId="66" applyFont="1" applyFill="1" applyBorder="1">
      <alignment/>
      <protection/>
    </xf>
    <xf numFmtId="0" fontId="10" fillId="0" borderId="17" xfId="66" applyFont="1" applyBorder="1">
      <alignment/>
      <protection/>
    </xf>
    <xf numFmtId="3" fontId="10" fillId="0" borderId="17" xfId="66" applyNumberFormat="1" applyFont="1" applyBorder="1" applyAlignment="1">
      <alignment horizontal="center"/>
      <protection/>
    </xf>
    <xf numFmtId="0" fontId="10" fillId="0" borderId="0" xfId="66" applyFont="1" applyBorder="1">
      <alignment/>
      <protection/>
    </xf>
    <xf numFmtId="3" fontId="10" fillId="0" borderId="0" xfId="66" applyNumberFormat="1" applyFont="1" applyBorder="1" applyAlignment="1">
      <alignment horizontal="center"/>
      <protection/>
    </xf>
    <xf numFmtId="0" fontId="10" fillId="0" borderId="0" xfId="66" applyFont="1" applyAlignment="1">
      <alignment horizontal="center"/>
      <protection/>
    </xf>
    <xf numFmtId="3" fontId="10" fillId="0" borderId="0" xfId="66" applyNumberFormat="1" applyFont="1" applyBorder="1">
      <alignment/>
      <protection/>
    </xf>
    <xf numFmtId="3" fontId="10" fillId="0" borderId="0" xfId="66" applyNumberFormat="1" applyFont="1" applyBorder="1" applyAlignment="1">
      <alignment/>
      <protection/>
    </xf>
    <xf numFmtId="0" fontId="26" fillId="0" borderId="0" xfId="66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10" fillId="0" borderId="0" xfId="65" applyFont="1">
      <alignment/>
      <protection/>
    </xf>
    <xf numFmtId="0" fontId="29" fillId="0" borderId="0" xfId="65" applyFont="1" applyAlignment="1">
      <alignment horizontal="right"/>
      <protection/>
    </xf>
    <xf numFmtId="0" fontId="10" fillId="0" borderId="0" xfId="65" applyFont="1" applyAlignment="1">
      <alignment horizontal="right"/>
      <protection/>
    </xf>
    <xf numFmtId="0" fontId="26" fillId="0" borderId="18" xfId="65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3" fontId="31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3" fontId="30" fillId="0" borderId="0" xfId="0" applyNumberFormat="1" applyFont="1" applyAlignment="1">
      <alignment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30" fillId="0" borderId="19" xfId="0" applyFont="1" applyBorder="1" applyAlignment="1">
      <alignment/>
    </xf>
    <xf numFmtId="3" fontId="30" fillId="0" borderId="19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0" fillId="0" borderId="17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22" xfId="62" applyNumberFormat="1" applyFont="1" applyBorder="1">
      <alignment/>
      <protection/>
    </xf>
    <xf numFmtId="9" fontId="0" fillId="0" borderId="17" xfId="62" applyNumberFormat="1" applyFont="1" applyBorder="1">
      <alignment/>
      <protection/>
    </xf>
    <xf numFmtId="3" fontId="0" fillId="0" borderId="20" xfId="62" applyNumberFormat="1" applyFont="1" applyBorder="1">
      <alignment/>
      <protection/>
    </xf>
    <xf numFmtId="3" fontId="28" fillId="0" borderId="21" xfId="62" applyNumberFormat="1" applyFont="1" applyBorder="1">
      <alignment/>
      <protection/>
    </xf>
    <xf numFmtId="3" fontId="0" fillId="0" borderId="23" xfId="62" applyNumberFormat="1" applyFont="1" applyBorder="1">
      <alignment/>
      <protection/>
    </xf>
    <xf numFmtId="3" fontId="28" fillId="0" borderId="28" xfId="62" applyNumberFormat="1" applyFont="1" applyBorder="1">
      <alignment/>
      <protection/>
    </xf>
    <xf numFmtId="3" fontId="30" fillId="0" borderId="0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1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3" fontId="30" fillId="0" borderId="0" xfId="0" applyNumberFormat="1" applyFont="1" applyAlignment="1">
      <alignment/>
    </xf>
    <xf numFmtId="3" fontId="31" fillId="0" borderId="11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29" fillId="0" borderId="0" xfId="66" applyFont="1" applyAlignment="1">
      <alignment/>
      <protection/>
    </xf>
    <xf numFmtId="0" fontId="26" fillId="0" borderId="0" xfId="66" applyFont="1">
      <alignment/>
      <protection/>
    </xf>
    <xf numFmtId="0" fontId="29" fillId="0" borderId="0" xfId="66" applyFont="1" applyAlignment="1">
      <alignment horizontal="right"/>
      <protection/>
    </xf>
    <xf numFmtId="0" fontId="26" fillId="0" borderId="0" xfId="66" applyFont="1" applyAlignment="1">
      <alignment/>
      <protection/>
    </xf>
    <xf numFmtId="0" fontId="32" fillId="0" borderId="0" xfId="66" applyFont="1" applyBorder="1" applyAlignment="1">
      <alignment vertical="top"/>
      <protection/>
    </xf>
    <xf numFmtId="0" fontId="32" fillId="0" borderId="0" xfId="66" applyFont="1" applyAlignment="1">
      <alignment horizontal="center" vertical="top"/>
      <protection/>
    </xf>
    <xf numFmtId="0" fontId="32" fillId="0" borderId="0" xfId="66" applyFont="1" applyAlignment="1">
      <alignment vertical="top"/>
      <protection/>
    </xf>
    <xf numFmtId="0" fontId="10" fillId="0" borderId="0" xfId="66" applyFont="1" applyAlignment="1">
      <alignment vertical="top"/>
      <protection/>
    </xf>
    <xf numFmtId="0" fontId="26" fillId="0" borderId="0" xfId="66" applyFont="1" applyBorder="1" applyAlignment="1">
      <alignment vertical="top"/>
      <protection/>
    </xf>
    <xf numFmtId="0" fontId="10" fillId="0" borderId="29" xfId="66" applyFont="1" applyBorder="1">
      <alignment/>
      <protection/>
    </xf>
    <xf numFmtId="0" fontId="10" fillId="0" borderId="30" xfId="66" applyFont="1" applyBorder="1">
      <alignment/>
      <protection/>
    </xf>
    <xf numFmtId="0" fontId="26" fillId="0" borderId="18" xfId="66" applyFont="1" applyBorder="1" applyAlignment="1">
      <alignment horizontal="center" vertical="center" wrapText="1"/>
      <protection/>
    </xf>
    <xf numFmtId="0" fontId="26" fillId="0" borderId="29" xfId="66" applyFont="1" applyBorder="1" applyAlignment="1">
      <alignment horizontal="center" vertical="top" wrapText="1"/>
      <protection/>
    </xf>
    <xf numFmtId="0" fontId="26" fillId="0" borderId="30" xfId="66" applyFont="1" applyBorder="1" applyAlignment="1">
      <alignment horizontal="center" vertical="top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22" fillId="0" borderId="18" xfId="66" applyFont="1" applyBorder="1" applyAlignment="1">
      <alignment horizontal="center" vertical="center" wrapText="1"/>
      <protection/>
    </xf>
    <xf numFmtId="0" fontId="10" fillId="30" borderId="29" xfId="66" applyFont="1" applyFill="1" applyBorder="1" applyAlignment="1">
      <alignment vertical="top"/>
      <protection/>
    </xf>
    <xf numFmtId="0" fontId="10" fillId="30" borderId="30" xfId="66" applyFont="1" applyFill="1" applyBorder="1" applyAlignment="1">
      <alignment vertical="top" wrapText="1"/>
      <protection/>
    </xf>
    <xf numFmtId="3" fontId="10" fillId="30" borderId="18" xfId="66" applyNumberFormat="1" applyFont="1" applyFill="1" applyBorder="1" applyAlignment="1">
      <alignment vertical="center" wrapText="1"/>
      <protection/>
    </xf>
    <xf numFmtId="3" fontId="10" fillId="0" borderId="18" xfId="66" applyNumberFormat="1" applyFont="1" applyBorder="1" applyAlignment="1">
      <alignment vertical="center" wrapText="1"/>
      <protection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/>
    </xf>
    <xf numFmtId="3" fontId="30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0" fontId="25" fillId="0" borderId="17" xfId="0" applyFont="1" applyBorder="1" applyAlignment="1">
      <alignment/>
    </xf>
    <xf numFmtId="0" fontId="30" fillId="0" borderId="11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3" fontId="3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41" fillId="0" borderId="0" xfId="63" applyFont="1">
      <alignment/>
      <protection/>
    </xf>
    <xf numFmtId="0" fontId="41" fillId="0" borderId="31" xfId="63" applyFont="1" applyBorder="1" applyAlignment="1">
      <alignment horizontal="center" vertical="center" wrapText="1"/>
      <protection/>
    </xf>
    <xf numFmtId="0" fontId="41" fillId="0" borderId="16" xfId="63" applyFont="1" applyBorder="1" applyAlignment="1">
      <alignment horizontal="left" vertical="center" wrapText="1"/>
      <protection/>
    </xf>
    <xf numFmtId="0" fontId="41" fillId="0" borderId="16" xfId="63" applyFont="1" applyBorder="1" applyAlignment="1">
      <alignment horizontal="right" vertical="center" wrapText="1"/>
      <protection/>
    </xf>
    <xf numFmtId="0" fontId="42" fillId="0" borderId="16" xfId="63" applyFont="1" applyBorder="1">
      <alignment/>
      <protection/>
    </xf>
    <xf numFmtId="0" fontId="42" fillId="0" borderId="16" xfId="63" applyFont="1" applyBorder="1" applyAlignment="1">
      <alignment horizontal="right" vertical="center"/>
      <protection/>
    </xf>
    <xf numFmtId="0" fontId="41" fillId="0" borderId="31" xfId="63" applyFont="1" applyBorder="1">
      <alignment/>
      <protection/>
    </xf>
    <xf numFmtId="0" fontId="41" fillId="0" borderId="16" xfId="63" applyFont="1" applyBorder="1">
      <alignment/>
      <protection/>
    </xf>
    <xf numFmtId="0" fontId="41" fillId="0" borderId="17" xfId="63" applyFont="1" applyBorder="1" applyAlignment="1">
      <alignment vertical="center"/>
      <protection/>
    </xf>
    <xf numFmtId="0" fontId="41" fillId="0" borderId="16" xfId="63" applyFont="1" applyBorder="1" applyAlignment="1">
      <alignment vertical="center"/>
      <protection/>
    </xf>
    <xf numFmtId="0" fontId="41" fillId="0" borderId="17" xfId="63" applyFont="1" applyBorder="1">
      <alignment/>
      <protection/>
    </xf>
    <xf numFmtId="0" fontId="43" fillId="0" borderId="0" xfId="67" applyFont="1" applyAlignment="1">
      <alignment vertical="center"/>
      <protection/>
    </xf>
    <xf numFmtId="0" fontId="10" fillId="0" borderId="18" xfId="65" applyFont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left" vertical="center" wrapText="1"/>
      <protection/>
    </xf>
    <xf numFmtId="0" fontId="10" fillId="0" borderId="18" xfId="65" applyFont="1" applyBorder="1">
      <alignment/>
      <protection/>
    </xf>
    <xf numFmtId="3" fontId="10" fillId="0" borderId="16" xfId="65" applyNumberFormat="1" applyFont="1" applyBorder="1" applyAlignment="1">
      <alignment horizontal="right" vertical="center"/>
      <protection/>
    </xf>
    <xf numFmtId="3" fontId="10" fillId="0" borderId="18" xfId="65" applyNumberFormat="1" applyFont="1" applyBorder="1" applyAlignment="1">
      <alignment horizontal="right" vertical="center"/>
      <protection/>
    </xf>
    <xf numFmtId="0" fontId="10" fillId="0" borderId="29" xfId="65" applyFont="1" applyBorder="1">
      <alignment/>
      <protection/>
    </xf>
    <xf numFmtId="0" fontId="26" fillId="0" borderId="30" xfId="65" applyFont="1" applyBorder="1">
      <alignment/>
      <protection/>
    </xf>
    <xf numFmtId="3" fontId="26" fillId="0" borderId="18" xfId="65" applyNumberFormat="1" applyFont="1" applyBorder="1">
      <alignment/>
      <protection/>
    </xf>
    <xf numFmtId="3" fontId="24" fillId="0" borderId="14" xfId="68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Alignment="1">
      <alignment horizontal="center" vertical="center" wrapText="1"/>
    </xf>
    <xf numFmtId="3" fontId="23" fillId="0" borderId="11" xfId="68" applyNumberFormat="1" applyFont="1" applyBorder="1" applyAlignment="1">
      <alignment horizontal="center" vertical="center" wrapText="1"/>
      <protection/>
    </xf>
    <xf numFmtId="0" fontId="23" fillId="0" borderId="11" xfId="68" applyFont="1" applyBorder="1" applyAlignment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0" fontId="30" fillId="0" borderId="19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3" fontId="23" fillId="0" borderId="11" xfId="68" applyNumberFormat="1" applyFont="1" applyBorder="1" applyAlignment="1">
      <alignment horizontal="center" vertical="center" wrapText="1"/>
      <protection/>
    </xf>
    <xf numFmtId="0" fontId="23" fillId="0" borderId="11" xfId="68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23" fillId="0" borderId="32" xfId="63" applyFont="1" applyBorder="1">
      <alignment/>
      <protection/>
    </xf>
    <xf numFmtId="0" fontId="23" fillId="0" borderId="16" xfId="63" applyFont="1" applyBorder="1">
      <alignment/>
      <protection/>
    </xf>
    <xf numFmtId="0" fontId="23" fillId="0" borderId="18" xfId="63" applyFont="1" applyBorder="1">
      <alignment/>
      <protection/>
    </xf>
    <xf numFmtId="0" fontId="23" fillId="0" borderId="33" xfId="63" applyFont="1" applyBorder="1">
      <alignment/>
      <protection/>
    </xf>
    <xf numFmtId="0" fontId="23" fillId="0" borderId="0" xfId="63" applyFont="1">
      <alignment/>
      <protection/>
    </xf>
    <xf numFmtId="0" fontId="24" fillId="0" borderId="18" xfId="63" applyFont="1" applyBorder="1">
      <alignment/>
      <protection/>
    </xf>
    <xf numFmtId="0" fontId="23" fillId="0" borderId="31" xfId="63" applyFont="1" applyBorder="1">
      <alignment/>
      <protection/>
    </xf>
    <xf numFmtId="0" fontId="23" fillId="0" borderId="17" xfId="63" applyFont="1" applyBorder="1" applyAlignment="1">
      <alignment vertical="center"/>
      <protection/>
    </xf>
    <xf numFmtId="0" fontId="23" fillId="0" borderId="34" xfId="63" applyFont="1" applyBorder="1">
      <alignment/>
      <protection/>
    </xf>
    <xf numFmtId="0" fontId="23" fillId="0" borderId="15" xfId="63" applyFont="1" applyBorder="1">
      <alignment/>
      <protection/>
    </xf>
    <xf numFmtId="0" fontId="23" fillId="0" borderId="17" xfId="63" applyFont="1" applyBorder="1">
      <alignment/>
      <protection/>
    </xf>
    <xf numFmtId="0" fontId="32" fillId="0" borderId="0" xfId="63" applyFont="1" applyBorder="1" applyAlignment="1">
      <alignment/>
      <protection/>
    </xf>
    <xf numFmtId="0" fontId="24" fillId="0" borderId="0" xfId="63" applyFont="1" applyBorder="1" applyAlignment="1">
      <alignment horizontal="center"/>
      <protection/>
    </xf>
    <xf numFmtId="0" fontId="23" fillId="0" borderId="35" xfId="63" applyFont="1" applyBorder="1" applyAlignment="1">
      <alignment horizontal="center" vertical="center" wrapText="1"/>
      <protection/>
    </xf>
    <xf numFmtId="0" fontId="23" fillId="0" borderId="36" xfId="63" applyFont="1" applyBorder="1" applyAlignment="1">
      <alignment horizontal="center" vertical="center" wrapText="1"/>
      <protection/>
    </xf>
    <xf numFmtId="0" fontId="24" fillId="0" borderId="0" xfId="63" applyFont="1">
      <alignment/>
      <protection/>
    </xf>
    <xf numFmtId="0" fontId="24" fillId="0" borderId="16" xfId="63" applyFont="1" applyBorder="1" applyAlignment="1">
      <alignment horizontal="center"/>
      <protection/>
    </xf>
    <xf numFmtId="0" fontId="24" fillId="0" borderId="13" xfId="63" applyFont="1" applyBorder="1" applyAlignment="1">
      <alignment horizontal="center"/>
      <protection/>
    </xf>
    <xf numFmtId="0" fontId="24" fillId="0" borderId="18" xfId="63" applyFont="1" applyBorder="1" applyAlignment="1">
      <alignment horizontal="right" vertical="center"/>
      <protection/>
    </xf>
    <xf numFmtId="0" fontId="24" fillId="0" borderId="33" xfId="63" applyFont="1" applyBorder="1" applyAlignment="1">
      <alignment horizontal="left" vertical="center" wrapText="1"/>
      <protection/>
    </xf>
    <xf numFmtId="0" fontId="24" fillId="0" borderId="32" xfId="63" applyFont="1" applyBorder="1">
      <alignment/>
      <protection/>
    </xf>
    <xf numFmtId="0" fontId="24" fillId="0" borderId="32" xfId="63" applyFont="1" applyBorder="1" applyAlignment="1">
      <alignment horizontal="right" vertical="center"/>
      <protection/>
    </xf>
    <xf numFmtId="0" fontId="23" fillId="0" borderId="33" xfId="63" applyFont="1" applyBorder="1" applyAlignment="1">
      <alignment horizontal="center" vertical="center" wrapText="1"/>
      <protection/>
    </xf>
    <xf numFmtId="0" fontId="23" fillId="0" borderId="18" xfId="63" applyFont="1" applyBorder="1" applyAlignment="1">
      <alignment horizontal="left" vertical="center" wrapText="1"/>
      <protection/>
    </xf>
    <xf numFmtId="0" fontId="23" fillId="0" borderId="18" xfId="63" applyFont="1" applyBorder="1" applyAlignment="1">
      <alignment horizontal="right" vertical="center" wrapText="1"/>
      <protection/>
    </xf>
    <xf numFmtId="0" fontId="26" fillId="0" borderId="29" xfId="66" applyFont="1" applyBorder="1" applyAlignment="1">
      <alignment vertical="top" wrapText="1"/>
      <protection/>
    </xf>
    <xf numFmtId="0" fontId="26" fillId="0" borderId="30" xfId="66" applyFont="1" applyBorder="1" applyAlignment="1">
      <alignment vertical="top" wrapText="1"/>
      <protection/>
    </xf>
    <xf numFmtId="3" fontId="26" fillId="0" borderId="18" xfId="66" applyNumberFormat="1" applyFont="1" applyBorder="1" applyAlignment="1">
      <alignment vertical="center" wrapText="1"/>
      <protection/>
    </xf>
    <xf numFmtId="3" fontId="26" fillId="0" borderId="18" xfId="66" applyNumberFormat="1" applyFont="1" applyBorder="1" applyAlignment="1">
      <alignment vertical="center"/>
      <protection/>
    </xf>
    <xf numFmtId="3" fontId="26" fillId="0" borderId="18" xfId="66" applyNumberFormat="1" applyFont="1" applyBorder="1" applyAlignment="1">
      <alignment horizontal="right" vertical="center"/>
      <protection/>
    </xf>
    <xf numFmtId="0" fontId="31" fillId="0" borderId="10" xfId="0" applyFont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3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33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17" xfId="0" applyFont="1" applyBorder="1" applyAlignment="1">
      <alignment/>
    </xf>
    <xf numFmtId="0" fontId="34" fillId="0" borderId="26" xfId="0" applyFont="1" applyFill="1" applyBorder="1" applyAlignment="1">
      <alignment vertical="center" wrapText="1"/>
    </xf>
    <xf numFmtId="0" fontId="28" fillId="0" borderId="0" xfId="0" applyFont="1" applyAlignment="1">
      <alignment horizontal="right"/>
    </xf>
    <xf numFmtId="0" fontId="34" fillId="0" borderId="17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3" fontId="2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23" fillId="0" borderId="14" xfId="68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28" fillId="0" borderId="17" xfId="0" applyFont="1" applyBorder="1" applyAlignment="1">
      <alignment/>
    </xf>
    <xf numFmtId="3" fontId="28" fillId="0" borderId="1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17" xfId="0" applyFont="1" applyBorder="1" applyAlignment="1">
      <alignment horizontal="right"/>
    </xf>
    <xf numFmtId="0" fontId="0" fillId="0" borderId="0" xfId="67" applyFont="1">
      <alignment/>
      <protection/>
    </xf>
    <xf numFmtId="0" fontId="25" fillId="0" borderId="0" xfId="67" applyFont="1" applyAlignment="1">
      <alignment horizontal="center"/>
      <protection/>
    </xf>
    <xf numFmtId="0" fontId="25" fillId="0" borderId="26" xfId="67" applyFont="1" applyBorder="1" applyAlignment="1">
      <alignment horizontal="center" vertical="center" wrapText="1"/>
      <protection/>
    </xf>
    <xf numFmtId="0" fontId="0" fillId="0" borderId="0" xfId="67" applyFont="1" applyAlignment="1">
      <alignment vertical="center" wrapText="1"/>
      <protection/>
    </xf>
    <xf numFmtId="0" fontId="25" fillId="0" borderId="17" xfId="67" applyFont="1" applyBorder="1" applyAlignment="1">
      <alignment horizontal="center" vertical="center" wrapText="1"/>
      <protection/>
    </xf>
    <xf numFmtId="0" fontId="33" fillId="0" borderId="17" xfId="67" applyFont="1" applyBorder="1" applyAlignment="1">
      <alignment vertical="center" wrapText="1"/>
      <protection/>
    </xf>
    <xf numFmtId="3" fontId="33" fillId="0" borderId="17" xfId="67" applyNumberFormat="1" applyFont="1" applyBorder="1" applyAlignment="1">
      <alignment horizontal="center" vertical="center"/>
      <protection/>
    </xf>
    <xf numFmtId="173" fontId="0" fillId="0" borderId="0" xfId="67" applyNumberFormat="1" applyFont="1">
      <alignment/>
      <protection/>
    </xf>
    <xf numFmtId="3" fontId="33" fillId="0" borderId="17" xfId="62" applyNumberFormat="1" applyFont="1" applyBorder="1" applyAlignment="1">
      <alignment vertical="center" wrapText="1"/>
      <protection/>
    </xf>
    <xf numFmtId="3" fontId="33" fillId="0" borderId="17" xfId="62" applyNumberFormat="1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vertical="center" wrapText="1"/>
      <protection/>
    </xf>
    <xf numFmtId="3" fontId="0" fillId="0" borderId="17" xfId="67" applyNumberFormat="1" applyFont="1" applyBorder="1" applyAlignment="1">
      <alignment horizontal="center" vertical="center"/>
      <protection/>
    </xf>
    <xf numFmtId="0" fontId="28" fillId="0" borderId="0" xfId="67" applyFont="1" applyAlignment="1">
      <alignment vertical="center"/>
      <protection/>
    </xf>
    <xf numFmtId="0" fontId="0" fillId="0" borderId="17" xfId="67" applyFont="1" applyBorder="1" applyAlignment="1">
      <alignment wrapText="1"/>
      <protection/>
    </xf>
    <xf numFmtId="173" fontId="0" fillId="0" borderId="17" xfId="67" applyNumberFormat="1" applyFont="1" applyBorder="1" applyAlignment="1">
      <alignment horizontal="center" vertical="center"/>
      <protection/>
    </xf>
    <xf numFmtId="173" fontId="25" fillId="0" borderId="17" xfId="67" applyNumberFormat="1" applyFont="1" applyBorder="1" applyAlignment="1">
      <alignment horizontal="right" vertical="center"/>
      <protection/>
    </xf>
    <xf numFmtId="173" fontId="0" fillId="0" borderId="0" xfId="67" applyNumberFormat="1" applyFont="1" applyAlignment="1">
      <alignment horizontal="right"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right"/>
    </xf>
    <xf numFmtId="3" fontId="28" fillId="0" borderId="0" xfId="0" applyNumberFormat="1" applyFont="1" applyAlignment="1">
      <alignment/>
    </xf>
    <xf numFmtId="0" fontId="0" fillId="0" borderId="11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3" fillId="0" borderId="0" xfId="68" applyFont="1" applyAlignment="1">
      <alignment horizontal="center"/>
      <protection/>
    </xf>
    <xf numFmtId="49" fontId="23" fillId="0" borderId="0" xfId="68" applyNumberFormat="1" applyFont="1" applyAlignment="1">
      <alignment horizontal="center"/>
      <protection/>
    </xf>
    <xf numFmtId="49" fontId="10" fillId="0" borderId="0" xfId="68" applyNumberFormat="1" applyFont="1">
      <alignment/>
      <protection/>
    </xf>
    <xf numFmtId="0" fontId="23" fillId="0" borderId="0" xfId="68" applyFont="1">
      <alignment/>
      <protection/>
    </xf>
    <xf numFmtId="3" fontId="23" fillId="0" borderId="0" xfId="68" applyNumberFormat="1" applyFont="1">
      <alignment/>
      <protection/>
    </xf>
    <xf numFmtId="9" fontId="23" fillId="0" borderId="0" xfId="68" applyNumberFormat="1" applyFont="1">
      <alignment/>
      <protection/>
    </xf>
    <xf numFmtId="0" fontId="23" fillId="0" borderId="0" xfId="68" applyFont="1" applyAlignment="1">
      <alignment horizontal="right"/>
      <protection/>
    </xf>
    <xf numFmtId="0" fontId="23" fillId="0" borderId="11" xfId="68" applyFont="1" applyBorder="1" applyAlignment="1">
      <alignment horizontal="center"/>
      <protection/>
    </xf>
    <xf numFmtId="49" fontId="23" fillId="0" borderId="11" xfId="68" applyNumberFormat="1" applyFont="1" applyBorder="1" applyAlignment="1">
      <alignment horizontal="center"/>
      <protection/>
    </xf>
    <xf numFmtId="49" fontId="10" fillId="0" borderId="11" xfId="68" applyNumberFormat="1" applyFont="1" applyBorder="1">
      <alignment/>
      <protection/>
    </xf>
    <xf numFmtId="0" fontId="23" fillId="0" borderId="11" xfId="68" applyFont="1" applyBorder="1">
      <alignment/>
      <protection/>
    </xf>
    <xf numFmtId="3" fontId="23" fillId="0" borderId="11" xfId="68" applyNumberFormat="1" applyFont="1" applyBorder="1">
      <alignment/>
      <protection/>
    </xf>
    <xf numFmtId="0" fontId="23" fillId="0" borderId="11" xfId="68" applyFont="1" applyBorder="1" applyAlignment="1">
      <alignment horizontal="right"/>
      <protection/>
    </xf>
    <xf numFmtId="0" fontId="23" fillId="0" borderId="32" xfId="63" applyFont="1" applyBorder="1" applyAlignment="1">
      <alignment vertical="center"/>
      <protection/>
    </xf>
    <xf numFmtId="0" fontId="23" fillId="0" borderId="18" xfId="63" applyFont="1" applyBorder="1" applyAlignment="1">
      <alignment vertical="center"/>
      <protection/>
    </xf>
    <xf numFmtId="0" fontId="23" fillId="0" borderId="16" xfId="63" applyFont="1" applyBorder="1" applyAlignment="1">
      <alignment vertical="center"/>
      <protection/>
    </xf>
    <xf numFmtId="0" fontId="24" fillId="0" borderId="17" xfId="63" applyFont="1" applyBorder="1">
      <alignment/>
      <protection/>
    </xf>
    <xf numFmtId="0" fontId="23" fillId="0" borderId="37" xfId="63" applyFont="1" applyBorder="1">
      <alignment/>
      <protection/>
    </xf>
    <xf numFmtId="0" fontId="23" fillId="0" borderId="22" xfId="63" applyFont="1" applyBorder="1">
      <alignment/>
      <protection/>
    </xf>
    <xf numFmtId="3" fontId="28" fillId="0" borderId="24" xfId="62" applyNumberFormat="1" applyFont="1" applyBorder="1">
      <alignment/>
      <protection/>
    </xf>
    <xf numFmtId="0" fontId="28" fillId="0" borderId="17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28" fillId="0" borderId="21" xfId="0" applyFont="1" applyBorder="1" applyAlignment="1">
      <alignment/>
    </xf>
    <xf numFmtId="3" fontId="28" fillId="0" borderId="28" xfId="0" applyNumberFormat="1" applyFont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21" xfId="0" applyFont="1" applyBorder="1" applyAlignment="1">
      <alignment horizontal="right"/>
    </xf>
    <xf numFmtId="0" fontId="28" fillId="0" borderId="24" xfId="0" applyFont="1" applyBorder="1" applyAlignment="1">
      <alignment/>
    </xf>
    <xf numFmtId="3" fontId="28" fillId="0" borderId="42" xfId="0" applyNumberFormat="1" applyFont="1" applyBorder="1" applyAlignment="1">
      <alignment/>
    </xf>
    <xf numFmtId="0" fontId="28" fillId="0" borderId="43" xfId="0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0" fontId="28" fillId="0" borderId="38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10" fillId="0" borderId="0" xfId="64" applyFont="1">
      <alignment/>
      <protection/>
    </xf>
    <xf numFmtId="3" fontId="10" fillId="0" borderId="0" xfId="64" applyNumberFormat="1" applyFont="1">
      <alignment/>
      <protection/>
    </xf>
    <xf numFmtId="0" fontId="26" fillId="0" borderId="0" xfId="64" applyFont="1">
      <alignment/>
      <protection/>
    </xf>
    <xf numFmtId="0" fontId="10" fillId="0" borderId="17" xfId="64" applyFont="1" applyBorder="1">
      <alignment/>
      <protection/>
    </xf>
    <xf numFmtId="0" fontId="10" fillId="0" borderId="17" xfId="64" applyFont="1" applyBorder="1" applyAlignment="1">
      <alignment horizontal="center"/>
      <protection/>
    </xf>
    <xf numFmtId="3" fontId="10" fillId="0" borderId="17" xfId="64" applyNumberFormat="1" applyFont="1" applyBorder="1" applyAlignment="1">
      <alignment horizontal="center"/>
      <protection/>
    </xf>
    <xf numFmtId="0" fontId="26" fillId="0" borderId="17" xfId="64" applyFont="1" applyBorder="1" applyAlignment="1">
      <alignment horizontal="center"/>
      <protection/>
    </xf>
    <xf numFmtId="0" fontId="26" fillId="0" borderId="17" xfId="64" applyFont="1" applyBorder="1">
      <alignment/>
      <protection/>
    </xf>
    <xf numFmtId="3" fontId="10" fillId="0" borderId="17" xfId="64" applyNumberFormat="1" applyFont="1" applyBorder="1">
      <alignment/>
      <protection/>
    </xf>
    <xf numFmtId="3" fontId="26" fillId="0" borderId="17" xfId="64" applyNumberFormat="1" applyFont="1" applyBorder="1">
      <alignment/>
      <protection/>
    </xf>
    <xf numFmtId="0" fontId="0" fillId="0" borderId="17" xfId="0" applyFont="1" applyBorder="1" applyAlignment="1">
      <alignment horizontal="center"/>
    </xf>
    <xf numFmtId="0" fontId="28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right"/>
    </xf>
    <xf numFmtId="3" fontId="28" fillId="0" borderId="26" xfId="0" applyNumberFormat="1" applyFont="1" applyBorder="1" applyAlignment="1">
      <alignment/>
    </xf>
    <xf numFmtId="0" fontId="27" fillId="0" borderId="43" xfId="0" applyFont="1" applyBorder="1" applyAlignment="1">
      <alignment/>
    </xf>
    <xf numFmtId="3" fontId="28" fillId="0" borderId="44" xfId="0" applyNumberFormat="1" applyFont="1" applyBorder="1" applyAlignment="1">
      <alignment/>
    </xf>
    <xf numFmtId="0" fontId="0" fillId="0" borderId="46" xfId="0" applyFont="1" applyBorder="1" applyAlignment="1">
      <alignment horizontal="right"/>
    </xf>
    <xf numFmtId="3" fontId="28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28" fillId="0" borderId="44" xfId="0" applyFont="1" applyBorder="1" applyAlignment="1">
      <alignment/>
    </xf>
    <xf numFmtId="0" fontId="10" fillId="0" borderId="0" xfId="66" applyFont="1" applyFill="1" applyBorder="1">
      <alignment/>
      <protection/>
    </xf>
    <xf numFmtId="0" fontId="26" fillId="0" borderId="47" xfId="66" applyFont="1" applyBorder="1" applyAlignment="1">
      <alignment horizontal="right"/>
      <protection/>
    </xf>
    <xf numFmtId="0" fontId="33" fillId="0" borderId="48" xfId="0" applyFont="1" applyBorder="1" applyAlignment="1">
      <alignment horizontal="center" wrapText="1"/>
    </xf>
    <xf numFmtId="0" fontId="33" fillId="0" borderId="49" xfId="0" applyFont="1" applyBorder="1" applyAlignment="1">
      <alignment wrapText="1"/>
    </xf>
    <xf numFmtId="0" fontId="0" fillId="0" borderId="0" xfId="66" applyFont="1">
      <alignment/>
      <protection/>
    </xf>
    <xf numFmtId="0" fontId="33" fillId="0" borderId="50" xfId="0" applyFont="1" applyBorder="1" applyAlignment="1">
      <alignment horizontal="center" wrapText="1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0" fillId="0" borderId="0" xfId="66" applyFont="1" applyBorder="1">
      <alignment/>
      <protection/>
    </xf>
    <xf numFmtId="0" fontId="25" fillId="31" borderId="53" xfId="0" applyFont="1" applyFill="1" applyBorder="1" applyAlignment="1">
      <alignment horizontal="center"/>
    </xf>
    <xf numFmtId="0" fontId="25" fillId="31" borderId="51" xfId="0" applyFont="1" applyFill="1" applyBorder="1" applyAlignment="1">
      <alignment horizontal="center"/>
    </xf>
    <xf numFmtId="0" fontId="33" fillId="0" borderId="53" xfId="0" applyFont="1" applyBorder="1" applyAlignment="1">
      <alignment horizontal="center"/>
    </xf>
    <xf numFmtId="3" fontId="33" fillId="0" borderId="51" xfId="0" applyNumberFormat="1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3" fontId="33" fillId="0" borderId="55" xfId="0" applyNumberFormat="1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25" fillId="31" borderId="52" xfId="0" applyFont="1" applyFill="1" applyBorder="1" applyAlignment="1">
      <alignment horizontal="center"/>
    </xf>
    <xf numFmtId="3" fontId="25" fillId="31" borderId="56" xfId="0" applyNumberFormat="1" applyFont="1" applyFill="1" applyBorder="1" applyAlignment="1">
      <alignment horizontal="center"/>
    </xf>
    <xf numFmtId="3" fontId="25" fillId="31" borderId="51" xfId="0" applyNumberFormat="1" applyFont="1" applyFill="1" applyBorder="1" applyAlignment="1">
      <alignment horizontal="center"/>
    </xf>
    <xf numFmtId="0" fontId="33" fillId="31" borderId="53" xfId="0" applyFont="1" applyFill="1" applyBorder="1" applyAlignment="1">
      <alignment horizontal="center" vertical="center"/>
    </xf>
    <xf numFmtId="3" fontId="25" fillId="31" borderId="56" xfId="0" applyNumberFormat="1" applyFont="1" applyFill="1" applyBorder="1" applyAlignment="1">
      <alignment horizontal="center" vertical="center"/>
    </xf>
    <xf numFmtId="0" fontId="0" fillId="0" borderId="0" xfId="66" applyFont="1" applyAlignment="1">
      <alignment vertical="center"/>
      <protection/>
    </xf>
    <xf numFmtId="0" fontId="26" fillId="0" borderId="0" xfId="66" applyFont="1" applyFill="1" applyBorder="1" applyAlignment="1">
      <alignment vertical="center" wrapText="1"/>
      <protection/>
    </xf>
    <xf numFmtId="3" fontId="26" fillId="0" borderId="0" xfId="66" applyNumberFormat="1" applyFont="1" applyBorder="1" applyAlignment="1">
      <alignment horizontal="center" vertical="center"/>
      <protection/>
    </xf>
    <xf numFmtId="0" fontId="33" fillId="31" borderId="53" xfId="0" applyFont="1" applyFill="1" applyBorder="1" applyAlignment="1">
      <alignment horizontal="center"/>
    </xf>
    <xf numFmtId="3" fontId="34" fillId="0" borderId="17" xfId="0" applyNumberFormat="1" applyFont="1" applyFill="1" applyBorder="1" applyAlignment="1">
      <alignment vertical="center" wrapText="1"/>
    </xf>
    <xf numFmtId="3" fontId="35" fillId="0" borderId="17" xfId="0" applyNumberFormat="1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0" xfId="0" applyFont="1" applyAlignment="1">
      <alignment/>
    </xf>
    <xf numFmtId="3" fontId="34" fillId="0" borderId="26" xfId="0" applyNumberFormat="1" applyFont="1" applyFill="1" applyBorder="1" applyAlignment="1">
      <alignment vertical="center" wrapText="1"/>
    </xf>
    <xf numFmtId="3" fontId="35" fillId="0" borderId="17" xfId="0" applyNumberFormat="1" applyFont="1" applyBorder="1" applyAlignment="1">
      <alignment/>
    </xf>
    <xf numFmtId="0" fontId="34" fillId="0" borderId="17" xfId="0" applyFont="1" applyFill="1" applyBorder="1" applyAlignment="1">
      <alignment/>
    </xf>
    <xf numFmtId="0" fontId="27" fillId="0" borderId="0" xfId="0" applyFont="1" applyBorder="1" applyAlignment="1">
      <alignment/>
    </xf>
    <xf numFmtId="0" fontId="33" fillId="0" borderId="17" xfId="0" applyFont="1" applyBorder="1" applyAlignment="1">
      <alignment wrapText="1"/>
    </xf>
    <xf numFmtId="0" fontId="40" fillId="0" borderId="0" xfId="0" applyFont="1" applyAlignment="1">
      <alignment/>
    </xf>
    <xf numFmtId="49" fontId="30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19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 wrapText="1"/>
    </xf>
    <xf numFmtId="0" fontId="33" fillId="0" borderId="57" xfId="0" applyFont="1" applyBorder="1" applyAlignment="1">
      <alignment horizontal="left" wrapText="1"/>
    </xf>
    <xf numFmtId="0" fontId="33" fillId="0" borderId="58" xfId="0" applyFont="1" applyBorder="1" applyAlignment="1">
      <alignment horizontal="left" wrapText="1"/>
    </xf>
    <xf numFmtId="0" fontId="33" fillId="0" borderId="56" xfId="0" applyFont="1" applyBorder="1" applyAlignment="1">
      <alignment horizontal="left" wrapText="1"/>
    </xf>
    <xf numFmtId="0" fontId="25" fillId="31" borderId="57" xfId="0" applyFont="1" applyFill="1" applyBorder="1" applyAlignment="1">
      <alignment horizontal="left" wrapText="1"/>
    </xf>
    <xf numFmtId="0" fontId="25" fillId="31" borderId="58" xfId="0" applyFont="1" applyFill="1" applyBorder="1" applyAlignment="1">
      <alignment horizontal="left" wrapText="1"/>
    </xf>
    <xf numFmtId="0" fontId="25" fillId="31" borderId="56" xfId="0" applyFont="1" applyFill="1" applyBorder="1" applyAlignment="1">
      <alignment horizontal="left" wrapText="1"/>
    </xf>
    <xf numFmtId="0" fontId="33" fillId="0" borderId="59" xfId="0" applyFont="1" applyBorder="1" applyAlignment="1">
      <alignment horizontal="left" wrapText="1"/>
    </xf>
    <xf numFmtId="0" fontId="33" fillId="0" borderId="60" xfId="0" applyFont="1" applyBorder="1" applyAlignment="1">
      <alignment horizontal="left" wrapText="1"/>
    </xf>
    <xf numFmtId="0" fontId="33" fillId="0" borderId="48" xfId="0" applyFont="1" applyBorder="1" applyAlignment="1">
      <alignment horizontal="left" wrapText="1"/>
    </xf>
    <xf numFmtId="0" fontId="25" fillId="31" borderId="57" xfId="0" applyFont="1" applyFill="1" applyBorder="1" applyAlignment="1">
      <alignment horizontal="left" vertical="center" wrapText="1"/>
    </xf>
    <xf numFmtId="0" fontId="25" fillId="31" borderId="58" xfId="0" applyFont="1" applyFill="1" applyBorder="1" applyAlignment="1">
      <alignment horizontal="left" vertical="center" wrapText="1"/>
    </xf>
    <xf numFmtId="0" fontId="25" fillId="31" borderId="56" xfId="0" applyFont="1" applyFill="1" applyBorder="1" applyAlignment="1">
      <alignment horizontal="left" vertical="center" wrapText="1"/>
    </xf>
    <xf numFmtId="0" fontId="10" fillId="0" borderId="18" xfId="66" applyFont="1" applyFill="1" applyBorder="1" applyAlignment="1">
      <alignment horizontal="left" vertical="center" wrapText="1"/>
      <protection/>
    </xf>
    <xf numFmtId="3" fontId="10" fillId="0" borderId="18" xfId="66" applyNumberFormat="1" applyFont="1" applyBorder="1" applyAlignment="1">
      <alignment horizontal="center" vertical="center"/>
      <protection/>
    </xf>
    <xf numFmtId="0" fontId="26" fillId="0" borderId="18" xfId="66" applyFont="1" applyBorder="1" applyAlignment="1">
      <alignment horizontal="center" vertical="center" wrapText="1"/>
      <protection/>
    </xf>
    <xf numFmtId="0" fontId="26" fillId="0" borderId="18" xfId="66" applyFont="1" applyFill="1" applyBorder="1" applyAlignment="1">
      <alignment horizontal="left" vertical="center" wrapText="1"/>
      <protection/>
    </xf>
    <xf numFmtId="0" fontId="25" fillId="31" borderId="61" xfId="0" applyFont="1" applyFill="1" applyBorder="1" applyAlignment="1">
      <alignment horizontal="center"/>
    </xf>
    <xf numFmtId="0" fontId="25" fillId="31" borderId="62" xfId="0" applyFont="1" applyFill="1" applyBorder="1" applyAlignment="1">
      <alignment horizontal="center"/>
    </xf>
    <xf numFmtId="0" fontId="25" fillId="31" borderId="63" xfId="0" applyFont="1" applyFill="1" applyBorder="1" applyAlignment="1">
      <alignment horizontal="center"/>
    </xf>
    <xf numFmtId="0" fontId="29" fillId="0" borderId="0" xfId="66" applyFont="1" applyBorder="1" applyAlignment="1">
      <alignment horizontal="right"/>
      <protection/>
    </xf>
    <xf numFmtId="0" fontId="24" fillId="0" borderId="0" xfId="66" applyFont="1" applyBorder="1" applyAlignment="1">
      <alignment horizontal="center" vertical="top"/>
      <protection/>
    </xf>
    <xf numFmtId="0" fontId="26" fillId="0" borderId="0" xfId="66" applyFont="1" applyBorder="1" applyAlignment="1">
      <alignment horizontal="center" vertical="top"/>
      <protection/>
    </xf>
    <xf numFmtId="0" fontId="26" fillId="0" borderId="18" xfId="66" applyFont="1" applyBorder="1" applyAlignment="1">
      <alignment horizontal="center" vertical="top" wrapText="1"/>
      <protection/>
    </xf>
    <xf numFmtId="0" fontId="26" fillId="0" borderId="0" xfId="66" applyFont="1" applyFill="1" applyBorder="1" applyAlignment="1">
      <alignment horizontal="left" vertical="center" wrapText="1"/>
      <protection/>
    </xf>
    <xf numFmtId="0" fontId="26" fillId="0" borderId="12" xfId="66" applyFont="1" applyBorder="1" applyAlignment="1">
      <alignment horizontal="right" vertical="top"/>
      <protection/>
    </xf>
    <xf numFmtId="0" fontId="32" fillId="0" borderId="0" xfId="66" applyFont="1" applyBorder="1" applyAlignment="1">
      <alignment horizontal="center" vertical="top"/>
      <protection/>
    </xf>
    <xf numFmtId="0" fontId="29" fillId="0" borderId="0" xfId="66" applyFont="1" applyAlignment="1">
      <alignment horizontal="right"/>
      <protection/>
    </xf>
    <xf numFmtId="0" fontId="26" fillId="0" borderId="0" xfId="66" applyFont="1" applyBorder="1" applyAlignment="1">
      <alignment horizontal="center"/>
      <protection/>
    </xf>
    <xf numFmtId="0" fontId="33" fillId="0" borderId="64" xfId="0" applyFont="1" applyBorder="1" applyAlignment="1">
      <alignment horizontal="center"/>
    </xf>
    <xf numFmtId="0" fontId="33" fillId="0" borderId="65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57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24" fillId="0" borderId="18" xfId="63" applyFont="1" applyBorder="1" applyAlignment="1">
      <alignment horizontal="left" vertical="center" wrapText="1"/>
      <protection/>
    </xf>
    <xf numFmtId="0" fontId="32" fillId="0" borderId="0" xfId="63" applyFont="1" applyBorder="1" applyAlignment="1">
      <alignment horizontal="right"/>
      <protection/>
    </xf>
    <xf numFmtId="0" fontId="24" fillId="0" borderId="0" xfId="63" applyFont="1" applyBorder="1" applyAlignment="1">
      <alignment horizontal="center"/>
      <protection/>
    </xf>
    <xf numFmtId="0" fontId="24" fillId="0" borderId="12" xfId="63" applyFont="1" applyBorder="1" applyAlignment="1">
      <alignment horizontal="center"/>
      <protection/>
    </xf>
    <xf numFmtId="0" fontId="24" fillId="0" borderId="35" xfId="63" applyFont="1" applyBorder="1" applyAlignment="1">
      <alignment horizontal="center" vertical="center" wrapText="1"/>
      <protection/>
    </xf>
    <xf numFmtId="0" fontId="24" fillId="0" borderId="29" xfId="63" applyFont="1" applyBorder="1" applyAlignment="1">
      <alignment horizontal="center" vertical="center" wrapText="1"/>
      <protection/>
    </xf>
    <xf numFmtId="0" fontId="24" fillId="0" borderId="30" xfId="63" applyFont="1" applyBorder="1" applyAlignment="1">
      <alignment horizontal="center" vertical="center"/>
      <protection/>
    </xf>
    <xf numFmtId="0" fontId="24" fillId="0" borderId="18" xfId="63" applyFont="1" applyBorder="1" applyAlignment="1">
      <alignment horizontal="left" vertical="center"/>
      <protection/>
    </xf>
    <xf numFmtId="0" fontId="24" fillId="0" borderId="32" xfId="63" applyFont="1" applyBorder="1" applyAlignment="1">
      <alignment horizontal="left"/>
      <protection/>
    </xf>
    <xf numFmtId="0" fontId="23" fillId="0" borderId="30" xfId="63" applyFont="1" applyBorder="1" applyAlignment="1">
      <alignment horizontal="center" vertical="center"/>
      <protection/>
    </xf>
    <xf numFmtId="0" fontId="24" fillId="0" borderId="16" xfId="63" applyFont="1" applyBorder="1" applyAlignment="1">
      <alignment horizontal="center" vertical="center" wrapText="1"/>
      <protection/>
    </xf>
    <xf numFmtId="0" fontId="24" fillId="0" borderId="29" xfId="63" applyFont="1" applyBorder="1" applyAlignment="1">
      <alignment horizontal="center"/>
      <protection/>
    </xf>
    <xf numFmtId="0" fontId="24" fillId="0" borderId="16" xfId="63" applyFont="1" applyBorder="1" applyAlignment="1">
      <alignment horizontal="center" vertical="center"/>
      <protection/>
    </xf>
    <xf numFmtId="0" fontId="29" fillId="0" borderId="0" xfId="64" applyFont="1" applyAlignment="1">
      <alignment horizontal="center"/>
      <protection/>
    </xf>
    <xf numFmtId="0" fontId="29" fillId="0" borderId="0" xfId="64" applyFont="1" applyAlignment="1">
      <alignment horizontal="right"/>
      <protection/>
    </xf>
    <xf numFmtId="0" fontId="26" fillId="0" borderId="10" xfId="64" applyFont="1" applyBorder="1" applyAlignment="1">
      <alignment horizontal="right"/>
      <protection/>
    </xf>
    <xf numFmtId="0" fontId="28" fillId="0" borderId="1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26" xfId="67" applyFont="1" applyBorder="1" applyAlignment="1">
      <alignment horizontal="center" vertical="center" wrapText="1"/>
      <protection/>
    </xf>
    <xf numFmtId="0" fontId="25" fillId="0" borderId="44" xfId="67" applyFont="1" applyBorder="1" applyAlignment="1">
      <alignment horizontal="center" vertical="center" wrapText="1"/>
      <protection/>
    </xf>
    <xf numFmtId="0" fontId="27" fillId="0" borderId="0" xfId="67" applyFont="1" applyAlignment="1">
      <alignment horizontal="right"/>
      <protection/>
    </xf>
    <xf numFmtId="0" fontId="25" fillId="0" borderId="0" xfId="67" applyFont="1" applyAlignment="1">
      <alignment horizontal="center"/>
      <protection/>
    </xf>
    <xf numFmtId="0" fontId="25" fillId="0" borderId="10" xfId="67" applyFont="1" applyBorder="1" applyAlignment="1">
      <alignment horizontal="right"/>
      <protection/>
    </xf>
    <xf numFmtId="0" fontId="25" fillId="0" borderId="23" xfId="67" applyFont="1" applyBorder="1" applyAlignment="1">
      <alignment horizontal="center" vertical="center" wrapText="1"/>
      <protection/>
    </xf>
    <xf numFmtId="0" fontId="25" fillId="0" borderId="22" xfId="67" applyFont="1" applyBorder="1" applyAlignment="1">
      <alignment horizontal="center" vertical="center" wrapText="1"/>
      <protection/>
    </xf>
    <xf numFmtId="0" fontId="24" fillId="0" borderId="0" xfId="65" applyFont="1" applyBorder="1" applyAlignment="1">
      <alignment horizontal="center"/>
      <protection/>
    </xf>
    <xf numFmtId="0" fontId="10" fillId="0" borderId="16" xfId="65" applyFont="1" applyBorder="1" applyAlignment="1">
      <alignment horizontal="left" vertical="center" wrapText="1"/>
      <protection/>
    </xf>
    <xf numFmtId="0" fontId="10" fillId="0" borderId="68" xfId="65" applyFont="1" applyBorder="1" applyAlignment="1">
      <alignment horizontal="left" vertical="center" wrapText="1"/>
      <protection/>
    </xf>
    <xf numFmtId="0" fontId="10" fillId="0" borderId="32" xfId="65" applyFont="1" applyBorder="1" applyAlignment="1">
      <alignment horizontal="left" vertic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 2" xfId="62"/>
    <cellStyle name="Normál_2012 évi kv. II. forduló" xfId="63"/>
    <cellStyle name="Normál_2012 évi kv. II. forduló_2014 évi II. forduló" xfId="64"/>
    <cellStyle name="Normál_2012 évi kv. II. forduló_2015. évi II. forduló" xfId="65"/>
    <cellStyle name="Normál_2013 hitel tábla" xfId="66"/>
    <cellStyle name="Normál_EU támogatással megval. proj.2015. évben" xfId="67"/>
    <cellStyle name="Normál_RENDELET TÁBLA 2014. IV. névi rend.módosítás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3"/>
  <sheetViews>
    <sheetView view="pageBreakPreview" zoomScale="75" zoomScaleSheetLayoutView="75" zoomScalePageLayoutView="0" workbookViewId="0" topLeftCell="A1">
      <pane xSplit="12" ySplit="7" topLeftCell="M215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O1" sqref="O1:S1"/>
    </sheetView>
  </sheetViews>
  <sheetFormatPr defaultColWidth="9.140625" defaultRowHeight="12.75"/>
  <cols>
    <col min="1" max="1" width="3.140625" style="2" customWidth="1"/>
    <col min="2" max="2" width="3.421875" style="2" customWidth="1"/>
    <col min="3" max="3" width="3.28125" style="2" customWidth="1"/>
    <col min="4" max="4" width="3.421875" style="2" customWidth="1"/>
    <col min="5" max="5" width="3.7109375" style="2" customWidth="1"/>
    <col min="6" max="6" width="7.421875" style="2" customWidth="1"/>
    <col min="7" max="7" width="3.421875" style="2" customWidth="1"/>
    <col min="8" max="8" width="2.8515625" style="2" customWidth="1"/>
    <col min="9" max="9" width="3.00390625" style="2" customWidth="1"/>
    <col min="10" max="10" width="3.140625" style="2" customWidth="1"/>
    <col min="11" max="11" width="3.8515625" style="2" customWidth="1"/>
    <col min="12" max="12" width="61.421875" style="2" bestFit="1" customWidth="1"/>
    <col min="13" max="13" width="13.140625" style="2" customWidth="1"/>
    <col min="14" max="14" width="2.7109375" style="2" hidden="1" customWidth="1"/>
    <col min="15" max="15" width="14.8515625" style="2" customWidth="1"/>
    <col min="16" max="16" width="14.7109375" style="2" bestFit="1" customWidth="1"/>
    <col min="17" max="17" width="11.421875" style="2" bestFit="1" customWidth="1"/>
    <col min="18" max="18" width="12.140625" style="2" customWidth="1"/>
    <col min="19" max="19" width="9.140625" style="232" customWidth="1"/>
    <col min="20" max="20" width="17.28125" style="8" customWidth="1"/>
    <col min="21" max="16384" width="9.140625" style="2" customWidth="1"/>
  </cols>
  <sheetData>
    <row r="1" spans="1:19" ht="15">
      <c r="A1" s="1"/>
      <c r="O1" s="362"/>
      <c r="P1" s="362"/>
      <c r="Q1" s="362"/>
      <c r="R1" s="362"/>
      <c r="S1" s="362"/>
    </row>
    <row r="2" spans="1:19" ht="15">
      <c r="A2" s="1"/>
      <c r="S2" s="169"/>
    </row>
    <row r="3" spans="1:19" ht="15">
      <c r="A3" s="361" t="s">
        <v>739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15">
      <c r="A4" s="1"/>
      <c r="S4" s="169"/>
    </row>
    <row r="5" spans="1:19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63" t="s">
        <v>352</v>
      </c>
      <c r="R5" s="363"/>
      <c r="S5" s="363"/>
    </row>
    <row r="6" spans="1:20" s="6" customFormat="1" ht="103.5" customHeight="1">
      <c r="A6" s="4" t="s">
        <v>353</v>
      </c>
      <c r="B6" s="5" t="s">
        <v>354</v>
      </c>
      <c r="C6" s="5" t="s">
        <v>355</v>
      </c>
      <c r="D6" s="5" t="s">
        <v>356</v>
      </c>
      <c r="E6" s="5" t="s">
        <v>357</v>
      </c>
      <c r="F6" s="5" t="s">
        <v>358</v>
      </c>
      <c r="G6" s="5" t="s">
        <v>359</v>
      </c>
      <c r="H6" s="5" t="s">
        <v>360</v>
      </c>
      <c r="I6" s="5" t="s">
        <v>361</v>
      </c>
      <c r="J6" s="5" t="s">
        <v>362</v>
      </c>
      <c r="K6" s="5" t="s">
        <v>363</v>
      </c>
      <c r="L6" s="6" t="s">
        <v>364</v>
      </c>
      <c r="M6" s="219" t="s">
        <v>740</v>
      </c>
      <c r="N6" s="219" t="s">
        <v>520</v>
      </c>
      <c r="O6" s="219" t="s">
        <v>365</v>
      </c>
      <c r="P6" s="219" t="s">
        <v>366</v>
      </c>
      <c r="Q6" s="219" t="s">
        <v>367</v>
      </c>
      <c r="R6" s="219" t="s">
        <v>640</v>
      </c>
      <c r="S6" s="225" t="s">
        <v>368</v>
      </c>
      <c r="T6" s="226"/>
    </row>
    <row r="7" spans="1:20" s="229" customFormat="1" ht="15">
      <c r="A7" s="7" t="s">
        <v>369</v>
      </c>
      <c r="B7" s="7" t="s">
        <v>370</v>
      </c>
      <c r="C7" s="7" t="s">
        <v>371</v>
      </c>
      <c r="D7" s="7" t="s">
        <v>372</v>
      </c>
      <c r="E7" s="7" t="s">
        <v>373</v>
      </c>
      <c r="F7" s="7" t="s">
        <v>374</v>
      </c>
      <c r="G7" s="7" t="s">
        <v>375</v>
      </c>
      <c r="H7" s="7" t="s">
        <v>376</v>
      </c>
      <c r="I7" s="7" t="s">
        <v>377</v>
      </c>
      <c r="J7" s="7" t="s">
        <v>378</v>
      </c>
      <c r="K7" s="7" t="s">
        <v>379</v>
      </c>
      <c r="L7" s="7" t="s">
        <v>380</v>
      </c>
      <c r="M7" s="156" t="s">
        <v>381</v>
      </c>
      <c r="N7" s="156" t="s">
        <v>519</v>
      </c>
      <c r="O7" s="157" t="s">
        <v>382</v>
      </c>
      <c r="P7" s="157" t="s">
        <v>383</v>
      </c>
      <c r="Q7" s="157" t="s">
        <v>384</v>
      </c>
      <c r="R7" s="157" t="s">
        <v>385</v>
      </c>
      <c r="S7" s="227" t="s">
        <v>386</v>
      </c>
      <c r="T7" s="228"/>
    </row>
    <row r="8" spans="1:19" ht="15">
      <c r="A8" s="1" t="s">
        <v>387</v>
      </c>
      <c r="G8" s="2" t="s">
        <v>388</v>
      </c>
      <c r="S8" s="169"/>
    </row>
    <row r="9" spans="1:19" ht="15">
      <c r="A9" s="1"/>
      <c r="C9" s="2" t="s">
        <v>389</v>
      </c>
      <c r="I9" s="2" t="s">
        <v>390</v>
      </c>
      <c r="S9" s="169" t="s">
        <v>391</v>
      </c>
    </row>
    <row r="10" spans="1:19" ht="15">
      <c r="A10" s="1"/>
      <c r="D10" s="2" t="s">
        <v>387</v>
      </c>
      <c r="J10" s="2" t="s">
        <v>392</v>
      </c>
      <c r="S10" s="169" t="s">
        <v>393</v>
      </c>
    </row>
    <row r="11" spans="1:19" ht="15">
      <c r="A11" s="1"/>
      <c r="E11" s="2" t="s">
        <v>394</v>
      </c>
      <c r="K11" s="2" t="s">
        <v>395</v>
      </c>
      <c r="S11" s="169"/>
    </row>
    <row r="12" spans="1:20" ht="15">
      <c r="A12" s="1"/>
      <c r="F12" s="2" t="s">
        <v>396</v>
      </c>
      <c r="L12" s="2" t="s">
        <v>397</v>
      </c>
      <c r="M12" s="8">
        <v>172744</v>
      </c>
      <c r="N12" s="8">
        <v>0</v>
      </c>
      <c r="O12" s="8">
        <v>0</v>
      </c>
      <c r="P12" s="8">
        <v>172744</v>
      </c>
      <c r="Q12" s="8">
        <v>0</v>
      </c>
      <c r="R12" s="8">
        <f>M12+N12</f>
        <v>172744</v>
      </c>
      <c r="S12" s="169" t="s">
        <v>398</v>
      </c>
      <c r="T12" s="8">
        <f>SUM(O12:Q12)</f>
        <v>172744</v>
      </c>
    </row>
    <row r="13" spans="1:20" ht="15">
      <c r="A13" s="1"/>
      <c r="F13" s="2" t="s">
        <v>399</v>
      </c>
      <c r="L13" s="2" t="s">
        <v>400</v>
      </c>
      <c r="M13" s="8">
        <v>45755</v>
      </c>
      <c r="N13" s="8">
        <v>0</v>
      </c>
      <c r="O13" s="8">
        <v>0</v>
      </c>
      <c r="P13" s="8">
        <v>45755</v>
      </c>
      <c r="Q13" s="8">
        <v>0</v>
      </c>
      <c r="R13" s="8">
        <f>M13+N13</f>
        <v>45755</v>
      </c>
      <c r="S13" s="169" t="s">
        <v>401</v>
      </c>
      <c r="T13" s="8">
        <f aca="true" t="shared" si="0" ref="T13:T81">SUM(O13:Q13)</f>
        <v>45755</v>
      </c>
    </row>
    <row r="14" spans="1:20" ht="15">
      <c r="A14" s="1"/>
      <c r="F14" s="2" t="s">
        <v>402</v>
      </c>
      <c r="L14" s="2" t="s">
        <v>403</v>
      </c>
      <c r="M14" s="8">
        <v>380202</v>
      </c>
      <c r="N14" s="8"/>
      <c r="O14" s="8">
        <v>0</v>
      </c>
      <c r="P14" s="8">
        <v>380202</v>
      </c>
      <c r="Q14" s="8">
        <v>0</v>
      </c>
      <c r="R14" s="8">
        <f>M14+N14</f>
        <v>380202</v>
      </c>
      <c r="S14" s="169" t="s">
        <v>404</v>
      </c>
      <c r="T14" s="8">
        <f t="shared" si="0"/>
        <v>380202</v>
      </c>
    </row>
    <row r="15" spans="1:20" ht="15">
      <c r="A15" s="3"/>
      <c r="B15" s="3"/>
      <c r="C15" s="3"/>
      <c r="D15" s="3"/>
      <c r="E15" s="3"/>
      <c r="F15" s="3" t="s">
        <v>405</v>
      </c>
      <c r="G15" s="3"/>
      <c r="H15" s="3"/>
      <c r="I15" s="3"/>
      <c r="J15" s="3"/>
      <c r="K15" s="3"/>
      <c r="L15" s="3" t="s">
        <v>406</v>
      </c>
      <c r="M15" s="9">
        <v>23875</v>
      </c>
      <c r="N15" s="9"/>
      <c r="O15" s="9">
        <v>0</v>
      </c>
      <c r="P15" s="9">
        <v>23875</v>
      </c>
      <c r="Q15" s="9">
        <v>0</v>
      </c>
      <c r="R15" s="8">
        <f>M15+N15</f>
        <v>23875</v>
      </c>
      <c r="S15" s="230" t="s">
        <v>407</v>
      </c>
      <c r="T15" s="8">
        <f t="shared" si="0"/>
        <v>23875</v>
      </c>
    </row>
    <row r="16" spans="1:20" ht="15">
      <c r="A16" s="10"/>
      <c r="B16" s="10"/>
      <c r="C16" s="10"/>
      <c r="D16" s="10"/>
      <c r="E16" s="10" t="s">
        <v>394</v>
      </c>
      <c r="F16" s="10"/>
      <c r="G16" s="10"/>
      <c r="H16" s="10"/>
      <c r="I16" s="10"/>
      <c r="J16" s="10"/>
      <c r="K16" s="10" t="s">
        <v>408</v>
      </c>
      <c r="L16" s="10"/>
      <c r="M16" s="11">
        <f aca="true" t="shared" si="1" ref="M16:R16">SUM(M12:M15)</f>
        <v>622576</v>
      </c>
      <c r="N16" s="11">
        <f t="shared" si="1"/>
        <v>0</v>
      </c>
      <c r="O16" s="11">
        <f t="shared" si="1"/>
        <v>0</v>
      </c>
      <c r="P16" s="11">
        <f t="shared" si="1"/>
        <v>622576</v>
      </c>
      <c r="Q16" s="11">
        <f t="shared" si="1"/>
        <v>0</v>
      </c>
      <c r="R16" s="11">
        <f t="shared" si="1"/>
        <v>622576</v>
      </c>
      <c r="S16" s="227"/>
      <c r="T16" s="8">
        <f t="shared" si="0"/>
        <v>622576</v>
      </c>
    </row>
    <row r="17" spans="1:20" ht="15">
      <c r="A17" s="1"/>
      <c r="E17" s="2" t="s">
        <v>409</v>
      </c>
      <c r="K17" s="2" t="s">
        <v>410</v>
      </c>
      <c r="M17" s="8"/>
      <c r="N17" s="8"/>
      <c r="O17" s="8"/>
      <c r="P17" s="8"/>
      <c r="Q17" s="8"/>
      <c r="R17" s="8"/>
      <c r="S17" s="169"/>
      <c r="T17" s="8">
        <f t="shared" si="0"/>
        <v>0</v>
      </c>
    </row>
    <row r="18" spans="1:20" ht="15">
      <c r="A18" s="1"/>
      <c r="F18" s="2" t="s">
        <v>411</v>
      </c>
      <c r="L18" s="2" t="s">
        <v>412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>M18+N18</f>
        <v>0</v>
      </c>
      <c r="S18" s="169" t="s">
        <v>413</v>
      </c>
      <c r="T18" s="8">
        <f t="shared" si="0"/>
        <v>0</v>
      </c>
    </row>
    <row r="19" spans="1:20" ht="15">
      <c r="A19" s="1"/>
      <c r="F19" s="2" t="s">
        <v>414</v>
      </c>
      <c r="L19" s="2" t="s">
        <v>415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>M19+N19</f>
        <v>0</v>
      </c>
      <c r="S19" s="169" t="s">
        <v>413</v>
      </c>
      <c r="T19" s="8">
        <f t="shared" si="0"/>
        <v>0</v>
      </c>
    </row>
    <row r="20" spans="1:20" ht="15">
      <c r="A20" s="1"/>
      <c r="F20" s="2" t="s">
        <v>416</v>
      </c>
      <c r="L20" s="2" t="s">
        <v>417</v>
      </c>
      <c r="M20" s="8">
        <v>0</v>
      </c>
      <c r="N20" s="8"/>
      <c r="O20" s="8">
        <v>0</v>
      </c>
      <c r="P20" s="8">
        <v>0</v>
      </c>
      <c r="Q20" s="8">
        <v>0</v>
      </c>
      <c r="R20" s="8">
        <f>M20+N20</f>
        <v>0</v>
      </c>
      <c r="S20" s="169" t="s">
        <v>413</v>
      </c>
      <c r="T20" s="8">
        <f t="shared" si="0"/>
        <v>0</v>
      </c>
    </row>
    <row r="21" spans="1:20" ht="15">
      <c r="A21" s="1"/>
      <c r="F21" s="2" t="s">
        <v>418</v>
      </c>
      <c r="L21" s="2" t="s">
        <v>419</v>
      </c>
      <c r="M21" s="8">
        <v>0</v>
      </c>
      <c r="N21" s="8"/>
      <c r="O21" s="8">
        <v>0</v>
      </c>
      <c r="P21" s="8">
        <v>0</v>
      </c>
      <c r="Q21" s="8">
        <v>0</v>
      </c>
      <c r="R21" s="8">
        <f>M21+N21</f>
        <v>0</v>
      </c>
      <c r="S21" s="169" t="s">
        <v>413</v>
      </c>
      <c r="T21" s="8">
        <f t="shared" si="0"/>
        <v>0</v>
      </c>
    </row>
    <row r="22" spans="1:20" ht="15">
      <c r="A22" s="1"/>
      <c r="F22" s="2" t="s">
        <v>420</v>
      </c>
      <c r="L22" s="2" t="s">
        <v>421</v>
      </c>
      <c r="M22" s="8">
        <v>0</v>
      </c>
      <c r="N22" s="8"/>
      <c r="O22" s="8">
        <v>0</v>
      </c>
      <c r="P22" s="8">
        <v>0</v>
      </c>
      <c r="Q22" s="8">
        <v>0</v>
      </c>
      <c r="R22" s="8">
        <f>M22+N22</f>
        <v>0</v>
      </c>
      <c r="S22" s="169" t="s">
        <v>413</v>
      </c>
      <c r="T22" s="8">
        <f t="shared" si="0"/>
        <v>0</v>
      </c>
    </row>
    <row r="23" spans="1:20" ht="15">
      <c r="A23" s="10"/>
      <c r="B23" s="10"/>
      <c r="C23" s="10"/>
      <c r="D23" s="10"/>
      <c r="E23" s="10" t="s">
        <v>409</v>
      </c>
      <c r="F23" s="10"/>
      <c r="G23" s="10"/>
      <c r="H23" s="10"/>
      <c r="I23" s="10"/>
      <c r="J23" s="10"/>
      <c r="K23" s="10" t="s">
        <v>408</v>
      </c>
      <c r="L23" s="10"/>
      <c r="M23" s="11">
        <f aca="true" t="shared" si="2" ref="M23:R23">SUM(M18:M22)</f>
        <v>0</v>
      </c>
      <c r="N23" s="11">
        <f t="shared" si="2"/>
        <v>0</v>
      </c>
      <c r="O23" s="11">
        <f t="shared" si="2"/>
        <v>0</v>
      </c>
      <c r="P23" s="11">
        <f t="shared" si="2"/>
        <v>0</v>
      </c>
      <c r="Q23" s="11">
        <f t="shared" si="2"/>
        <v>0</v>
      </c>
      <c r="R23" s="11">
        <f t="shared" si="2"/>
        <v>0</v>
      </c>
      <c r="S23" s="227" t="s">
        <v>413</v>
      </c>
      <c r="T23" s="8">
        <f t="shared" si="0"/>
        <v>0</v>
      </c>
    </row>
    <row r="24" spans="1:19" ht="15">
      <c r="A24" s="1"/>
      <c r="E24" s="2" t="s">
        <v>422</v>
      </c>
      <c r="K24" s="2" t="s">
        <v>423</v>
      </c>
      <c r="M24" s="8"/>
      <c r="N24" s="8"/>
      <c r="O24" s="8"/>
      <c r="P24" s="8"/>
      <c r="Q24" s="8"/>
      <c r="R24" s="8"/>
      <c r="S24" s="169" t="s">
        <v>424</v>
      </c>
    </row>
    <row r="25" spans="1:19" ht="15">
      <c r="A25" s="3"/>
      <c r="B25" s="3"/>
      <c r="C25" s="3"/>
      <c r="D25" s="3"/>
      <c r="E25" s="3"/>
      <c r="F25" s="3" t="s">
        <v>425</v>
      </c>
      <c r="G25" s="3"/>
      <c r="H25" s="3"/>
      <c r="I25" s="3"/>
      <c r="J25" s="3"/>
      <c r="K25" s="3"/>
      <c r="L25" s="3" t="s">
        <v>809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f>M25+N25</f>
        <v>0</v>
      </c>
      <c r="S25" s="230" t="s">
        <v>424</v>
      </c>
    </row>
    <row r="26" spans="1:19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 t="s">
        <v>408</v>
      </c>
      <c r="L26" s="10"/>
      <c r="M26" s="11">
        <f aca="true" t="shared" si="3" ref="M26:R26">SUM(M24:M25)</f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227" t="s">
        <v>424</v>
      </c>
    </row>
    <row r="27" spans="1:20" ht="15">
      <c r="A27" s="10"/>
      <c r="B27" s="10"/>
      <c r="C27" s="10"/>
      <c r="D27" s="10" t="s">
        <v>387</v>
      </c>
      <c r="E27" s="10"/>
      <c r="F27" s="10"/>
      <c r="G27" s="10"/>
      <c r="H27" s="10"/>
      <c r="I27" s="10"/>
      <c r="J27" s="10" t="s">
        <v>426</v>
      </c>
      <c r="K27" s="10"/>
      <c r="L27" s="10"/>
      <c r="M27" s="11">
        <f aca="true" t="shared" si="4" ref="M27:R27">M16+M23+M26</f>
        <v>622576</v>
      </c>
      <c r="N27" s="11">
        <f t="shared" si="4"/>
        <v>0</v>
      </c>
      <c r="O27" s="11">
        <f t="shared" si="4"/>
        <v>0</v>
      </c>
      <c r="P27" s="11">
        <f t="shared" si="4"/>
        <v>622576</v>
      </c>
      <c r="Q27" s="11">
        <f t="shared" si="4"/>
        <v>0</v>
      </c>
      <c r="R27" s="11">
        <f t="shared" si="4"/>
        <v>622576</v>
      </c>
      <c r="S27" s="227" t="s">
        <v>393</v>
      </c>
      <c r="T27" s="8">
        <f t="shared" si="0"/>
        <v>622576</v>
      </c>
    </row>
    <row r="28" spans="1:19" ht="15">
      <c r="A28" s="1"/>
      <c r="D28" s="2" t="s">
        <v>427</v>
      </c>
      <c r="J28" s="2" t="s">
        <v>428</v>
      </c>
      <c r="M28" s="8">
        <v>0</v>
      </c>
      <c r="N28" s="8"/>
      <c r="O28" s="8">
        <v>0</v>
      </c>
      <c r="P28" s="8">
        <v>0</v>
      </c>
      <c r="Q28" s="8">
        <v>0</v>
      </c>
      <c r="R28" s="8">
        <f>M28+N28</f>
        <v>0</v>
      </c>
      <c r="S28" s="169" t="s">
        <v>429</v>
      </c>
    </row>
    <row r="29" spans="1:20" ht="15">
      <c r="A29" s="1"/>
      <c r="D29" s="2" t="s">
        <v>430</v>
      </c>
      <c r="J29" s="2" t="s">
        <v>431</v>
      </c>
      <c r="M29" s="8">
        <v>140703</v>
      </c>
      <c r="N29" s="8">
        <v>0</v>
      </c>
      <c r="O29" s="8">
        <v>0</v>
      </c>
      <c r="P29" s="8">
        <v>20462</v>
      </c>
      <c r="Q29" s="8">
        <v>120241</v>
      </c>
      <c r="R29" s="8">
        <f>M29+N29</f>
        <v>140703</v>
      </c>
      <c r="S29" s="169" t="s">
        <v>432</v>
      </c>
      <c r="T29" s="8">
        <f t="shared" si="0"/>
        <v>140703</v>
      </c>
    </row>
    <row r="30" spans="1:20" s="15" customFormat="1" ht="15">
      <c r="A30" s="12"/>
      <c r="B30" s="12"/>
      <c r="C30" s="12" t="s">
        <v>389</v>
      </c>
      <c r="D30" s="12"/>
      <c r="E30" s="12"/>
      <c r="F30" s="12"/>
      <c r="G30" s="12"/>
      <c r="H30" s="12"/>
      <c r="I30" s="12" t="s">
        <v>433</v>
      </c>
      <c r="J30" s="12"/>
      <c r="K30" s="12"/>
      <c r="L30" s="12"/>
      <c r="M30" s="13">
        <f aca="true" t="shared" si="5" ref="M30:R30">SUM(M27:M29)</f>
        <v>763279</v>
      </c>
      <c r="N30" s="13">
        <f t="shared" si="5"/>
        <v>0</v>
      </c>
      <c r="O30" s="13">
        <f t="shared" si="5"/>
        <v>0</v>
      </c>
      <c r="P30" s="13">
        <f t="shared" si="5"/>
        <v>643038</v>
      </c>
      <c r="Q30" s="13">
        <f t="shared" si="5"/>
        <v>120241</v>
      </c>
      <c r="R30" s="13">
        <f t="shared" si="5"/>
        <v>763279</v>
      </c>
      <c r="S30" s="170" t="s">
        <v>391</v>
      </c>
      <c r="T30" s="16">
        <f t="shared" si="0"/>
        <v>763279</v>
      </c>
    </row>
    <row r="31" spans="1:20" ht="15">
      <c r="A31" s="1"/>
      <c r="C31" s="2" t="s">
        <v>434</v>
      </c>
      <c r="I31" s="2" t="s">
        <v>435</v>
      </c>
      <c r="M31" s="8"/>
      <c r="N31" s="8"/>
      <c r="O31" s="8"/>
      <c r="P31" s="8"/>
      <c r="Q31" s="8"/>
      <c r="R31" s="8"/>
      <c r="S31" s="169" t="s">
        <v>436</v>
      </c>
      <c r="T31" s="8">
        <f t="shared" si="0"/>
        <v>0</v>
      </c>
    </row>
    <row r="32" spans="1:20" ht="15">
      <c r="A32" s="1"/>
      <c r="D32" s="2" t="s">
        <v>387</v>
      </c>
      <c r="J32" s="2" t="s">
        <v>437</v>
      </c>
      <c r="M32" s="8">
        <v>0</v>
      </c>
      <c r="N32" s="8">
        <v>0</v>
      </c>
      <c r="O32" s="8">
        <v>0</v>
      </c>
      <c r="P32" s="8"/>
      <c r="Q32" s="8">
        <v>0</v>
      </c>
      <c r="R32" s="8">
        <f>M32+N32</f>
        <v>0</v>
      </c>
      <c r="S32" s="169" t="s">
        <v>438</v>
      </c>
      <c r="T32" s="8">
        <f t="shared" si="0"/>
        <v>0</v>
      </c>
    </row>
    <row r="33" spans="1:20" ht="15">
      <c r="A33" s="1"/>
      <c r="D33" s="2" t="s">
        <v>427</v>
      </c>
      <c r="J33" s="2" t="s">
        <v>439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>M33+N33</f>
        <v>0</v>
      </c>
      <c r="S33" s="169" t="s">
        <v>440</v>
      </c>
      <c r="T33" s="8">
        <f t="shared" si="0"/>
        <v>0</v>
      </c>
    </row>
    <row r="34" spans="1:20" ht="15">
      <c r="A34" s="1"/>
      <c r="D34" s="2" t="s">
        <v>430</v>
      </c>
      <c r="J34" s="2" t="s">
        <v>441</v>
      </c>
      <c r="M34" s="8">
        <v>176942</v>
      </c>
      <c r="N34" s="8">
        <v>0</v>
      </c>
      <c r="O34" s="8">
        <v>0</v>
      </c>
      <c r="P34" s="8">
        <v>0</v>
      </c>
      <c r="Q34" s="8">
        <v>176942</v>
      </c>
      <c r="R34" s="8">
        <f>M34+N34</f>
        <v>176942</v>
      </c>
      <c r="S34" s="169" t="s">
        <v>442</v>
      </c>
      <c r="T34" s="8">
        <f t="shared" si="0"/>
        <v>176942</v>
      </c>
    </row>
    <row r="35" spans="1:20" s="15" customFormat="1" ht="15">
      <c r="A35" s="12"/>
      <c r="B35" s="12"/>
      <c r="C35" s="12" t="s">
        <v>434</v>
      </c>
      <c r="D35" s="12"/>
      <c r="E35" s="12"/>
      <c r="F35" s="12"/>
      <c r="G35" s="12"/>
      <c r="H35" s="12"/>
      <c r="I35" s="12" t="s">
        <v>443</v>
      </c>
      <c r="J35" s="12"/>
      <c r="K35" s="12"/>
      <c r="L35" s="12"/>
      <c r="M35" s="13">
        <f aca="true" t="shared" si="6" ref="M35:R35">SUM(M32:M34)</f>
        <v>176942</v>
      </c>
      <c r="N35" s="13">
        <f t="shared" si="6"/>
        <v>0</v>
      </c>
      <c r="O35" s="13">
        <f t="shared" si="6"/>
        <v>0</v>
      </c>
      <c r="P35" s="13">
        <f t="shared" si="6"/>
        <v>0</v>
      </c>
      <c r="Q35" s="13">
        <f t="shared" si="6"/>
        <v>176942</v>
      </c>
      <c r="R35" s="13">
        <f t="shared" si="6"/>
        <v>176942</v>
      </c>
      <c r="S35" s="170" t="s">
        <v>436</v>
      </c>
      <c r="T35" s="16">
        <f t="shared" si="0"/>
        <v>176942</v>
      </c>
    </row>
    <row r="36" spans="1:20" ht="15">
      <c r="A36" s="1"/>
      <c r="C36" s="2" t="s">
        <v>444</v>
      </c>
      <c r="I36" s="2" t="s">
        <v>445</v>
      </c>
      <c r="M36" s="8"/>
      <c r="N36" s="8"/>
      <c r="O36" s="8"/>
      <c r="P36" s="8"/>
      <c r="Q36" s="8"/>
      <c r="R36" s="8"/>
      <c r="S36" s="169" t="s">
        <v>446</v>
      </c>
      <c r="T36" s="8">
        <f t="shared" si="0"/>
        <v>0</v>
      </c>
    </row>
    <row r="37" spans="1:20" ht="15">
      <c r="A37" s="1"/>
      <c r="D37" s="2" t="s">
        <v>387</v>
      </c>
      <c r="J37" s="2" t="s">
        <v>447</v>
      </c>
      <c r="M37" s="8"/>
      <c r="N37" s="8"/>
      <c r="O37" s="8"/>
      <c r="P37" s="8"/>
      <c r="Q37" s="8"/>
      <c r="R37" s="8"/>
      <c r="S37" s="169" t="s">
        <v>448</v>
      </c>
      <c r="T37" s="8">
        <f t="shared" si="0"/>
        <v>0</v>
      </c>
    </row>
    <row r="38" spans="1:20" ht="15">
      <c r="A38" s="1"/>
      <c r="E38" s="2" t="s">
        <v>394</v>
      </c>
      <c r="K38" s="2" t="s">
        <v>449</v>
      </c>
      <c r="M38" s="8">
        <v>130000</v>
      </c>
      <c r="N38" s="8"/>
      <c r="O38" s="8">
        <v>0</v>
      </c>
      <c r="P38" s="8">
        <v>130000</v>
      </c>
      <c r="Q38" s="8">
        <v>0</v>
      </c>
      <c r="R38" s="8">
        <f>M38+N38</f>
        <v>130000</v>
      </c>
      <c r="S38" s="169" t="s">
        <v>448</v>
      </c>
      <c r="T38" s="8">
        <f t="shared" si="0"/>
        <v>130000</v>
      </c>
    </row>
    <row r="39" spans="1:20" ht="15">
      <c r="A39" s="10"/>
      <c r="B39" s="10"/>
      <c r="C39" s="10"/>
      <c r="D39" s="10" t="s">
        <v>387</v>
      </c>
      <c r="E39" s="10"/>
      <c r="F39" s="10"/>
      <c r="G39" s="10"/>
      <c r="H39" s="10"/>
      <c r="I39" s="10"/>
      <c r="J39" s="10" t="s">
        <v>408</v>
      </c>
      <c r="K39" s="10"/>
      <c r="L39" s="10"/>
      <c r="M39" s="11">
        <f aca="true" t="shared" si="7" ref="M39:R39">SUM(M38)</f>
        <v>130000</v>
      </c>
      <c r="N39" s="11">
        <f t="shared" si="7"/>
        <v>0</v>
      </c>
      <c r="O39" s="11">
        <f t="shared" si="7"/>
        <v>0</v>
      </c>
      <c r="P39" s="11">
        <f t="shared" si="7"/>
        <v>130000</v>
      </c>
      <c r="Q39" s="11">
        <f t="shared" si="7"/>
        <v>0</v>
      </c>
      <c r="R39" s="11">
        <f t="shared" si="7"/>
        <v>130000</v>
      </c>
      <c r="S39" s="227" t="s">
        <v>448</v>
      </c>
      <c r="T39" s="8">
        <f t="shared" si="0"/>
        <v>130000</v>
      </c>
    </row>
    <row r="40" spans="1:20" ht="15">
      <c r="A40" s="1"/>
      <c r="D40" s="2" t="s">
        <v>427</v>
      </c>
      <c r="J40" s="2" t="s">
        <v>450</v>
      </c>
      <c r="M40" s="8"/>
      <c r="N40" s="8"/>
      <c r="O40" s="8"/>
      <c r="P40" s="8"/>
      <c r="Q40" s="8"/>
      <c r="R40" s="8"/>
      <c r="S40" s="169" t="s">
        <v>451</v>
      </c>
      <c r="T40" s="8">
        <f t="shared" si="0"/>
        <v>0</v>
      </c>
    </row>
    <row r="41" spans="1:20" ht="15">
      <c r="A41" s="1"/>
      <c r="E41" s="2" t="s">
        <v>452</v>
      </c>
      <c r="K41" s="2" t="s">
        <v>453</v>
      </c>
      <c r="M41" s="8">
        <v>620000</v>
      </c>
      <c r="N41" s="8"/>
      <c r="O41" s="8">
        <v>0</v>
      </c>
      <c r="P41" s="8">
        <v>620000</v>
      </c>
      <c r="Q41" s="8">
        <v>0</v>
      </c>
      <c r="R41" s="8">
        <f>M41+N41</f>
        <v>620000</v>
      </c>
      <c r="S41" s="169" t="s">
        <v>454</v>
      </c>
      <c r="T41" s="8">
        <f t="shared" si="0"/>
        <v>620000</v>
      </c>
    </row>
    <row r="42" spans="1:20" ht="15">
      <c r="A42" s="1"/>
      <c r="E42" s="2" t="s">
        <v>455</v>
      </c>
      <c r="K42" s="2" t="s">
        <v>456</v>
      </c>
      <c r="M42" s="8">
        <v>42000</v>
      </c>
      <c r="N42" s="8"/>
      <c r="O42" s="8">
        <v>0</v>
      </c>
      <c r="P42" s="8">
        <v>42000</v>
      </c>
      <c r="Q42" s="8">
        <v>0</v>
      </c>
      <c r="R42" s="8">
        <f>M42+N42</f>
        <v>42000</v>
      </c>
      <c r="S42" s="169" t="s">
        <v>457</v>
      </c>
      <c r="T42" s="8">
        <f t="shared" si="0"/>
        <v>42000</v>
      </c>
    </row>
    <row r="43" spans="1:20" ht="15">
      <c r="A43" s="1"/>
      <c r="E43" s="2" t="s">
        <v>458</v>
      </c>
      <c r="K43" s="2" t="s">
        <v>459</v>
      </c>
      <c r="M43" s="8">
        <v>12000</v>
      </c>
      <c r="N43" s="8"/>
      <c r="O43" s="8">
        <v>0</v>
      </c>
      <c r="P43" s="8">
        <v>12000</v>
      </c>
      <c r="Q43" s="8">
        <v>0</v>
      </c>
      <c r="R43" s="8">
        <f>M43+N43</f>
        <v>12000</v>
      </c>
      <c r="S43" s="169" t="s">
        <v>460</v>
      </c>
      <c r="T43" s="8">
        <f t="shared" si="0"/>
        <v>12000</v>
      </c>
    </row>
    <row r="44" spans="1:20" ht="15">
      <c r="A44" s="10"/>
      <c r="B44" s="10"/>
      <c r="C44" s="10"/>
      <c r="D44" s="10" t="s">
        <v>427</v>
      </c>
      <c r="E44" s="10"/>
      <c r="F44" s="10"/>
      <c r="G44" s="10"/>
      <c r="H44" s="10"/>
      <c r="I44" s="10"/>
      <c r="J44" s="10" t="s">
        <v>408</v>
      </c>
      <c r="K44" s="10"/>
      <c r="L44" s="10"/>
      <c r="M44" s="11">
        <f aca="true" t="shared" si="8" ref="M44:R44">SUM(M41:M43)</f>
        <v>674000</v>
      </c>
      <c r="N44" s="11">
        <f t="shared" si="8"/>
        <v>0</v>
      </c>
      <c r="O44" s="11">
        <f t="shared" si="8"/>
        <v>0</v>
      </c>
      <c r="P44" s="11">
        <f t="shared" si="8"/>
        <v>674000</v>
      </c>
      <c r="Q44" s="11">
        <f t="shared" si="8"/>
        <v>0</v>
      </c>
      <c r="R44" s="11">
        <f t="shared" si="8"/>
        <v>674000</v>
      </c>
      <c r="S44" s="227" t="s">
        <v>451</v>
      </c>
      <c r="T44" s="8">
        <f t="shared" si="0"/>
        <v>674000</v>
      </c>
    </row>
    <row r="45" spans="1:20" ht="15">
      <c r="A45" s="1"/>
      <c r="D45" s="2" t="s">
        <v>430</v>
      </c>
      <c r="J45" s="2" t="s">
        <v>463</v>
      </c>
      <c r="M45" s="8"/>
      <c r="N45" s="8"/>
      <c r="O45" s="8"/>
      <c r="P45" s="8"/>
      <c r="Q45" s="8"/>
      <c r="R45" s="8"/>
      <c r="S45" s="169" t="s">
        <v>464</v>
      </c>
      <c r="T45" s="8">
        <f t="shared" si="0"/>
        <v>0</v>
      </c>
    </row>
    <row r="46" spans="1:20" ht="15">
      <c r="A46" s="1"/>
      <c r="E46" s="2" t="s">
        <v>465</v>
      </c>
      <c r="K46" s="2" t="s">
        <v>466</v>
      </c>
      <c r="M46" s="8">
        <v>2000</v>
      </c>
      <c r="N46" s="8">
        <v>0</v>
      </c>
      <c r="O46" s="8">
        <v>0</v>
      </c>
      <c r="P46" s="8">
        <v>2000</v>
      </c>
      <c r="Q46" s="8">
        <v>0</v>
      </c>
      <c r="R46" s="8">
        <f>M46+N46</f>
        <v>2000</v>
      </c>
      <c r="S46" s="169" t="s">
        <v>464</v>
      </c>
      <c r="T46" s="8">
        <f t="shared" si="0"/>
        <v>2000</v>
      </c>
    </row>
    <row r="47" spans="1:20" ht="15">
      <c r="A47" s="1"/>
      <c r="E47" s="2" t="s">
        <v>467</v>
      </c>
      <c r="K47" s="2" t="s">
        <v>468</v>
      </c>
      <c r="M47" s="8">
        <v>100</v>
      </c>
      <c r="N47" s="8"/>
      <c r="O47" s="8">
        <v>0</v>
      </c>
      <c r="P47" s="8">
        <v>100</v>
      </c>
      <c r="Q47" s="8">
        <v>0</v>
      </c>
      <c r="R47" s="8">
        <f>M47+N47</f>
        <v>100</v>
      </c>
      <c r="S47" s="169" t="s">
        <v>464</v>
      </c>
      <c r="T47" s="8">
        <f t="shared" si="0"/>
        <v>100</v>
      </c>
    </row>
    <row r="48" spans="1:20" ht="15">
      <c r="A48" s="1"/>
      <c r="E48" s="2" t="s">
        <v>469</v>
      </c>
      <c r="K48" s="2" t="s">
        <v>470</v>
      </c>
      <c r="M48" s="8">
        <v>1000</v>
      </c>
      <c r="N48" s="8">
        <v>0</v>
      </c>
      <c r="O48" s="8">
        <v>0</v>
      </c>
      <c r="P48" s="8">
        <v>1000</v>
      </c>
      <c r="Q48" s="8">
        <v>0</v>
      </c>
      <c r="R48" s="8">
        <f>M48+N48</f>
        <v>1000</v>
      </c>
      <c r="S48" s="169" t="s">
        <v>464</v>
      </c>
      <c r="T48" s="8">
        <f t="shared" si="0"/>
        <v>1000</v>
      </c>
    </row>
    <row r="49" spans="1:20" ht="15">
      <c r="A49" s="1"/>
      <c r="B49" s="1"/>
      <c r="E49" s="2" t="s">
        <v>471</v>
      </c>
      <c r="K49" s="2" t="s">
        <v>462</v>
      </c>
      <c r="M49" s="8">
        <v>2000</v>
      </c>
      <c r="N49" s="8"/>
      <c r="O49" s="8">
        <v>0</v>
      </c>
      <c r="P49" s="8">
        <v>2000</v>
      </c>
      <c r="Q49" s="8">
        <v>0</v>
      </c>
      <c r="R49" s="8">
        <f>M49+N49</f>
        <v>2000</v>
      </c>
      <c r="S49" s="169" t="s">
        <v>464</v>
      </c>
      <c r="T49" s="8">
        <f t="shared" si="0"/>
        <v>2000</v>
      </c>
    </row>
    <row r="50" spans="1:20" ht="15">
      <c r="A50" s="10"/>
      <c r="B50" s="10"/>
      <c r="C50" s="10"/>
      <c r="D50" s="10" t="s">
        <v>430</v>
      </c>
      <c r="E50" s="10"/>
      <c r="F50" s="10"/>
      <c r="G50" s="10"/>
      <c r="H50" s="10"/>
      <c r="I50" s="10"/>
      <c r="J50" s="10" t="s">
        <v>408</v>
      </c>
      <c r="K50" s="10"/>
      <c r="L50" s="10"/>
      <c r="M50" s="11">
        <f aca="true" t="shared" si="9" ref="M50:R50">SUM(M46:M49)</f>
        <v>5100</v>
      </c>
      <c r="N50" s="11">
        <f t="shared" si="9"/>
        <v>0</v>
      </c>
      <c r="O50" s="11">
        <f t="shared" si="9"/>
        <v>0</v>
      </c>
      <c r="P50" s="11">
        <f t="shared" si="9"/>
        <v>5100</v>
      </c>
      <c r="Q50" s="11">
        <f t="shared" si="9"/>
        <v>0</v>
      </c>
      <c r="R50" s="11">
        <f t="shared" si="9"/>
        <v>5100</v>
      </c>
      <c r="S50" s="227" t="s">
        <v>464</v>
      </c>
      <c r="T50" s="8">
        <f t="shared" si="0"/>
        <v>5100</v>
      </c>
    </row>
    <row r="51" spans="1:20" s="15" customFormat="1" ht="15">
      <c r="A51" s="12"/>
      <c r="B51" s="12"/>
      <c r="C51" s="12" t="s">
        <v>444</v>
      </c>
      <c r="D51" s="12"/>
      <c r="E51" s="12"/>
      <c r="F51" s="12"/>
      <c r="G51" s="12"/>
      <c r="H51" s="12"/>
      <c r="I51" s="12" t="s">
        <v>472</v>
      </c>
      <c r="J51" s="12"/>
      <c r="K51" s="12"/>
      <c r="L51" s="12"/>
      <c r="M51" s="13">
        <f aca="true" t="shared" si="10" ref="M51:R51">SUM(M50,M39,M44)</f>
        <v>809100</v>
      </c>
      <c r="N51" s="13">
        <f t="shared" si="10"/>
        <v>0</v>
      </c>
      <c r="O51" s="13">
        <f t="shared" si="10"/>
        <v>0</v>
      </c>
      <c r="P51" s="13">
        <f t="shared" si="10"/>
        <v>809100</v>
      </c>
      <c r="Q51" s="13">
        <f t="shared" si="10"/>
        <v>0</v>
      </c>
      <c r="R51" s="13">
        <f t="shared" si="10"/>
        <v>809100</v>
      </c>
      <c r="S51" s="170" t="s">
        <v>446</v>
      </c>
      <c r="T51" s="16">
        <f t="shared" si="0"/>
        <v>809100</v>
      </c>
    </row>
    <row r="52" spans="1:20" ht="15">
      <c r="A52" s="1"/>
      <c r="C52" s="2" t="s">
        <v>473</v>
      </c>
      <c r="I52" s="2" t="s">
        <v>474</v>
      </c>
      <c r="M52" s="8"/>
      <c r="N52" s="8"/>
      <c r="O52" s="8"/>
      <c r="P52" s="8"/>
      <c r="Q52" s="8"/>
      <c r="R52" s="8"/>
      <c r="S52" s="169" t="s">
        <v>475</v>
      </c>
      <c r="T52" s="8">
        <f t="shared" si="0"/>
        <v>0</v>
      </c>
    </row>
    <row r="53" spans="1:20" ht="15">
      <c r="A53" s="1"/>
      <c r="D53" s="2" t="s">
        <v>387</v>
      </c>
      <c r="J53" s="2" t="s">
        <v>476</v>
      </c>
      <c r="M53" s="8">
        <v>180898</v>
      </c>
      <c r="N53" s="8"/>
      <c r="O53" s="8">
        <v>0</v>
      </c>
      <c r="P53" s="8">
        <v>46598</v>
      </c>
      <c r="Q53" s="8">
        <v>134300</v>
      </c>
      <c r="R53" s="8">
        <f>M53+N53</f>
        <v>180898</v>
      </c>
      <c r="S53" s="169" t="s">
        <v>475</v>
      </c>
      <c r="T53" s="8">
        <f t="shared" si="0"/>
        <v>180898</v>
      </c>
    </row>
    <row r="54" spans="1:20" ht="15">
      <c r="A54" s="1"/>
      <c r="D54" s="2" t="s">
        <v>427</v>
      </c>
      <c r="J54" s="2" t="s">
        <v>477</v>
      </c>
      <c r="M54" s="8"/>
      <c r="N54" s="8">
        <v>0</v>
      </c>
      <c r="O54" s="8">
        <v>0</v>
      </c>
      <c r="P54" s="8">
        <v>0</v>
      </c>
      <c r="Q54" s="8">
        <v>0</v>
      </c>
      <c r="R54" s="8">
        <f>M54+N54</f>
        <v>0</v>
      </c>
      <c r="S54" s="169" t="s">
        <v>475</v>
      </c>
      <c r="T54" s="8">
        <f t="shared" si="0"/>
        <v>0</v>
      </c>
    </row>
    <row r="55" spans="1:20" ht="15">
      <c r="A55" s="1"/>
      <c r="D55" s="2" t="s">
        <v>430</v>
      </c>
      <c r="J55" s="2" t="s">
        <v>478</v>
      </c>
      <c r="M55" s="8">
        <v>105702</v>
      </c>
      <c r="N55" s="8">
        <v>0</v>
      </c>
      <c r="O55" s="8">
        <v>0</v>
      </c>
      <c r="P55" s="8">
        <v>105702</v>
      </c>
      <c r="Q55" s="8">
        <v>0</v>
      </c>
      <c r="R55" s="8">
        <f>M55+N55</f>
        <v>105702</v>
      </c>
      <c r="S55" s="169" t="s">
        <v>479</v>
      </c>
      <c r="T55" s="8">
        <f t="shared" si="0"/>
        <v>105702</v>
      </c>
    </row>
    <row r="56" spans="1:20" s="15" customFormat="1" ht="15">
      <c r="A56" s="12"/>
      <c r="B56" s="12"/>
      <c r="C56" s="12" t="s">
        <v>473</v>
      </c>
      <c r="D56" s="12"/>
      <c r="E56" s="12"/>
      <c r="F56" s="12"/>
      <c r="G56" s="12"/>
      <c r="H56" s="12"/>
      <c r="I56" s="12" t="s">
        <v>480</v>
      </c>
      <c r="J56" s="12"/>
      <c r="K56" s="12"/>
      <c r="L56" s="12"/>
      <c r="M56" s="13">
        <f aca="true" t="shared" si="11" ref="M56:R56">SUM(M53:M55)</f>
        <v>286600</v>
      </c>
      <c r="N56" s="13">
        <f t="shared" si="11"/>
        <v>0</v>
      </c>
      <c r="O56" s="13">
        <f t="shared" si="11"/>
        <v>0</v>
      </c>
      <c r="P56" s="13">
        <f t="shared" si="11"/>
        <v>152300</v>
      </c>
      <c r="Q56" s="13">
        <f t="shared" si="11"/>
        <v>134300</v>
      </c>
      <c r="R56" s="13">
        <f t="shared" si="11"/>
        <v>286600</v>
      </c>
      <c r="S56" s="170" t="s">
        <v>475</v>
      </c>
      <c r="T56" s="16">
        <f t="shared" si="0"/>
        <v>286600</v>
      </c>
    </row>
    <row r="57" spans="1:20" ht="15">
      <c r="A57" s="1"/>
      <c r="C57" s="2" t="s">
        <v>481</v>
      </c>
      <c r="I57" s="2" t="s">
        <v>482</v>
      </c>
      <c r="M57" s="8"/>
      <c r="N57" s="8"/>
      <c r="O57" s="8"/>
      <c r="P57" s="8"/>
      <c r="Q57" s="8"/>
      <c r="R57" s="8"/>
      <c r="S57" s="169" t="s">
        <v>483</v>
      </c>
      <c r="T57" s="8">
        <f t="shared" si="0"/>
        <v>0</v>
      </c>
    </row>
    <row r="58" spans="1:20" ht="15">
      <c r="A58" s="1"/>
      <c r="D58" s="2" t="s">
        <v>387</v>
      </c>
      <c r="J58" s="2" t="s">
        <v>484</v>
      </c>
      <c r="M58" s="8">
        <v>84618</v>
      </c>
      <c r="N58" s="8"/>
      <c r="O58" s="8">
        <v>0</v>
      </c>
      <c r="P58" s="8">
        <v>0</v>
      </c>
      <c r="Q58" s="8">
        <v>84618</v>
      </c>
      <c r="R58" s="8">
        <f>M58+N58</f>
        <v>84618</v>
      </c>
      <c r="S58" s="169" t="s">
        <v>485</v>
      </c>
      <c r="T58" s="8">
        <f t="shared" si="0"/>
        <v>84618</v>
      </c>
    </row>
    <row r="59" spans="1:20" ht="15">
      <c r="A59" s="1"/>
      <c r="D59" s="2" t="s">
        <v>427</v>
      </c>
      <c r="J59" s="2" t="s">
        <v>486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f>M59+N59</f>
        <v>0</v>
      </c>
      <c r="S59" s="169" t="s">
        <v>487</v>
      </c>
      <c r="T59" s="8">
        <f t="shared" si="0"/>
        <v>0</v>
      </c>
    </row>
    <row r="60" spans="1:20" s="15" customFormat="1" ht="15">
      <c r="A60" s="12"/>
      <c r="B60" s="12"/>
      <c r="C60" s="12" t="s">
        <v>481</v>
      </c>
      <c r="D60" s="12"/>
      <c r="E60" s="12"/>
      <c r="F60" s="12"/>
      <c r="G60" s="12"/>
      <c r="H60" s="12"/>
      <c r="I60" s="12" t="s">
        <v>488</v>
      </c>
      <c r="J60" s="12"/>
      <c r="K60" s="12"/>
      <c r="L60" s="12"/>
      <c r="M60" s="13">
        <f aca="true" t="shared" si="12" ref="M60:R60">SUM(M57:M59)</f>
        <v>84618</v>
      </c>
      <c r="N60" s="13">
        <f t="shared" si="12"/>
        <v>0</v>
      </c>
      <c r="O60" s="13">
        <f t="shared" si="12"/>
        <v>0</v>
      </c>
      <c r="P60" s="13">
        <f t="shared" si="12"/>
        <v>0</v>
      </c>
      <c r="Q60" s="13">
        <f t="shared" si="12"/>
        <v>84618</v>
      </c>
      <c r="R60" s="13">
        <f t="shared" si="12"/>
        <v>84618</v>
      </c>
      <c r="S60" s="170" t="s">
        <v>483</v>
      </c>
      <c r="T60" s="16">
        <f t="shared" si="0"/>
        <v>84618</v>
      </c>
    </row>
    <row r="61" spans="1:20" ht="15">
      <c r="A61" s="1"/>
      <c r="C61" s="2" t="s">
        <v>489</v>
      </c>
      <c r="I61" s="2" t="s">
        <v>490</v>
      </c>
      <c r="M61" s="8"/>
      <c r="N61" s="8"/>
      <c r="O61" s="8"/>
      <c r="P61" s="8"/>
      <c r="Q61" s="8"/>
      <c r="R61" s="8"/>
      <c r="S61" s="169" t="s">
        <v>491</v>
      </c>
      <c r="T61" s="8">
        <f t="shared" si="0"/>
        <v>0</v>
      </c>
    </row>
    <row r="62" spans="1:19" ht="15">
      <c r="A62" s="1"/>
      <c r="D62" s="2" t="s">
        <v>387</v>
      </c>
      <c r="J62" s="2" t="s">
        <v>490</v>
      </c>
      <c r="M62" s="8">
        <v>0</v>
      </c>
      <c r="N62" s="8"/>
      <c r="O62" s="8">
        <v>0</v>
      </c>
      <c r="P62" s="8">
        <v>0</v>
      </c>
      <c r="Q62" s="8">
        <v>0</v>
      </c>
      <c r="R62" s="8">
        <f>M62+N62</f>
        <v>0</v>
      </c>
      <c r="S62" s="169" t="s">
        <v>492</v>
      </c>
    </row>
    <row r="63" spans="1:20" ht="15">
      <c r="A63" s="1"/>
      <c r="D63" s="2" t="s">
        <v>427</v>
      </c>
      <c r="J63" s="2" t="s">
        <v>493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>M63+N63</f>
        <v>0</v>
      </c>
      <c r="S63" s="169" t="s">
        <v>494</v>
      </c>
      <c r="T63" s="8">
        <f t="shared" si="0"/>
        <v>0</v>
      </c>
    </row>
    <row r="64" spans="1:20" s="15" customFormat="1" ht="15">
      <c r="A64" s="12"/>
      <c r="B64" s="12"/>
      <c r="C64" s="12" t="s">
        <v>489</v>
      </c>
      <c r="D64" s="12"/>
      <c r="E64" s="12"/>
      <c r="F64" s="12"/>
      <c r="G64" s="12"/>
      <c r="H64" s="12"/>
      <c r="I64" s="12" t="s">
        <v>495</v>
      </c>
      <c r="J64" s="12"/>
      <c r="K64" s="12"/>
      <c r="L64" s="12"/>
      <c r="M64" s="13">
        <f aca="true" t="shared" si="13" ref="M64:R64">SUM(M63,M62)</f>
        <v>0</v>
      </c>
      <c r="N64" s="13">
        <f t="shared" si="13"/>
        <v>0</v>
      </c>
      <c r="O64" s="13">
        <f t="shared" si="13"/>
        <v>0</v>
      </c>
      <c r="P64" s="13">
        <f t="shared" si="13"/>
        <v>0</v>
      </c>
      <c r="Q64" s="13">
        <f t="shared" si="13"/>
        <v>0</v>
      </c>
      <c r="R64" s="13">
        <f t="shared" si="13"/>
        <v>0</v>
      </c>
      <c r="S64" s="170" t="s">
        <v>491</v>
      </c>
      <c r="T64" s="16">
        <f t="shared" si="0"/>
        <v>0</v>
      </c>
    </row>
    <row r="65" spans="1:20" ht="15">
      <c r="A65" s="1"/>
      <c r="C65" s="2" t="s">
        <v>496</v>
      </c>
      <c r="I65" s="2" t="s">
        <v>497</v>
      </c>
      <c r="M65" s="8"/>
      <c r="N65" s="8"/>
      <c r="O65" s="8"/>
      <c r="P65" s="8"/>
      <c r="Q65" s="8"/>
      <c r="R65" s="8"/>
      <c r="S65" s="169" t="s">
        <v>498</v>
      </c>
      <c r="T65" s="8">
        <f t="shared" si="0"/>
        <v>0</v>
      </c>
    </row>
    <row r="66" spans="1:20" ht="15">
      <c r="A66" s="1"/>
      <c r="D66" s="2" t="s">
        <v>387</v>
      </c>
      <c r="J66" s="2" t="s">
        <v>499</v>
      </c>
      <c r="M66" s="8"/>
      <c r="N66" s="8"/>
      <c r="O66" s="8"/>
      <c r="P66" s="8"/>
      <c r="Q66" s="8"/>
      <c r="R66" s="8"/>
      <c r="S66" s="169" t="s">
        <v>500</v>
      </c>
      <c r="T66" s="8">
        <f t="shared" si="0"/>
        <v>0</v>
      </c>
    </row>
    <row r="67" spans="1:20" ht="15">
      <c r="A67" s="1"/>
      <c r="E67" s="2" t="s">
        <v>394</v>
      </c>
      <c r="K67" s="2" t="s">
        <v>501</v>
      </c>
      <c r="M67" s="8">
        <v>700</v>
      </c>
      <c r="N67" s="8">
        <v>0</v>
      </c>
      <c r="O67" s="8">
        <v>0</v>
      </c>
      <c r="P67" s="8">
        <v>0</v>
      </c>
      <c r="Q67" s="8">
        <v>700</v>
      </c>
      <c r="R67" s="8">
        <f>M67+N67</f>
        <v>700</v>
      </c>
      <c r="S67" s="169" t="s">
        <v>500</v>
      </c>
      <c r="T67" s="8">
        <f t="shared" si="0"/>
        <v>700</v>
      </c>
    </row>
    <row r="68" spans="1:20" ht="15">
      <c r="A68" s="10"/>
      <c r="B68" s="10"/>
      <c r="C68" s="10"/>
      <c r="D68" s="10" t="s">
        <v>387</v>
      </c>
      <c r="E68" s="10"/>
      <c r="F68" s="10"/>
      <c r="G68" s="10"/>
      <c r="H68" s="10"/>
      <c r="I68" s="10"/>
      <c r="J68" s="10" t="s">
        <v>502</v>
      </c>
      <c r="K68" s="10"/>
      <c r="L68" s="10"/>
      <c r="M68" s="11">
        <f aca="true" t="shared" si="14" ref="M68:R68">SUM(M67)</f>
        <v>700</v>
      </c>
      <c r="N68" s="11">
        <f t="shared" si="14"/>
        <v>0</v>
      </c>
      <c r="O68" s="11">
        <f t="shared" si="14"/>
        <v>0</v>
      </c>
      <c r="P68" s="11">
        <f t="shared" si="14"/>
        <v>0</v>
      </c>
      <c r="Q68" s="11">
        <f t="shared" si="14"/>
        <v>700</v>
      </c>
      <c r="R68" s="11">
        <f t="shared" si="14"/>
        <v>700</v>
      </c>
      <c r="S68" s="227" t="s">
        <v>500</v>
      </c>
      <c r="T68" s="8">
        <f t="shared" si="0"/>
        <v>700</v>
      </c>
    </row>
    <row r="69" spans="1:20" ht="15">
      <c r="A69" s="1"/>
      <c r="D69" s="2" t="s">
        <v>427</v>
      </c>
      <c r="J69" s="2" t="s">
        <v>503</v>
      </c>
      <c r="M69" s="8"/>
      <c r="N69" s="8"/>
      <c r="O69" s="8"/>
      <c r="P69" s="8"/>
      <c r="Q69" s="8"/>
      <c r="R69" s="8"/>
      <c r="S69" s="169" t="s">
        <v>504</v>
      </c>
      <c r="T69" s="8">
        <f t="shared" si="0"/>
        <v>0</v>
      </c>
    </row>
    <row r="70" spans="1:20" ht="15">
      <c r="A70" s="1"/>
      <c r="E70" s="2" t="s">
        <v>452</v>
      </c>
      <c r="K70" s="2" t="s">
        <v>505</v>
      </c>
      <c r="M70" s="8">
        <v>170</v>
      </c>
      <c r="N70" s="8"/>
      <c r="O70" s="8">
        <v>0</v>
      </c>
      <c r="P70" s="8">
        <v>0</v>
      </c>
      <c r="Q70" s="8">
        <v>170</v>
      </c>
      <c r="R70" s="8">
        <f>M70+N70</f>
        <v>170</v>
      </c>
      <c r="S70" s="169" t="s">
        <v>504</v>
      </c>
      <c r="T70" s="8">
        <f t="shared" si="0"/>
        <v>170</v>
      </c>
    </row>
    <row r="71" spans="1:20" ht="15">
      <c r="A71" s="10"/>
      <c r="B71" s="10"/>
      <c r="C71" s="10"/>
      <c r="D71" s="10" t="s">
        <v>427</v>
      </c>
      <c r="E71" s="10"/>
      <c r="F71" s="10"/>
      <c r="G71" s="10"/>
      <c r="H71" s="10"/>
      <c r="I71" s="10"/>
      <c r="J71" s="10" t="s">
        <v>502</v>
      </c>
      <c r="K71" s="10"/>
      <c r="L71" s="10"/>
      <c r="M71" s="11">
        <f aca="true" t="shared" si="15" ref="M71:R71">SUM(M70)</f>
        <v>170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170</v>
      </c>
      <c r="R71" s="11">
        <f t="shared" si="15"/>
        <v>170</v>
      </c>
      <c r="S71" s="227" t="s">
        <v>504</v>
      </c>
      <c r="T71" s="8">
        <f t="shared" si="0"/>
        <v>170</v>
      </c>
    </row>
    <row r="72" spans="1:20" s="15" customFormat="1" ht="15">
      <c r="A72" s="12"/>
      <c r="B72" s="12"/>
      <c r="C72" s="12" t="s">
        <v>496</v>
      </c>
      <c r="D72" s="12"/>
      <c r="E72" s="12"/>
      <c r="F72" s="12"/>
      <c r="G72" s="12"/>
      <c r="H72" s="12"/>
      <c r="I72" s="12" t="s">
        <v>506</v>
      </c>
      <c r="J72" s="12"/>
      <c r="K72" s="12"/>
      <c r="L72" s="12"/>
      <c r="M72" s="13">
        <f aca="true" t="shared" si="16" ref="M72:R72">SUM(M68,M71)</f>
        <v>870</v>
      </c>
      <c r="N72" s="13">
        <f t="shared" si="16"/>
        <v>0</v>
      </c>
      <c r="O72" s="13">
        <f t="shared" si="16"/>
        <v>0</v>
      </c>
      <c r="P72" s="13">
        <f t="shared" si="16"/>
        <v>0</v>
      </c>
      <c r="Q72" s="13">
        <f t="shared" si="16"/>
        <v>870</v>
      </c>
      <c r="R72" s="13">
        <f t="shared" si="16"/>
        <v>870</v>
      </c>
      <c r="S72" s="170" t="s">
        <v>498</v>
      </c>
      <c r="T72" s="16">
        <f t="shared" si="0"/>
        <v>870</v>
      </c>
    </row>
    <row r="73" spans="1:20" s="15" customFormat="1" ht="15">
      <c r="A73" s="12" t="s">
        <v>387</v>
      </c>
      <c r="B73" s="12"/>
      <c r="C73" s="12"/>
      <c r="D73" s="12"/>
      <c r="E73" s="12"/>
      <c r="F73" s="12"/>
      <c r="G73" s="12" t="s">
        <v>507</v>
      </c>
      <c r="H73" s="12"/>
      <c r="I73" s="12"/>
      <c r="J73" s="12"/>
      <c r="K73" s="12"/>
      <c r="L73" s="12"/>
      <c r="M73" s="13">
        <f aca="true" t="shared" si="17" ref="M73:R73">SUM(M30+M35+M51+M56+M60+M64+M72)</f>
        <v>2121409</v>
      </c>
      <c r="N73" s="13">
        <f t="shared" si="17"/>
        <v>0</v>
      </c>
      <c r="O73" s="13">
        <f t="shared" si="17"/>
        <v>0</v>
      </c>
      <c r="P73" s="13">
        <f t="shared" si="17"/>
        <v>1604438</v>
      </c>
      <c r="Q73" s="13">
        <f t="shared" si="17"/>
        <v>516971</v>
      </c>
      <c r="R73" s="13">
        <f t="shared" si="17"/>
        <v>2121409</v>
      </c>
      <c r="S73" s="170"/>
      <c r="T73" s="16">
        <f t="shared" si="0"/>
        <v>2121409</v>
      </c>
    </row>
    <row r="74" spans="1:20" ht="15">
      <c r="A74" s="1" t="s">
        <v>427</v>
      </c>
      <c r="G74" s="2" t="s">
        <v>508</v>
      </c>
      <c r="M74" s="8"/>
      <c r="N74" s="8"/>
      <c r="O74" s="8"/>
      <c r="P74" s="8"/>
      <c r="Q74" s="8"/>
      <c r="R74" s="8"/>
      <c r="S74" s="169"/>
      <c r="T74" s="8">
        <f t="shared" si="0"/>
        <v>0</v>
      </c>
    </row>
    <row r="75" spans="1:20" ht="15">
      <c r="A75" s="1"/>
      <c r="C75" s="2" t="s">
        <v>389</v>
      </c>
      <c r="I75" s="2" t="s">
        <v>390</v>
      </c>
      <c r="M75" s="8"/>
      <c r="N75" s="8"/>
      <c r="O75" s="8"/>
      <c r="P75" s="8"/>
      <c r="Q75" s="8"/>
      <c r="R75" s="8"/>
      <c r="S75" s="169" t="s">
        <v>391</v>
      </c>
      <c r="T75" s="8">
        <f t="shared" si="0"/>
        <v>0</v>
      </c>
    </row>
    <row r="76" spans="1:20" ht="15">
      <c r="A76" s="1"/>
      <c r="D76" s="2" t="s">
        <v>430</v>
      </c>
      <c r="J76" s="2" t="s">
        <v>509</v>
      </c>
      <c r="M76" s="8">
        <v>22510</v>
      </c>
      <c r="N76" s="8"/>
      <c r="O76" s="8">
        <v>0</v>
      </c>
      <c r="P76" s="8">
        <v>22510</v>
      </c>
      <c r="Q76" s="8">
        <v>0</v>
      </c>
      <c r="R76" s="8">
        <f>M76+N76</f>
        <v>22510</v>
      </c>
      <c r="S76" s="169" t="s">
        <v>432</v>
      </c>
      <c r="T76" s="8">
        <f t="shared" si="0"/>
        <v>22510</v>
      </c>
    </row>
    <row r="77" spans="1:20" s="15" customFormat="1" ht="15">
      <c r="A77" s="12"/>
      <c r="B77" s="12"/>
      <c r="C77" s="12" t="s">
        <v>389</v>
      </c>
      <c r="D77" s="12"/>
      <c r="E77" s="12"/>
      <c r="F77" s="12"/>
      <c r="G77" s="12"/>
      <c r="H77" s="12"/>
      <c r="I77" s="12" t="s">
        <v>433</v>
      </c>
      <c r="J77" s="12"/>
      <c r="K77" s="12"/>
      <c r="L77" s="12"/>
      <c r="M77" s="13">
        <f aca="true" t="shared" si="18" ref="M77:R77">SUM(M76)</f>
        <v>22510</v>
      </c>
      <c r="N77" s="13">
        <f t="shared" si="18"/>
        <v>0</v>
      </c>
      <c r="O77" s="13">
        <f t="shared" si="18"/>
        <v>0</v>
      </c>
      <c r="P77" s="13">
        <f t="shared" si="18"/>
        <v>22510</v>
      </c>
      <c r="Q77" s="13">
        <f t="shared" si="18"/>
        <v>0</v>
      </c>
      <c r="R77" s="13">
        <f t="shared" si="18"/>
        <v>22510</v>
      </c>
      <c r="S77" s="170" t="s">
        <v>391</v>
      </c>
      <c r="T77" s="16">
        <f t="shared" si="0"/>
        <v>22510</v>
      </c>
    </row>
    <row r="78" spans="1:20" ht="15">
      <c r="A78" s="1"/>
      <c r="C78" s="2" t="s">
        <v>434</v>
      </c>
      <c r="I78" s="2" t="s">
        <v>435</v>
      </c>
      <c r="M78" s="8"/>
      <c r="N78" s="8"/>
      <c r="O78" s="8"/>
      <c r="P78" s="8"/>
      <c r="Q78" s="8"/>
      <c r="R78" s="8"/>
      <c r="S78" s="169" t="s">
        <v>436</v>
      </c>
      <c r="T78" s="8">
        <f t="shared" si="0"/>
        <v>0</v>
      </c>
    </row>
    <row r="79" spans="1:20" ht="15">
      <c r="A79" s="1"/>
      <c r="D79" s="2" t="s">
        <v>430</v>
      </c>
      <c r="J79" s="2" t="s">
        <v>441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f>M79+N79</f>
        <v>0</v>
      </c>
      <c r="S79" s="169" t="s">
        <v>442</v>
      </c>
      <c r="T79" s="8">
        <f t="shared" si="0"/>
        <v>0</v>
      </c>
    </row>
    <row r="80" spans="1:20" s="15" customFormat="1" ht="15">
      <c r="A80" s="12"/>
      <c r="B80" s="12"/>
      <c r="C80" s="12" t="s">
        <v>434</v>
      </c>
      <c r="D80" s="12"/>
      <c r="E80" s="12"/>
      <c r="F80" s="12"/>
      <c r="G80" s="12"/>
      <c r="H80" s="12"/>
      <c r="I80" s="12" t="s">
        <v>510</v>
      </c>
      <c r="J80" s="12"/>
      <c r="K80" s="12"/>
      <c r="L80" s="12"/>
      <c r="M80" s="13">
        <f aca="true" t="shared" si="19" ref="M80:R80">SUM(M79)</f>
        <v>0</v>
      </c>
      <c r="N80" s="13">
        <f t="shared" si="19"/>
        <v>0</v>
      </c>
      <c r="O80" s="13">
        <f t="shared" si="19"/>
        <v>0</v>
      </c>
      <c r="P80" s="13">
        <f t="shared" si="19"/>
        <v>0</v>
      </c>
      <c r="Q80" s="13">
        <f t="shared" si="19"/>
        <v>0</v>
      </c>
      <c r="R80" s="13">
        <f t="shared" si="19"/>
        <v>0</v>
      </c>
      <c r="S80" s="170" t="s">
        <v>436</v>
      </c>
      <c r="T80" s="16">
        <f t="shared" si="0"/>
        <v>0</v>
      </c>
    </row>
    <row r="81" spans="1:20" ht="15">
      <c r="A81" s="1"/>
      <c r="C81" s="2" t="s">
        <v>444</v>
      </c>
      <c r="I81" s="2" t="s">
        <v>445</v>
      </c>
      <c r="M81" s="8"/>
      <c r="N81" s="8"/>
      <c r="O81" s="8"/>
      <c r="P81" s="8"/>
      <c r="Q81" s="8"/>
      <c r="R81" s="8"/>
      <c r="S81" s="169" t="s">
        <v>446</v>
      </c>
      <c r="T81" s="8">
        <f t="shared" si="0"/>
        <v>0</v>
      </c>
    </row>
    <row r="82" spans="1:20" ht="15">
      <c r="A82" s="1"/>
      <c r="D82" s="2" t="s">
        <v>430</v>
      </c>
      <c r="J82" s="2" t="s">
        <v>463</v>
      </c>
      <c r="M82" s="8"/>
      <c r="N82" s="8"/>
      <c r="O82" s="8"/>
      <c r="P82" s="8"/>
      <c r="Q82" s="8"/>
      <c r="R82" s="8"/>
      <c r="S82" s="169" t="s">
        <v>464</v>
      </c>
      <c r="T82" s="8">
        <f aca="true" t="shared" si="20" ref="T82:T166">SUM(O82:Q82)</f>
        <v>0</v>
      </c>
    </row>
    <row r="83" spans="1:20" ht="15">
      <c r="A83" s="1"/>
      <c r="E83" s="2" t="s">
        <v>471</v>
      </c>
      <c r="K83" s="2" t="s">
        <v>511</v>
      </c>
      <c r="M83" s="8">
        <v>50</v>
      </c>
      <c r="N83" s="8"/>
      <c r="O83" s="8">
        <v>0</v>
      </c>
      <c r="P83" s="8">
        <v>50</v>
      </c>
      <c r="Q83" s="8">
        <v>0</v>
      </c>
      <c r="R83" s="8">
        <f>M83+N83</f>
        <v>50</v>
      </c>
      <c r="S83" s="169" t="s">
        <v>464</v>
      </c>
      <c r="T83" s="8">
        <f t="shared" si="20"/>
        <v>50</v>
      </c>
    </row>
    <row r="84" spans="1:20" s="15" customFormat="1" ht="15">
      <c r="A84" s="12"/>
      <c r="B84" s="12"/>
      <c r="C84" s="12" t="s">
        <v>444</v>
      </c>
      <c r="D84" s="12"/>
      <c r="E84" s="12"/>
      <c r="F84" s="12"/>
      <c r="G84" s="12"/>
      <c r="H84" s="12"/>
      <c r="I84" s="12" t="s">
        <v>472</v>
      </c>
      <c r="J84" s="12"/>
      <c r="K84" s="12"/>
      <c r="L84" s="12"/>
      <c r="M84" s="13">
        <f aca="true" t="shared" si="21" ref="M84:R84">SUM(M83:M83)</f>
        <v>50</v>
      </c>
      <c r="N84" s="13">
        <f t="shared" si="21"/>
        <v>0</v>
      </c>
      <c r="O84" s="13">
        <f t="shared" si="21"/>
        <v>0</v>
      </c>
      <c r="P84" s="13">
        <f t="shared" si="21"/>
        <v>50</v>
      </c>
      <c r="Q84" s="13">
        <f t="shared" si="21"/>
        <v>0</v>
      </c>
      <c r="R84" s="13">
        <f t="shared" si="21"/>
        <v>50</v>
      </c>
      <c r="S84" s="170" t="s">
        <v>446</v>
      </c>
      <c r="T84" s="16">
        <f t="shared" si="20"/>
        <v>50</v>
      </c>
    </row>
    <row r="85" spans="1:20" ht="15">
      <c r="A85" s="1"/>
      <c r="C85" s="2" t="s">
        <v>473</v>
      </c>
      <c r="I85" s="2" t="s">
        <v>474</v>
      </c>
      <c r="M85" s="8"/>
      <c r="N85" s="8"/>
      <c r="O85" s="8"/>
      <c r="P85" s="8"/>
      <c r="Q85" s="8"/>
      <c r="R85" s="8"/>
      <c r="S85" s="169" t="s">
        <v>475</v>
      </c>
      <c r="T85" s="8">
        <f t="shared" si="20"/>
        <v>0</v>
      </c>
    </row>
    <row r="86" spans="1:20" ht="15">
      <c r="A86" s="1"/>
      <c r="D86" s="2" t="s">
        <v>387</v>
      </c>
      <c r="J86" s="2" t="s">
        <v>476</v>
      </c>
      <c r="M86" s="8">
        <v>2500</v>
      </c>
      <c r="N86" s="8"/>
      <c r="O86" s="8">
        <v>0</v>
      </c>
      <c r="P86" s="8">
        <v>2500</v>
      </c>
      <c r="Q86" s="8">
        <v>0</v>
      </c>
      <c r="R86" s="8">
        <f>M86+N86</f>
        <v>2500</v>
      </c>
      <c r="S86" s="169" t="s">
        <v>475</v>
      </c>
      <c r="T86" s="8">
        <f t="shared" si="20"/>
        <v>2500</v>
      </c>
    </row>
    <row r="87" spans="1:20" s="15" customFormat="1" ht="15">
      <c r="A87" s="12"/>
      <c r="B87" s="12"/>
      <c r="C87" s="12" t="s">
        <v>473</v>
      </c>
      <c r="D87" s="12"/>
      <c r="E87" s="12"/>
      <c r="F87" s="12"/>
      <c r="G87" s="12"/>
      <c r="H87" s="12"/>
      <c r="I87" s="12" t="s">
        <v>480</v>
      </c>
      <c r="J87" s="12"/>
      <c r="K87" s="12"/>
      <c r="L87" s="12"/>
      <c r="M87" s="13">
        <f aca="true" t="shared" si="22" ref="M87:R87">SUM(M86:M86)</f>
        <v>2500</v>
      </c>
      <c r="N87" s="13">
        <f t="shared" si="22"/>
        <v>0</v>
      </c>
      <c r="O87" s="13">
        <f t="shared" si="22"/>
        <v>0</v>
      </c>
      <c r="P87" s="13">
        <f t="shared" si="22"/>
        <v>2500</v>
      </c>
      <c r="Q87" s="13">
        <f t="shared" si="22"/>
        <v>0</v>
      </c>
      <c r="R87" s="13">
        <f t="shared" si="22"/>
        <v>2500</v>
      </c>
      <c r="S87" s="170" t="s">
        <v>475</v>
      </c>
      <c r="T87" s="16">
        <f t="shared" si="20"/>
        <v>2500</v>
      </c>
    </row>
    <row r="88" spans="1:20" ht="15">
      <c r="A88" s="1"/>
      <c r="C88" s="2" t="s">
        <v>489</v>
      </c>
      <c r="I88" s="2" t="s">
        <v>490</v>
      </c>
      <c r="M88" s="8"/>
      <c r="N88" s="8"/>
      <c r="O88" s="8"/>
      <c r="P88" s="8"/>
      <c r="Q88" s="8"/>
      <c r="R88" s="8"/>
      <c r="S88" s="169" t="s">
        <v>491</v>
      </c>
      <c r="T88" s="8">
        <f t="shared" si="20"/>
        <v>0</v>
      </c>
    </row>
    <row r="89" spans="1:20" ht="15">
      <c r="A89" s="1"/>
      <c r="D89" s="2" t="s">
        <v>427</v>
      </c>
      <c r="J89" s="2" t="s">
        <v>493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f>M89+N89</f>
        <v>0</v>
      </c>
      <c r="S89" s="169" t="s">
        <v>494</v>
      </c>
      <c r="T89" s="8">
        <f t="shared" si="20"/>
        <v>0</v>
      </c>
    </row>
    <row r="90" spans="1:20" s="15" customFormat="1" ht="15">
      <c r="A90" s="12"/>
      <c r="B90" s="12"/>
      <c r="C90" s="12" t="s">
        <v>489</v>
      </c>
      <c r="D90" s="12"/>
      <c r="E90" s="12"/>
      <c r="F90" s="12"/>
      <c r="G90" s="12"/>
      <c r="H90" s="12"/>
      <c r="I90" s="12" t="s">
        <v>495</v>
      </c>
      <c r="J90" s="12"/>
      <c r="K90" s="12"/>
      <c r="L90" s="12"/>
      <c r="M90" s="13">
        <f aca="true" t="shared" si="23" ref="M90:R90">SUM(M89)</f>
        <v>0</v>
      </c>
      <c r="N90" s="13">
        <f t="shared" si="23"/>
        <v>0</v>
      </c>
      <c r="O90" s="13">
        <f t="shared" si="23"/>
        <v>0</v>
      </c>
      <c r="P90" s="13">
        <f t="shared" si="23"/>
        <v>0</v>
      </c>
      <c r="Q90" s="13">
        <f t="shared" si="23"/>
        <v>0</v>
      </c>
      <c r="R90" s="13">
        <f t="shared" si="23"/>
        <v>0</v>
      </c>
      <c r="S90" s="170" t="s">
        <v>491</v>
      </c>
      <c r="T90" s="16">
        <f t="shared" si="20"/>
        <v>0</v>
      </c>
    </row>
    <row r="91" spans="1:20" ht="15">
      <c r="A91" s="1"/>
      <c r="C91" s="2" t="s">
        <v>496</v>
      </c>
      <c r="I91" s="2" t="s">
        <v>497</v>
      </c>
      <c r="M91" s="8"/>
      <c r="N91" s="8"/>
      <c r="O91" s="8"/>
      <c r="P91" s="8"/>
      <c r="Q91" s="8"/>
      <c r="R91" s="8"/>
      <c r="S91" s="169" t="s">
        <v>498</v>
      </c>
      <c r="T91" s="8">
        <f t="shared" si="20"/>
        <v>0</v>
      </c>
    </row>
    <row r="92" spans="1:20" ht="15">
      <c r="A92" s="1"/>
      <c r="D92" s="2" t="s">
        <v>427</v>
      </c>
      <c r="J92" s="2" t="s">
        <v>503</v>
      </c>
      <c r="M92" s="8"/>
      <c r="N92" s="8"/>
      <c r="O92" s="8"/>
      <c r="P92" s="8"/>
      <c r="Q92" s="8"/>
      <c r="R92" s="8"/>
      <c r="S92" s="169" t="s">
        <v>504</v>
      </c>
      <c r="T92" s="8">
        <f t="shared" si="20"/>
        <v>0</v>
      </c>
    </row>
    <row r="93" spans="1:20" ht="15">
      <c r="A93" s="1"/>
      <c r="E93" s="2" t="s">
        <v>452</v>
      </c>
      <c r="K93" s="2" t="s">
        <v>505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f>M93+N93</f>
        <v>0</v>
      </c>
      <c r="S93" s="169" t="s">
        <v>504</v>
      </c>
      <c r="T93" s="8">
        <f t="shared" si="20"/>
        <v>0</v>
      </c>
    </row>
    <row r="94" spans="1:20" s="15" customFormat="1" ht="15">
      <c r="A94" s="12"/>
      <c r="B94" s="12"/>
      <c r="C94" s="12" t="s">
        <v>496</v>
      </c>
      <c r="D94" s="12"/>
      <c r="E94" s="12"/>
      <c r="F94" s="12"/>
      <c r="G94" s="12"/>
      <c r="H94" s="12"/>
      <c r="I94" s="12" t="s">
        <v>506</v>
      </c>
      <c r="J94" s="12"/>
      <c r="K94" s="12"/>
      <c r="L94" s="12"/>
      <c r="M94" s="13">
        <f aca="true" t="shared" si="24" ref="M94:R94">SUM(M93)</f>
        <v>0</v>
      </c>
      <c r="N94" s="13">
        <f t="shared" si="24"/>
        <v>0</v>
      </c>
      <c r="O94" s="13">
        <f t="shared" si="24"/>
        <v>0</v>
      </c>
      <c r="P94" s="13">
        <f t="shared" si="24"/>
        <v>0</v>
      </c>
      <c r="Q94" s="13">
        <f t="shared" si="24"/>
        <v>0</v>
      </c>
      <c r="R94" s="13">
        <f t="shared" si="24"/>
        <v>0</v>
      </c>
      <c r="S94" s="170" t="s">
        <v>498</v>
      </c>
      <c r="T94" s="16">
        <f t="shared" si="20"/>
        <v>0</v>
      </c>
    </row>
    <row r="95" spans="1:20" s="15" customFormat="1" ht="15">
      <c r="A95" s="12" t="s">
        <v>427</v>
      </c>
      <c r="B95" s="12"/>
      <c r="C95" s="12"/>
      <c r="D95" s="12"/>
      <c r="E95" s="12"/>
      <c r="F95" s="12"/>
      <c r="G95" s="12" t="s">
        <v>512</v>
      </c>
      <c r="H95" s="12"/>
      <c r="I95" s="12"/>
      <c r="J95" s="12"/>
      <c r="K95" s="12"/>
      <c r="L95" s="12"/>
      <c r="M95" s="13">
        <f aca="true" t="shared" si="25" ref="M95:R95">SUM(M77+M80+M84+M87+M90+M94)</f>
        <v>25060</v>
      </c>
      <c r="N95" s="13">
        <f t="shared" si="25"/>
        <v>0</v>
      </c>
      <c r="O95" s="13">
        <f t="shared" si="25"/>
        <v>0</v>
      </c>
      <c r="P95" s="13">
        <f t="shared" si="25"/>
        <v>25060</v>
      </c>
      <c r="Q95" s="13">
        <f t="shared" si="25"/>
        <v>0</v>
      </c>
      <c r="R95" s="13">
        <f t="shared" si="25"/>
        <v>25060</v>
      </c>
      <c r="S95" s="170"/>
      <c r="T95" s="16">
        <f t="shared" si="20"/>
        <v>25060</v>
      </c>
    </row>
    <row r="96" spans="1:20" ht="15">
      <c r="A96" s="1" t="s">
        <v>430</v>
      </c>
      <c r="G96" s="2" t="s">
        <v>707</v>
      </c>
      <c r="M96" s="8"/>
      <c r="N96" s="8"/>
      <c r="O96" s="8"/>
      <c r="P96" s="8"/>
      <c r="Q96" s="8"/>
      <c r="R96" s="8"/>
      <c r="S96" s="169"/>
      <c r="T96" s="8">
        <f t="shared" si="20"/>
        <v>0</v>
      </c>
    </row>
    <row r="97" spans="1:20" ht="15">
      <c r="A97" s="1"/>
      <c r="C97" s="2" t="s">
        <v>389</v>
      </c>
      <c r="I97" s="2" t="s">
        <v>390</v>
      </c>
      <c r="M97" s="8"/>
      <c r="N97" s="8"/>
      <c r="O97" s="8"/>
      <c r="P97" s="8"/>
      <c r="Q97" s="8"/>
      <c r="R97" s="8"/>
      <c r="S97" s="169" t="s">
        <v>391</v>
      </c>
      <c r="T97" s="8">
        <f t="shared" si="20"/>
        <v>0</v>
      </c>
    </row>
    <row r="98" spans="1:20" ht="15">
      <c r="A98" s="1"/>
      <c r="D98" s="2" t="s">
        <v>430</v>
      </c>
      <c r="J98" s="2" t="s">
        <v>431</v>
      </c>
      <c r="M98" s="8">
        <v>709</v>
      </c>
      <c r="N98" s="8"/>
      <c r="O98" s="8">
        <v>0</v>
      </c>
      <c r="P98" s="8">
        <v>709</v>
      </c>
      <c r="Q98" s="8">
        <v>0</v>
      </c>
      <c r="R98" s="8">
        <f>M98+N98</f>
        <v>709</v>
      </c>
      <c r="S98" s="169" t="s">
        <v>432</v>
      </c>
      <c r="T98" s="8">
        <f t="shared" si="20"/>
        <v>709</v>
      </c>
    </row>
    <row r="99" spans="1:20" s="15" customFormat="1" ht="15">
      <c r="A99" s="12"/>
      <c r="B99" s="12"/>
      <c r="C99" s="12" t="s">
        <v>389</v>
      </c>
      <c r="D99" s="12"/>
      <c r="E99" s="12"/>
      <c r="F99" s="12"/>
      <c r="G99" s="12"/>
      <c r="H99" s="12"/>
      <c r="I99" s="12" t="s">
        <v>433</v>
      </c>
      <c r="J99" s="12"/>
      <c r="K99" s="12"/>
      <c r="L99" s="12"/>
      <c r="M99" s="13">
        <f aca="true" t="shared" si="26" ref="M99:R99">SUM(M97:M98)</f>
        <v>709</v>
      </c>
      <c r="N99" s="13">
        <f t="shared" si="26"/>
        <v>0</v>
      </c>
      <c r="O99" s="13">
        <f t="shared" si="26"/>
        <v>0</v>
      </c>
      <c r="P99" s="13">
        <f t="shared" si="26"/>
        <v>709</v>
      </c>
      <c r="Q99" s="13">
        <f t="shared" si="26"/>
        <v>0</v>
      </c>
      <c r="R99" s="13">
        <f t="shared" si="26"/>
        <v>709</v>
      </c>
      <c r="S99" s="170" t="s">
        <v>391</v>
      </c>
      <c r="T99" s="16">
        <f t="shared" si="20"/>
        <v>709</v>
      </c>
    </row>
    <row r="100" spans="1:20" ht="15">
      <c r="A100" s="1"/>
      <c r="C100" s="2" t="s">
        <v>434</v>
      </c>
      <c r="I100" s="2" t="s">
        <v>435</v>
      </c>
      <c r="M100" s="8"/>
      <c r="N100" s="8"/>
      <c r="O100" s="8"/>
      <c r="P100" s="8"/>
      <c r="Q100" s="8"/>
      <c r="R100" s="8"/>
      <c r="S100" s="169" t="s">
        <v>436</v>
      </c>
      <c r="T100" s="8">
        <f t="shared" si="20"/>
        <v>0</v>
      </c>
    </row>
    <row r="101" spans="1:20" ht="15">
      <c r="A101" s="1"/>
      <c r="D101" s="2" t="s">
        <v>430</v>
      </c>
      <c r="J101" s="2" t="s">
        <v>441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f>M101+N101</f>
        <v>0</v>
      </c>
      <c r="S101" s="169" t="s">
        <v>442</v>
      </c>
      <c r="T101" s="8">
        <f t="shared" si="20"/>
        <v>0</v>
      </c>
    </row>
    <row r="102" spans="1:20" s="15" customFormat="1" ht="15">
      <c r="A102" s="12"/>
      <c r="B102" s="12"/>
      <c r="C102" s="12" t="s">
        <v>434</v>
      </c>
      <c r="D102" s="12"/>
      <c r="E102" s="12"/>
      <c r="F102" s="12"/>
      <c r="G102" s="12"/>
      <c r="H102" s="12"/>
      <c r="I102" s="12" t="s">
        <v>443</v>
      </c>
      <c r="J102" s="12"/>
      <c r="K102" s="12"/>
      <c r="L102" s="12"/>
      <c r="M102" s="13">
        <f aca="true" t="shared" si="27" ref="M102:R102">SUM(M101)</f>
        <v>0</v>
      </c>
      <c r="N102" s="13">
        <f t="shared" si="27"/>
        <v>0</v>
      </c>
      <c r="O102" s="13">
        <f t="shared" si="27"/>
        <v>0</v>
      </c>
      <c r="P102" s="13">
        <f t="shared" si="27"/>
        <v>0</v>
      </c>
      <c r="Q102" s="13">
        <f t="shared" si="27"/>
        <v>0</v>
      </c>
      <c r="R102" s="13">
        <f t="shared" si="27"/>
        <v>0</v>
      </c>
      <c r="S102" s="170" t="s">
        <v>436</v>
      </c>
      <c r="T102" s="16">
        <f t="shared" si="20"/>
        <v>0</v>
      </c>
    </row>
    <row r="103" spans="1:20" ht="15">
      <c r="A103" s="1"/>
      <c r="C103" s="2" t="s">
        <v>473</v>
      </c>
      <c r="I103" s="2" t="s">
        <v>474</v>
      </c>
      <c r="M103" s="8"/>
      <c r="N103" s="8"/>
      <c r="O103" s="8"/>
      <c r="P103" s="8"/>
      <c r="Q103" s="8"/>
      <c r="R103" s="8"/>
      <c r="S103" s="169"/>
      <c r="T103" s="8">
        <f t="shared" si="20"/>
        <v>0</v>
      </c>
    </row>
    <row r="104" spans="1:20" ht="15">
      <c r="A104" s="1"/>
      <c r="D104" s="2" t="s">
        <v>387</v>
      </c>
      <c r="J104" s="2" t="s">
        <v>476</v>
      </c>
      <c r="M104" s="8">
        <v>1727</v>
      </c>
      <c r="N104" s="8">
        <v>0</v>
      </c>
      <c r="O104" s="8">
        <v>0</v>
      </c>
      <c r="P104" s="8">
        <v>1727</v>
      </c>
      <c r="Q104" s="8">
        <v>0</v>
      </c>
      <c r="R104" s="8">
        <f>M104+N104</f>
        <v>1727</v>
      </c>
      <c r="S104" s="169" t="s">
        <v>475</v>
      </c>
      <c r="T104" s="8">
        <f t="shared" si="20"/>
        <v>1727</v>
      </c>
    </row>
    <row r="105" spans="1:20" s="15" customFormat="1" ht="15">
      <c r="A105" s="12"/>
      <c r="B105" s="12"/>
      <c r="C105" s="12" t="s">
        <v>473</v>
      </c>
      <c r="D105" s="12"/>
      <c r="E105" s="12"/>
      <c r="F105" s="12"/>
      <c r="G105" s="12"/>
      <c r="H105" s="12"/>
      <c r="I105" s="12" t="s">
        <v>480</v>
      </c>
      <c r="J105" s="12"/>
      <c r="K105" s="12"/>
      <c r="L105" s="12"/>
      <c r="M105" s="13">
        <f aca="true" t="shared" si="28" ref="M105:R105">SUM(M104:M104)</f>
        <v>1727</v>
      </c>
      <c r="N105" s="13">
        <f t="shared" si="28"/>
        <v>0</v>
      </c>
      <c r="O105" s="13">
        <f t="shared" si="28"/>
        <v>0</v>
      </c>
      <c r="P105" s="13">
        <f t="shared" si="28"/>
        <v>1727</v>
      </c>
      <c r="Q105" s="13">
        <f t="shared" si="28"/>
        <v>0</v>
      </c>
      <c r="R105" s="13">
        <f t="shared" si="28"/>
        <v>1727</v>
      </c>
      <c r="S105" s="170" t="s">
        <v>475</v>
      </c>
      <c r="T105" s="16">
        <f t="shared" si="20"/>
        <v>1727</v>
      </c>
    </row>
    <row r="106" spans="1:20" ht="15">
      <c r="A106" s="1"/>
      <c r="C106" s="2" t="s">
        <v>489</v>
      </c>
      <c r="I106" s="2" t="s">
        <v>490</v>
      </c>
      <c r="M106" s="8"/>
      <c r="N106" s="8"/>
      <c r="O106" s="8"/>
      <c r="P106" s="8"/>
      <c r="Q106" s="8"/>
      <c r="R106" s="8"/>
      <c r="S106" s="169" t="s">
        <v>491</v>
      </c>
      <c r="T106" s="8">
        <f t="shared" si="20"/>
        <v>0</v>
      </c>
    </row>
    <row r="107" spans="1:20" ht="15">
      <c r="A107" s="1"/>
      <c r="D107" s="2" t="s">
        <v>427</v>
      </c>
      <c r="J107" s="2" t="s">
        <v>493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f>M107+N107</f>
        <v>0</v>
      </c>
      <c r="S107" s="169" t="s">
        <v>494</v>
      </c>
      <c r="T107" s="8">
        <f t="shared" si="20"/>
        <v>0</v>
      </c>
    </row>
    <row r="108" spans="1:20" s="15" customFormat="1" ht="15">
      <c r="A108" s="12"/>
      <c r="B108" s="12"/>
      <c r="C108" s="12" t="s">
        <v>489</v>
      </c>
      <c r="D108" s="12"/>
      <c r="E108" s="12"/>
      <c r="F108" s="12"/>
      <c r="G108" s="12"/>
      <c r="H108" s="12"/>
      <c r="I108" s="12" t="s">
        <v>495</v>
      </c>
      <c r="J108" s="12"/>
      <c r="K108" s="12"/>
      <c r="L108" s="12"/>
      <c r="M108" s="13">
        <f aca="true" t="shared" si="29" ref="M108:R108">SUM(M107)</f>
        <v>0</v>
      </c>
      <c r="N108" s="13">
        <f t="shared" si="29"/>
        <v>0</v>
      </c>
      <c r="O108" s="13">
        <f t="shared" si="29"/>
        <v>0</v>
      </c>
      <c r="P108" s="13">
        <f t="shared" si="29"/>
        <v>0</v>
      </c>
      <c r="Q108" s="13">
        <f t="shared" si="29"/>
        <v>0</v>
      </c>
      <c r="R108" s="13">
        <f t="shared" si="29"/>
        <v>0</v>
      </c>
      <c r="S108" s="170" t="s">
        <v>491</v>
      </c>
      <c r="T108" s="16">
        <f t="shared" si="20"/>
        <v>0</v>
      </c>
    </row>
    <row r="109" spans="1:20" ht="15">
      <c r="A109" s="1"/>
      <c r="C109" s="2" t="s">
        <v>496</v>
      </c>
      <c r="I109" s="2" t="s">
        <v>497</v>
      </c>
      <c r="M109" s="8"/>
      <c r="N109" s="8"/>
      <c r="O109" s="8"/>
      <c r="P109" s="8"/>
      <c r="Q109" s="8"/>
      <c r="R109" s="8"/>
      <c r="S109" s="169" t="s">
        <v>498</v>
      </c>
      <c r="T109" s="8">
        <f t="shared" si="20"/>
        <v>0</v>
      </c>
    </row>
    <row r="110" spans="1:20" ht="15">
      <c r="A110" s="1"/>
      <c r="D110" s="2" t="s">
        <v>427</v>
      </c>
      <c r="J110" s="2" t="s">
        <v>503</v>
      </c>
      <c r="M110" s="8"/>
      <c r="N110" s="8"/>
      <c r="O110" s="8"/>
      <c r="P110" s="8"/>
      <c r="Q110" s="8"/>
      <c r="R110" s="8"/>
      <c r="S110" s="169" t="s">
        <v>504</v>
      </c>
      <c r="T110" s="8">
        <f t="shared" si="20"/>
        <v>0</v>
      </c>
    </row>
    <row r="111" spans="1:20" ht="15">
      <c r="A111" s="1"/>
      <c r="E111" s="2" t="s">
        <v>452</v>
      </c>
      <c r="K111" s="2" t="s">
        <v>505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f>M111+N111</f>
        <v>0</v>
      </c>
      <c r="S111" s="169" t="s">
        <v>504</v>
      </c>
      <c r="T111" s="8">
        <f t="shared" si="20"/>
        <v>0</v>
      </c>
    </row>
    <row r="112" spans="1:20" s="15" customFormat="1" ht="15">
      <c r="A112" s="12"/>
      <c r="B112" s="12"/>
      <c r="C112" s="12" t="s">
        <v>496</v>
      </c>
      <c r="D112" s="12"/>
      <c r="E112" s="12"/>
      <c r="F112" s="12"/>
      <c r="G112" s="12"/>
      <c r="H112" s="12"/>
      <c r="I112" s="12"/>
      <c r="J112" s="12" t="s">
        <v>506</v>
      </c>
      <c r="K112" s="12"/>
      <c r="L112" s="12"/>
      <c r="M112" s="13">
        <f aca="true" t="shared" si="30" ref="M112:R112">SUM(M111)</f>
        <v>0</v>
      </c>
      <c r="N112" s="13">
        <f t="shared" si="30"/>
        <v>0</v>
      </c>
      <c r="O112" s="13">
        <f t="shared" si="30"/>
        <v>0</v>
      </c>
      <c r="P112" s="13">
        <f t="shared" si="30"/>
        <v>0</v>
      </c>
      <c r="Q112" s="13">
        <f t="shared" si="30"/>
        <v>0</v>
      </c>
      <c r="R112" s="13">
        <f t="shared" si="30"/>
        <v>0</v>
      </c>
      <c r="S112" s="170" t="s">
        <v>498</v>
      </c>
      <c r="T112" s="16">
        <f t="shared" si="20"/>
        <v>0</v>
      </c>
    </row>
    <row r="113" spans="1:20" s="15" customFormat="1" ht="15">
      <c r="A113" s="12" t="s">
        <v>430</v>
      </c>
      <c r="B113" s="12"/>
      <c r="C113" s="12"/>
      <c r="D113" s="12"/>
      <c r="E113" s="12"/>
      <c r="F113" s="12"/>
      <c r="G113" s="12" t="s">
        <v>708</v>
      </c>
      <c r="H113" s="12"/>
      <c r="I113" s="12"/>
      <c r="J113" s="12"/>
      <c r="K113" s="12"/>
      <c r="L113" s="12"/>
      <c r="M113" s="13">
        <f aca="true" t="shared" si="31" ref="M113:R113">SUM(M99,M102,M105,M108,M112)</f>
        <v>2436</v>
      </c>
      <c r="N113" s="13">
        <f t="shared" si="31"/>
        <v>0</v>
      </c>
      <c r="O113" s="13">
        <f t="shared" si="31"/>
        <v>0</v>
      </c>
      <c r="P113" s="13">
        <f t="shared" si="31"/>
        <v>2436</v>
      </c>
      <c r="Q113" s="13">
        <f t="shared" si="31"/>
        <v>0</v>
      </c>
      <c r="R113" s="13">
        <f t="shared" si="31"/>
        <v>2436</v>
      </c>
      <c r="S113" s="170"/>
      <c r="T113" s="16">
        <f t="shared" si="20"/>
        <v>2436</v>
      </c>
    </row>
    <row r="114" spans="1:20" ht="15">
      <c r="A114" s="1" t="s">
        <v>513</v>
      </c>
      <c r="G114" s="2" t="s">
        <v>514</v>
      </c>
      <c r="M114" s="8"/>
      <c r="N114" s="8"/>
      <c r="O114" s="8"/>
      <c r="P114" s="8"/>
      <c r="Q114" s="8"/>
      <c r="R114" s="8"/>
      <c r="S114" s="169"/>
      <c r="T114" s="8">
        <f aca="true" t="shared" si="32" ref="T114:T131">SUM(O114:Q114)</f>
        <v>0</v>
      </c>
    </row>
    <row r="115" spans="1:20" ht="15">
      <c r="A115" s="1"/>
      <c r="C115" s="2" t="s">
        <v>389</v>
      </c>
      <c r="I115" s="2" t="s">
        <v>390</v>
      </c>
      <c r="M115" s="8"/>
      <c r="N115" s="8"/>
      <c r="O115" s="8"/>
      <c r="P115" s="8"/>
      <c r="Q115" s="8"/>
      <c r="R115" s="8"/>
      <c r="S115" s="169" t="s">
        <v>391</v>
      </c>
      <c r="T115" s="8">
        <f t="shared" si="32"/>
        <v>0</v>
      </c>
    </row>
    <row r="116" spans="1:20" ht="15">
      <c r="A116" s="1"/>
      <c r="D116" s="2" t="s">
        <v>430</v>
      </c>
      <c r="J116" s="2" t="s">
        <v>431</v>
      </c>
      <c r="M116" s="8">
        <v>21687</v>
      </c>
      <c r="N116" s="8"/>
      <c r="O116" s="8">
        <v>0</v>
      </c>
      <c r="P116" s="8">
        <v>1429</v>
      </c>
      <c r="Q116" s="8">
        <v>20258</v>
      </c>
      <c r="R116" s="8">
        <f>M116+N116</f>
        <v>21687</v>
      </c>
      <c r="S116" s="169" t="s">
        <v>432</v>
      </c>
      <c r="T116" s="8">
        <f t="shared" si="32"/>
        <v>21687</v>
      </c>
    </row>
    <row r="117" spans="1:20" s="15" customFormat="1" ht="15">
      <c r="A117" s="12"/>
      <c r="B117" s="12"/>
      <c r="C117" s="12" t="s">
        <v>389</v>
      </c>
      <c r="D117" s="12"/>
      <c r="E117" s="12"/>
      <c r="F117" s="12"/>
      <c r="G117" s="12"/>
      <c r="H117" s="12"/>
      <c r="I117" s="12" t="s">
        <v>433</v>
      </c>
      <c r="J117" s="12"/>
      <c r="K117" s="12"/>
      <c r="L117" s="12"/>
      <c r="M117" s="13">
        <f aca="true" t="shared" si="33" ref="M117:R117">SUM(M115:M116)</f>
        <v>21687</v>
      </c>
      <c r="N117" s="13">
        <f t="shared" si="33"/>
        <v>0</v>
      </c>
      <c r="O117" s="13">
        <f t="shared" si="33"/>
        <v>0</v>
      </c>
      <c r="P117" s="13">
        <f t="shared" si="33"/>
        <v>1429</v>
      </c>
      <c r="Q117" s="13">
        <f t="shared" si="33"/>
        <v>20258</v>
      </c>
      <c r="R117" s="13">
        <f t="shared" si="33"/>
        <v>21687</v>
      </c>
      <c r="S117" s="170" t="s">
        <v>391</v>
      </c>
      <c r="T117" s="16">
        <f t="shared" si="32"/>
        <v>21687</v>
      </c>
    </row>
    <row r="118" spans="1:20" ht="15">
      <c r="A118" s="1"/>
      <c r="C118" s="2" t="s">
        <v>434</v>
      </c>
      <c r="I118" s="2" t="s">
        <v>435</v>
      </c>
      <c r="M118" s="8"/>
      <c r="N118" s="8"/>
      <c r="O118" s="8"/>
      <c r="P118" s="8"/>
      <c r="Q118" s="8"/>
      <c r="R118" s="8"/>
      <c r="S118" s="169" t="s">
        <v>436</v>
      </c>
      <c r="T118" s="8">
        <f t="shared" si="32"/>
        <v>0</v>
      </c>
    </row>
    <row r="119" spans="1:20" ht="15">
      <c r="A119" s="1"/>
      <c r="D119" s="2" t="s">
        <v>430</v>
      </c>
      <c r="J119" s="2" t="s">
        <v>441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f>M119+N119</f>
        <v>0</v>
      </c>
      <c r="S119" s="169" t="s">
        <v>442</v>
      </c>
      <c r="T119" s="8">
        <f t="shared" si="32"/>
        <v>0</v>
      </c>
    </row>
    <row r="120" spans="1:20" s="15" customFormat="1" ht="15">
      <c r="A120" s="12"/>
      <c r="B120" s="12"/>
      <c r="C120" s="12" t="s">
        <v>434</v>
      </c>
      <c r="D120" s="12"/>
      <c r="E120" s="12"/>
      <c r="F120" s="12"/>
      <c r="G120" s="12"/>
      <c r="H120" s="12"/>
      <c r="I120" s="12" t="s">
        <v>443</v>
      </c>
      <c r="J120" s="12"/>
      <c r="K120" s="12"/>
      <c r="L120" s="12"/>
      <c r="M120" s="13">
        <f aca="true" t="shared" si="34" ref="M120:R120">SUM(M119)</f>
        <v>0</v>
      </c>
      <c r="N120" s="13">
        <f t="shared" si="34"/>
        <v>0</v>
      </c>
      <c r="O120" s="13">
        <f t="shared" si="34"/>
        <v>0</v>
      </c>
      <c r="P120" s="13">
        <f t="shared" si="34"/>
        <v>0</v>
      </c>
      <c r="Q120" s="13">
        <f t="shared" si="34"/>
        <v>0</v>
      </c>
      <c r="R120" s="13">
        <f t="shared" si="34"/>
        <v>0</v>
      </c>
      <c r="S120" s="170" t="s">
        <v>436</v>
      </c>
      <c r="T120" s="16">
        <f t="shared" si="32"/>
        <v>0</v>
      </c>
    </row>
    <row r="121" spans="1:20" ht="15">
      <c r="A121" s="1"/>
      <c r="C121" s="2" t="s">
        <v>473</v>
      </c>
      <c r="I121" s="2" t="s">
        <v>474</v>
      </c>
      <c r="M121" s="8"/>
      <c r="N121" s="8"/>
      <c r="O121" s="8"/>
      <c r="P121" s="8"/>
      <c r="Q121" s="8"/>
      <c r="R121" s="8"/>
      <c r="S121" s="169"/>
      <c r="T121" s="8">
        <f t="shared" si="32"/>
        <v>0</v>
      </c>
    </row>
    <row r="122" spans="1:20" ht="15">
      <c r="A122" s="1"/>
      <c r="D122" s="2" t="s">
        <v>387</v>
      </c>
      <c r="J122" s="2" t="s">
        <v>476</v>
      </c>
      <c r="M122" s="8">
        <v>71523</v>
      </c>
      <c r="N122" s="8"/>
      <c r="O122" s="8">
        <v>0</v>
      </c>
      <c r="P122" s="8">
        <v>1500</v>
      </c>
      <c r="Q122" s="8">
        <v>70023</v>
      </c>
      <c r="R122" s="8">
        <f>M122+N122</f>
        <v>71523</v>
      </c>
      <c r="S122" s="169" t="s">
        <v>475</v>
      </c>
      <c r="T122" s="8">
        <f t="shared" si="32"/>
        <v>71523</v>
      </c>
    </row>
    <row r="123" spans="1:20" s="15" customFormat="1" ht="15">
      <c r="A123" s="12"/>
      <c r="B123" s="12"/>
      <c r="C123" s="12" t="s">
        <v>473</v>
      </c>
      <c r="D123" s="12"/>
      <c r="E123" s="12"/>
      <c r="F123" s="12"/>
      <c r="G123" s="12"/>
      <c r="H123" s="12"/>
      <c r="I123" s="12" t="s">
        <v>480</v>
      </c>
      <c r="J123" s="12"/>
      <c r="K123" s="12"/>
      <c r="L123" s="12"/>
      <c r="M123" s="13">
        <f aca="true" t="shared" si="35" ref="M123:R123">SUM(M122)</f>
        <v>71523</v>
      </c>
      <c r="N123" s="13">
        <f t="shared" si="35"/>
        <v>0</v>
      </c>
      <c r="O123" s="13">
        <f t="shared" si="35"/>
        <v>0</v>
      </c>
      <c r="P123" s="13">
        <f t="shared" si="35"/>
        <v>1500</v>
      </c>
      <c r="Q123" s="13">
        <f t="shared" si="35"/>
        <v>70023</v>
      </c>
      <c r="R123" s="13">
        <f t="shared" si="35"/>
        <v>71523</v>
      </c>
      <c r="S123" s="170" t="s">
        <v>475</v>
      </c>
      <c r="T123" s="16">
        <f t="shared" si="32"/>
        <v>71523</v>
      </c>
    </row>
    <row r="124" spans="1:20" ht="15">
      <c r="A124" s="1"/>
      <c r="C124" s="2" t="s">
        <v>489</v>
      </c>
      <c r="I124" s="2" t="s">
        <v>490</v>
      </c>
      <c r="M124" s="8"/>
      <c r="N124" s="8"/>
      <c r="O124" s="8"/>
      <c r="P124" s="8"/>
      <c r="Q124" s="8"/>
      <c r="R124" s="8"/>
      <c r="S124" s="169" t="s">
        <v>491</v>
      </c>
      <c r="T124" s="8">
        <f t="shared" si="32"/>
        <v>0</v>
      </c>
    </row>
    <row r="125" spans="1:20" ht="15">
      <c r="A125" s="1"/>
      <c r="D125" s="2" t="s">
        <v>427</v>
      </c>
      <c r="J125" s="2" t="s">
        <v>493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f>M125+N125</f>
        <v>0</v>
      </c>
      <c r="S125" s="169" t="s">
        <v>494</v>
      </c>
      <c r="T125" s="8">
        <f t="shared" si="32"/>
        <v>0</v>
      </c>
    </row>
    <row r="126" spans="1:20" s="15" customFormat="1" ht="15">
      <c r="A126" s="12"/>
      <c r="B126" s="12"/>
      <c r="C126" s="12" t="s">
        <v>489</v>
      </c>
      <c r="D126" s="12"/>
      <c r="E126" s="12"/>
      <c r="F126" s="12"/>
      <c r="G126" s="12"/>
      <c r="H126" s="12"/>
      <c r="I126" s="12" t="s">
        <v>495</v>
      </c>
      <c r="J126" s="12"/>
      <c r="K126" s="12"/>
      <c r="L126" s="12"/>
      <c r="M126" s="13">
        <f aca="true" t="shared" si="36" ref="M126:R126">SUM(M125:M125)</f>
        <v>0</v>
      </c>
      <c r="N126" s="13">
        <f t="shared" si="36"/>
        <v>0</v>
      </c>
      <c r="O126" s="13">
        <f t="shared" si="36"/>
        <v>0</v>
      </c>
      <c r="P126" s="13">
        <f t="shared" si="36"/>
        <v>0</v>
      </c>
      <c r="Q126" s="13">
        <f t="shared" si="36"/>
        <v>0</v>
      </c>
      <c r="R126" s="13">
        <f t="shared" si="36"/>
        <v>0</v>
      </c>
      <c r="S126" s="170" t="s">
        <v>491</v>
      </c>
      <c r="T126" s="16">
        <f t="shared" si="32"/>
        <v>0</v>
      </c>
    </row>
    <row r="127" spans="1:20" ht="15">
      <c r="A127" s="1"/>
      <c r="C127" s="2" t="s">
        <v>496</v>
      </c>
      <c r="I127" s="2" t="s">
        <v>497</v>
      </c>
      <c r="M127" s="8"/>
      <c r="N127" s="8"/>
      <c r="O127" s="8"/>
      <c r="P127" s="8"/>
      <c r="Q127" s="8"/>
      <c r="R127" s="8"/>
      <c r="S127" s="169" t="s">
        <v>498</v>
      </c>
      <c r="T127" s="8">
        <f t="shared" si="32"/>
        <v>0</v>
      </c>
    </row>
    <row r="128" spans="1:20" ht="15">
      <c r="A128" s="1"/>
      <c r="D128" s="2" t="s">
        <v>427</v>
      </c>
      <c r="J128" s="2" t="s">
        <v>503</v>
      </c>
      <c r="M128" s="8"/>
      <c r="N128" s="8"/>
      <c r="O128" s="8"/>
      <c r="P128" s="8"/>
      <c r="Q128" s="8"/>
      <c r="R128" s="8"/>
      <c r="S128" s="169" t="s">
        <v>504</v>
      </c>
      <c r="T128" s="8">
        <f t="shared" si="32"/>
        <v>0</v>
      </c>
    </row>
    <row r="129" spans="1:20" ht="15">
      <c r="A129" s="1"/>
      <c r="E129" s="2" t="s">
        <v>452</v>
      </c>
      <c r="K129" s="2" t="s">
        <v>505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f>M129+N129</f>
        <v>0</v>
      </c>
      <c r="S129" s="169" t="s">
        <v>504</v>
      </c>
      <c r="T129" s="8">
        <f t="shared" si="32"/>
        <v>0</v>
      </c>
    </row>
    <row r="130" spans="1:20" s="15" customFormat="1" ht="15">
      <c r="A130" s="12"/>
      <c r="B130" s="12"/>
      <c r="C130" s="12" t="s">
        <v>496</v>
      </c>
      <c r="D130" s="12"/>
      <c r="E130" s="12"/>
      <c r="F130" s="12"/>
      <c r="G130" s="12"/>
      <c r="H130" s="12"/>
      <c r="I130" s="12"/>
      <c r="J130" s="12" t="s">
        <v>506</v>
      </c>
      <c r="K130" s="12"/>
      <c r="L130" s="12"/>
      <c r="M130" s="13">
        <f aca="true" t="shared" si="37" ref="M130:R130">SUM(M129)</f>
        <v>0</v>
      </c>
      <c r="N130" s="13">
        <f t="shared" si="37"/>
        <v>0</v>
      </c>
      <c r="O130" s="13">
        <f t="shared" si="37"/>
        <v>0</v>
      </c>
      <c r="P130" s="13">
        <f t="shared" si="37"/>
        <v>0</v>
      </c>
      <c r="Q130" s="13">
        <f t="shared" si="37"/>
        <v>0</v>
      </c>
      <c r="R130" s="13">
        <f t="shared" si="37"/>
        <v>0</v>
      </c>
      <c r="S130" s="170" t="s">
        <v>498</v>
      </c>
      <c r="T130" s="16">
        <f t="shared" si="32"/>
        <v>0</v>
      </c>
    </row>
    <row r="131" spans="1:20" s="15" customFormat="1" ht="15">
      <c r="A131" s="12" t="s">
        <v>513</v>
      </c>
      <c r="B131" s="12"/>
      <c r="C131" s="12"/>
      <c r="D131" s="12"/>
      <c r="E131" s="12"/>
      <c r="F131" s="12"/>
      <c r="G131" s="12" t="s">
        <v>515</v>
      </c>
      <c r="H131" s="12"/>
      <c r="I131" s="12"/>
      <c r="J131" s="12"/>
      <c r="K131" s="12"/>
      <c r="L131" s="12"/>
      <c r="M131" s="13">
        <f aca="true" t="shared" si="38" ref="M131:R131">SUM(M117,M120,M123,M126,M130)</f>
        <v>93210</v>
      </c>
      <c r="N131" s="13">
        <f t="shared" si="38"/>
        <v>0</v>
      </c>
      <c r="O131" s="13">
        <f t="shared" si="38"/>
        <v>0</v>
      </c>
      <c r="P131" s="13">
        <f t="shared" si="38"/>
        <v>2929</v>
      </c>
      <c r="Q131" s="13">
        <f t="shared" si="38"/>
        <v>90281</v>
      </c>
      <c r="R131" s="13">
        <f t="shared" si="38"/>
        <v>93210</v>
      </c>
      <c r="S131" s="170"/>
      <c r="T131" s="16">
        <f t="shared" si="32"/>
        <v>93210</v>
      </c>
    </row>
    <row r="132" spans="1:20" ht="15">
      <c r="A132" s="1" t="s">
        <v>516</v>
      </c>
      <c r="G132" s="2" t="s">
        <v>517</v>
      </c>
      <c r="M132" s="8"/>
      <c r="N132" s="8"/>
      <c r="O132" s="8"/>
      <c r="P132" s="8"/>
      <c r="Q132" s="8"/>
      <c r="R132" s="8"/>
      <c r="S132" s="169"/>
      <c r="T132" s="8">
        <f t="shared" si="20"/>
        <v>0</v>
      </c>
    </row>
    <row r="133" spans="1:20" ht="15">
      <c r="A133" s="1"/>
      <c r="C133" s="2" t="s">
        <v>389</v>
      </c>
      <c r="I133" s="2" t="s">
        <v>390</v>
      </c>
      <c r="M133" s="8"/>
      <c r="N133" s="8"/>
      <c r="O133" s="8"/>
      <c r="P133" s="8"/>
      <c r="Q133" s="8"/>
      <c r="R133" s="8"/>
      <c r="S133" s="169" t="s">
        <v>391</v>
      </c>
      <c r="T133" s="8">
        <f t="shared" si="20"/>
        <v>0</v>
      </c>
    </row>
    <row r="134" spans="1:20" ht="15">
      <c r="A134" s="1"/>
      <c r="D134" s="2" t="s">
        <v>430</v>
      </c>
      <c r="J134" s="2" t="s">
        <v>431</v>
      </c>
      <c r="M134" s="8">
        <v>410</v>
      </c>
      <c r="N134" s="8"/>
      <c r="O134" s="8">
        <v>0</v>
      </c>
      <c r="P134" s="8">
        <v>410</v>
      </c>
      <c r="Q134" s="8">
        <v>0</v>
      </c>
      <c r="R134" s="8">
        <f>M134+N134</f>
        <v>410</v>
      </c>
      <c r="S134" s="169" t="s">
        <v>432</v>
      </c>
      <c r="T134" s="8">
        <f t="shared" si="20"/>
        <v>410</v>
      </c>
    </row>
    <row r="135" spans="1:20" s="15" customFormat="1" ht="15">
      <c r="A135" s="12"/>
      <c r="B135" s="12"/>
      <c r="C135" s="12" t="s">
        <v>389</v>
      </c>
      <c r="D135" s="12"/>
      <c r="E135" s="12"/>
      <c r="F135" s="12"/>
      <c r="G135" s="12"/>
      <c r="H135" s="12"/>
      <c r="I135" s="12" t="s">
        <v>433</v>
      </c>
      <c r="J135" s="12"/>
      <c r="K135" s="12"/>
      <c r="L135" s="12"/>
      <c r="M135" s="13">
        <f aca="true" t="shared" si="39" ref="M135:R135">SUM(M133:M134)</f>
        <v>410</v>
      </c>
      <c r="N135" s="13">
        <f t="shared" si="39"/>
        <v>0</v>
      </c>
      <c r="O135" s="13">
        <f t="shared" si="39"/>
        <v>0</v>
      </c>
      <c r="P135" s="13">
        <f t="shared" si="39"/>
        <v>410</v>
      </c>
      <c r="Q135" s="13">
        <f t="shared" si="39"/>
        <v>0</v>
      </c>
      <c r="R135" s="13">
        <f t="shared" si="39"/>
        <v>410</v>
      </c>
      <c r="S135" s="170" t="s">
        <v>391</v>
      </c>
      <c r="T135" s="16">
        <f t="shared" si="20"/>
        <v>410</v>
      </c>
    </row>
    <row r="136" spans="1:20" ht="15">
      <c r="A136" s="1"/>
      <c r="C136" s="2" t="s">
        <v>434</v>
      </c>
      <c r="I136" s="2" t="s">
        <v>435</v>
      </c>
      <c r="M136" s="8"/>
      <c r="N136" s="8"/>
      <c r="O136" s="8"/>
      <c r="P136" s="8"/>
      <c r="Q136" s="8"/>
      <c r="R136" s="8"/>
      <c r="S136" s="169" t="s">
        <v>436</v>
      </c>
      <c r="T136" s="8">
        <f t="shared" si="20"/>
        <v>0</v>
      </c>
    </row>
    <row r="137" spans="1:20" ht="15">
      <c r="A137" s="1"/>
      <c r="D137" s="2" t="s">
        <v>430</v>
      </c>
      <c r="J137" s="2" t="s">
        <v>441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f>M137+N137</f>
        <v>0</v>
      </c>
      <c r="S137" s="169" t="s">
        <v>442</v>
      </c>
      <c r="T137" s="8">
        <f t="shared" si="20"/>
        <v>0</v>
      </c>
    </row>
    <row r="138" spans="1:20" s="15" customFormat="1" ht="15">
      <c r="A138" s="12"/>
      <c r="B138" s="12"/>
      <c r="C138" s="12" t="s">
        <v>434</v>
      </c>
      <c r="D138" s="12"/>
      <c r="E138" s="12"/>
      <c r="F138" s="12"/>
      <c r="G138" s="12"/>
      <c r="H138" s="12"/>
      <c r="I138" s="12" t="s">
        <v>443</v>
      </c>
      <c r="J138" s="12"/>
      <c r="K138" s="12"/>
      <c r="L138" s="12"/>
      <c r="M138" s="13">
        <f aca="true" t="shared" si="40" ref="M138:R138">SUM(M137)</f>
        <v>0</v>
      </c>
      <c r="N138" s="13">
        <f t="shared" si="40"/>
        <v>0</v>
      </c>
      <c r="O138" s="13">
        <f t="shared" si="40"/>
        <v>0</v>
      </c>
      <c r="P138" s="13">
        <f t="shared" si="40"/>
        <v>0</v>
      </c>
      <c r="Q138" s="13">
        <f t="shared" si="40"/>
        <v>0</v>
      </c>
      <c r="R138" s="13">
        <f t="shared" si="40"/>
        <v>0</v>
      </c>
      <c r="S138" s="170" t="s">
        <v>436</v>
      </c>
      <c r="T138" s="16">
        <f t="shared" si="20"/>
        <v>0</v>
      </c>
    </row>
    <row r="139" spans="1:20" ht="15">
      <c r="A139" s="1"/>
      <c r="C139" s="2" t="s">
        <v>473</v>
      </c>
      <c r="I139" s="2" t="s">
        <v>474</v>
      </c>
      <c r="M139" s="8"/>
      <c r="N139" s="8"/>
      <c r="O139" s="8"/>
      <c r="P139" s="8"/>
      <c r="Q139" s="8"/>
      <c r="R139" s="8"/>
      <c r="S139" s="169"/>
      <c r="T139" s="8">
        <f t="shared" si="20"/>
        <v>0</v>
      </c>
    </row>
    <row r="140" spans="1:20" ht="15">
      <c r="A140" s="1"/>
      <c r="D140" s="2" t="s">
        <v>387</v>
      </c>
      <c r="J140" s="2" t="s">
        <v>476</v>
      </c>
      <c r="M140" s="8">
        <v>150</v>
      </c>
      <c r="N140" s="8">
        <v>0</v>
      </c>
      <c r="O140" s="8">
        <v>0</v>
      </c>
      <c r="P140" s="8">
        <v>150</v>
      </c>
      <c r="Q140" s="8">
        <v>0</v>
      </c>
      <c r="R140" s="8">
        <f>M140+N140</f>
        <v>150</v>
      </c>
      <c r="S140" s="169" t="s">
        <v>475</v>
      </c>
      <c r="T140" s="8">
        <f t="shared" si="20"/>
        <v>150</v>
      </c>
    </row>
    <row r="141" spans="1:20" s="15" customFormat="1" ht="15">
      <c r="A141" s="12"/>
      <c r="B141" s="12"/>
      <c r="C141" s="12" t="s">
        <v>473</v>
      </c>
      <c r="D141" s="12"/>
      <c r="E141" s="12"/>
      <c r="F141" s="12"/>
      <c r="G141" s="12"/>
      <c r="H141" s="12"/>
      <c r="I141" s="12" t="s">
        <v>480</v>
      </c>
      <c r="J141" s="12"/>
      <c r="K141" s="12"/>
      <c r="L141" s="12"/>
      <c r="M141" s="13">
        <f aca="true" t="shared" si="41" ref="M141:R141">SUM(M140)</f>
        <v>150</v>
      </c>
      <c r="N141" s="13">
        <f t="shared" si="41"/>
        <v>0</v>
      </c>
      <c r="O141" s="13">
        <f t="shared" si="41"/>
        <v>0</v>
      </c>
      <c r="P141" s="13">
        <f t="shared" si="41"/>
        <v>150</v>
      </c>
      <c r="Q141" s="13">
        <f t="shared" si="41"/>
        <v>0</v>
      </c>
      <c r="R141" s="13">
        <f t="shared" si="41"/>
        <v>150</v>
      </c>
      <c r="S141" s="170" t="s">
        <v>475</v>
      </c>
      <c r="T141" s="16">
        <f t="shared" si="20"/>
        <v>150</v>
      </c>
    </row>
    <row r="142" spans="1:20" ht="15">
      <c r="A142" s="1"/>
      <c r="C142" s="2" t="s">
        <v>489</v>
      </c>
      <c r="I142" s="2" t="s">
        <v>490</v>
      </c>
      <c r="M142" s="8"/>
      <c r="N142" s="8"/>
      <c r="O142" s="8"/>
      <c r="P142" s="8"/>
      <c r="Q142" s="8"/>
      <c r="R142" s="8"/>
      <c r="S142" s="169" t="s">
        <v>491</v>
      </c>
      <c r="T142" s="8">
        <f t="shared" si="20"/>
        <v>0</v>
      </c>
    </row>
    <row r="143" spans="1:20" ht="15">
      <c r="A143" s="1"/>
      <c r="D143" s="2" t="s">
        <v>427</v>
      </c>
      <c r="J143" s="2" t="s">
        <v>493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f>M143+N143</f>
        <v>0</v>
      </c>
      <c r="S143" s="169" t="s">
        <v>494</v>
      </c>
      <c r="T143" s="8">
        <f t="shared" si="20"/>
        <v>0</v>
      </c>
    </row>
    <row r="144" spans="1:20" s="15" customFormat="1" ht="15">
      <c r="A144" s="12"/>
      <c r="B144" s="12"/>
      <c r="C144" s="12" t="s">
        <v>489</v>
      </c>
      <c r="D144" s="12"/>
      <c r="E144" s="12"/>
      <c r="F144" s="12"/>
      <c r="G144" s="12"/>
      <c r="H144" s="12"/>
      <c r="I144" s="12" t="s">
        <v>495</v>
      </c>
      <c r="J144" s="12"/>
      <c r="K144" s="12"/>
      <c r="L144" s="12"/>
      <c r="M144" s="13">
        <f aca="true" t="shared" si="42" ref="M144:R144">SUM(M143:M143)</f>
        <v>0</v>
      </c>
      <c r="N144" s="13">
        <f t="shared" si="42"/>
        <v>0</v>
      </c>
      <c r="O144" s="13">
        <f t="shared" si="42"/>
        <v>0</v>
      </c>
      <c r="P144" s="13">
        <f t="shared" si="42"/>
        <v>0</v>
      </c>
      <c r="Q144" s="13">
        <f t="shared" si="42"/>
        <v>0</v>
      </c>
      <c r="R144" s="13">
        <f t="shared" si="42"/>
        <v>0</v>
      </c>
      <c r="S144" s="170" t="s">
        <v>491</v>
      </c>
      <c r="T144" s="16">
        <f t="shared" si="20"/>
        <v>0</v>
      </c>
    </row>
    <row r="145" spans="1:20" ht="15">
      <c r="A145" s="1"/>
      <c r="C145" s="2" t="s">
        <v>496</v>
      </c>
      <c r="I145" s="2" t="s">
        <v>497</v>
      </c>
      <c r="M145" s="8"/>
      <c r="N145" s="8"/>
      <c r="O145" s="8"/>
      <c r="P145" s="8"/>
      <c r="Q145" s="8"/>
      <c r="R145" s="8"/>
      <c r="S145" s="169" t="s">
        <v>498</v>
      </c>
      <c r="T145" s="8">
        <f t="shared" si="20"/>
        <v>0</v>
      </c>
    </row>
    <row r="146" spans="1:20" ht="15">
      <c r="A146" s="1"/>
      <c r="D146" s="2" t="s">
        <v>427</v>
      </c>
      <c r="J146" s="2" t="s">
        <v>503</v>
      </c>
      <c r="M146" s="8"/>
      <c r="N146" s="8"/>
      <c r="O146" s="8"/>
      <c r="P146" s="8"/>
      <c r="Q146" s="8"/>
      <c r="R146" s="8"/>
      <c r="S146" s="169" t="s">
        <v>504</v>
      </c>
      <c r="T146" s="8">
        <f t="shared" si="20"/>
        <v>0</v>
      </c>
    </row>
    <row r="147" spans="1:20" ht="15">
      <c r="A147" s="1"/>
      <c r="E147" s="2" t="s">
        <v>452</v>
      </c>
      <c r="K147" s="2" t="s">
        <v>505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f>M147+N147</f>
        <v>0</v>
      </c>
      <c r="S147" s="169" t="s">
        <v>504</v>
      </c>
      <c r="T147" s="8">
        <f t="shared" si="20"/>
        <v>0</v>
      </c>
    </row>
    <row r="148" spans="1:20" s="15" customFormat="1" ht="15">
      <c r="A148" s="12"/>
      <c r="B148" s="12"/>
      <c r="C148" s="12" t="s">
        <v>496</v>
      </c>
      <c r="D148" s="12"/>
      <c r="E148" s="12"/>
      <c r="F148" s="12"/>
      <c r="G148" s="12"/>
      <c r="H148" s="12"/>
      <c r="I148" s="12"/>
      <c r="J148" s="12" t="s">
        <v>506</v>
      </c>
      <c r="K148" s="12"/>
      <c r="L148" s="12"/>
      <c r="M148" s="13">
        <f aca="true" t="shared" si="43" ref="M148:R148">SUM(M147)</f>
        <v>0</v>
      </c>
      <c r="N148" s="13">
        <f t="shared" si="43"/>
        <v>0</v>
      </c>
      <c r="O148" s="13">
        <f t="shared" si="43"/>
        <v>0</v>
      </c>
      <c r="P148" s="13">
        <f t="shared" si="43"/>
        <v>0</v>
      </c>
      <c r="Q148" s="13">
        <f t="shared" si="43"/>
        <v>0</v>
      </c>
      <c r="R148" s="13">
        <f t="shared" si="43"/>
        <v>0</v>
      </c>
      <c r="S148" s="170" t="s">
        <v>498</v>
      </c>
      <c r="T148" s="16">
        <f t="shared" si="20"/>
        <v>0</v>
      </c>
    </row>
    <row r="149" spans="1:20" s="15" customFormat="1" ht="15">
      <c r="A149" s="12" t="s">
        <v>516</v>
      </c>
      <c r="B149" s="12"/>
      <c r="C149" s="12"/>
      <c r="D149" s="12"/>
      <c r="E149" s="12"/>
      <c r="F149" s="12"/>
      <c r="G149" s="12" t="s">
        <v>518</v>
      </c>
      <c r="H149" s="12"/>
      <c r="I149" s="12"/>
      <c r="J149" s="12"/>
      <c r="K149" s="12"/>
      <c r="L149" s="12"/>
      <c r="M149" s="13">
        <f aca="true" t="shared" si="44" ref="M149:R149">SUM(M135,M138,M141,M144,M148)</f>
        <v>560</v>
      </c>
      <c r="N149" s="13">
        <f t="shared" si="44"/>
        <v>0</v>
      </c>
      <c r="O149" s="13">
        <f t="shared" si="44"/>
        <v>0</v>
      </c>
      <c r="P149" s="13">
        <f t="shared" si="44"/>
        <v>560</v>
      </c>
      <c r="Q149" s="13">
        <f t="shared" si="44"/>
        <v>0</v>
      </c>
      <c r="R149" s="13">
        <f t="shared" si="44"/>
        <v>560</v>
      </c>
      <c r="S149" s="170"/>
      <c r="T149" s="16">
        <f t="shared" si="20"/>
        <v>560</v>
      </c>
    </row>
    <row r="150" spans="1:20" s="15" customFormat="1" ht="15">
      <c r="A150" s="14"/>
      <c r="D150" s="364" t="s">
        <v>521</v>
      </c>
      <c r="E150" s="364"/>
      <c r="F150" s="364"/>
      <c r="G150" s="364"/>
      <c r="H150" s="364"/>
      <c r="I150" s="364"/>
      <c r="J150" s="364"/>
      <c r="K150" s="364"/>
      <c r="L150" s="364"/>
      <c r="M150" s="16"/>
      <c r="N150" s="16"/>
      <c r="O150" s="16"/>
      <c r="P150" s="16"/>
      <c r="Q150" s="16"/>
      <c r="R150" s="16"/>
      <c r="S150" s="231"/>
      <c r="T150" s="16">
        <f t="shared" si="20"/>
        <v>0</v>
      </c>
    </row>
    <row r="151" spans="1:20" ht="15">
      <c r="A151" s="1"/>
      <c r="C151" s="2" t="s">
        <v>389</v>
      </c>
      <c r="I151" s="2" t="s">
        <v>390</v>
      </c>
      <c r="M151" s="8"/>
      <c r="N151" s="8"/>
      <c r="O151" s="8"/>
      <c r="P151" s="8"/>
      <c r="Q151" s="8"/>
      <c r="R151" s="8"/>
      <c r="S151" s="169" t="s">
        <v>391</v>
      </c>
      <c r="T151" s="8">
        <f t="shared" si="20"/>
        <v>0</v>
      </c>
    </row>
    <row r="152" spans="1:20" ht="15">
      <c r="A152" s="1"/>
      <c r="D152" s="2" t="s">
        <v>387</v>
      </c>
      <c r="J152" s="2" t="s">
        <v>392</v>
      </c>
      <c r="M152" s="8">
        <f aca="true" t="shared" si="45" ref="M152:R152">SUM(M27)</f>
        <v>622576</v>
      </c>
      <c r="N152" s="8">
        <f t="shared" si="45"/>
        <v>0</v>
      </c>
      <c r="O152" s="8">
        <f t="shared" si="45"/>
        <v>0</v>
      </c>
      <c r="P152" s="8">
        <f t="shared" si="45"/>
        <v>622576</v>
      </c>
      <c r="Q152" s="8">
        <f t="shared" si="45"/>
        <v>0</v>
      </c>
      <c r="R152" s="8">
        <f t="shared" si="45"/>
        <v>622576</v>
      </c>
      <c r="S152" s="169" t="s">
        <v>393</v>
      </c>
      <c r="T152" s="8">
        <f t="shared" si="20"/>
        <v>622576</v>
      </c>
    </row>
    <row r="153" spans="1:20" ht="15">
      <c r="A153" s="1"/>
      <c r="D153" s="2" t="s">
        <v>427</v>
      </c>
      <c r="J153" s="2" t="s">
        <v>428</v>
      </c>
      <c r="M153" s="8">
        <f aca="true" t="shared" si="46" ref="M153:R153">M28</f>
        <v>0</v>
      </c>
      <c r="N153" s="8">
        <f t="shared" si="46"/>
        <v>0</v>
      </c>
      <c r="O153" s="8">
        <f t="shared" si="46"/>
        <v>0</v>
      </c>
      <c r="P153" s="8">
        <f t="shared" si="46"/>
        <v>0</v>
      </c>
      <c r="Q153" s="8">
        <f t="shared" si="46"/>
        <v>0</v>
      </c>
      <c r="R153" s="8">
        <f t="shared" si="46"/>
        <v>0</v>
      </c>
      <c r="S153" s="169" t="s">
        <v>429</v>
      </c>
      <c r="T153" s="8">
        <f t="shared" si="20"/>
        <v>0</v>
      </c>
    </row>
    <row r="154" spans="1:20" ht="15">
      <c r="A154" s="1"/>
      <c r="D154" s="2" t="s">
        <v>430</v>
      </c>
      <c r="J154" s="2" t="s">
        <v>431</v>
      </c>
      <c r="M154" s="8">
        <f aca="true" t="shared" si="47" ref="M154:R154">SUM(M29,M76,M98,M134+M116)</f>
        <v>186019</v>
      </c>
      <c r="N154" s="8">
        <f t="shared" si="47"/>
        <v>0</v>
      </c>
      <c r="O154" s="8">
        <f t="shared" si="47"/>
        <v>0</v>
      </c>
      <c r="P154" s="8">
        <f t="shared" si="47"/>
        <v>45520</v>
      </c>
      <c r="Q154" s="8">
        <f t="shared" si="47"/>
        <v>140499</v>
      </c>
      <c r="R154" s="8">
        <f t="shared" si="47"/>
        <v>186019</v>
      </c>
      <c r="S154" s="169" t="s">
        <v>432</v>
      </c>
      <c r="T154" s="8">
        <f t="shared" si="20"/>
        <v>186019</v>
      </c>
    </row>
    <row r="155" spans="1:20" s="15" customFormat="1" ht="15">
      <c r="A155" s="12"/>
      <c r="B155" s="12"/>
      <c r="C155" s="12" t="s">
        <v>389</v>
      </c>
      <c r="D155" s="12"/>
      <c r="E155" s="12"/>
      <c r="F155" s="12"/>
      <c r="G155" s="12"/>
      <c r="H155" s="12"/>
      <c r="I155" s="12" t="s">
        <v>522</v>
      </c>
      <c r="J155" s="12"/>
      <c r="K155" s="12"/>
      <c r="L155" s="12"/>
      <c r="M155" s="13">
        <f aca="true" t="shared" si="48" ref="M155:R155">SUM(M152:M154)</f>
        <v>808595</v>
      </c>
      <c r="N155" s="13">
        <f t="shared" si="48"/>
        <v>0</v>
      </c>
      <c r="O155" s="13">
        <f t="shared" si="48"/>
        <v>0</v>
      </c>
      <c r="P155" s="13">
        <f t="shared" si="48"/>
        <v>668096</v>
      </c>
      <c r="Q155" s="13">
        <f t="shared" si="48"/>
        <v>140499</v>
      </c>
      <c r="R155" s="13">
        <f t="shared" si="48"/>
        <v>808595</v>
      </c>
      <c r="S155" s="170" t="s">
        <v>391</v>
      </c>
      <c r="T155" s="16">
        <f t="shared" si="20"/>
        <v>808595</v>
      </c>
    </row>
    <row r="156" spans="1:20" ht="15">
      <c r="A156" s="1"/>
      <c r="C156" s="2" t="s">
        <v>434</v>
      </c>
      <c r="I156" s="2" t="s">
        <v>435</v>
      </c>
      <c r="M156" s="8"/>
      <c r="N156" s="8"/>
      <c r="O156" s="8"/>
      <c r="P156" s="8"/>
      <c r="Q156" s="8"/>
      <c r="R156" s="8"/>
      <c r="S156" s="169" t="s">
        <v>436</v>
      </c>
      <c r="T156" s="8">
        <f t="shared" si="20"/>
        <v>0</v>
      </c>
    </row>
    <row r="157" spans="1:20" ht="15">
      <c r="A157" s="1"/>
      <c r="D157" s="2" t="s">
        <v>387</v>
      </c>
      <c r="J157" s="2" t="s">
        <v>437</v>
      </c>
      <c r="M157" s="8">
        <f>M32</f>
        <v>0</v>
      </c>
      <c r="N157" s="8">
        <f>N32</f>
        <v>0</v>
      </c>
      <c r="O157" s="8">
        <f aca="true" t="shared" si="49" ref="O157:Q158">O32</f>
        <v>0</v>
      </c>
      <c r="P157" s="8">
        <f t="shared" si="49"/>
        <v>0</v>
      </c>
      <c r="Q157" s="8">
        <f t="shared" si="49"/>
        <v>0</v>
      </c>
      <c r="R157" s="8">
        <f>R32</f>
        <v>0</v>
      </c>
      <c r="S157" s="169" t="s">
        <v>438</v>
      </c>
      <c r="T157" s="8">
        <f t="shared" si="20"/>
        <v>0</v>
      </c>
    </row>
    <row r="158" spans="1:19" ht="15">
      <c r="A158" s="1"/>
      <c r="D158" s="2" t="s">
        <v>427</v>
      </c>
      <c r="J158" s="2" t="s">
        <v>439</v>
      </c>
      <c r="M158" s="8">
        <f>M33</f>
        <v>0</v>
      </c>
      <c r="N158" s="8">
        <f>N33</f>
        <v>0</v>
      </c>
      <c r="O158" s="8">
        <f t="shared" si="49"/>
        <v>0</v>
      </c>
      <c r="P158" s="8">
        <f t="shared" si="49"/>
        <v>0</v>
      </c>
      <c r="Q158" s="8">
        <f t="shared" si="49"/>
        <v>0</v>
      </c>
      <c r="R158" s="8">
        <f>R33</f>
        <v>0</v>
      </c>
      <c r="S158" s="169" t="s">
        <v>440</v>
      </c>
    </row>
    <row r="159" spans="1:20" ht="15">
      <c r="A159" s="1"/>
      <c r="D159" s="2" t="s">
        <v>430</v>
      </c>
      <c r="J159" s="2" t="s">
        <v>441</v>
      </c>
      <c r="M159" s="8">
        <f>SUM(M34,M79,M101,M137+M119)</f>
        <v>176942</v>
      </c>
      <c r="N159" s="8">
        <f>SUM(N34,N79,N101,N137+N119)</f>
        <v>0</v>
      </c>
      <c r="O159" s="8">
        <f>SUM(O34,O79,O101,O137)</f>
        <v>0</v>
      </c>
      <c r="P159" s="8">
        <f>SUM(P34,P79,P101,P137)</f>
        <v>0</v>
      </c>
      <c r="Q159" s="8">
        <f>SUM(Q34,Q79,Q101,Q137)</f>
        <v>176942</v>
      </c>
      <c r="R159" s="8">
        <f>SUM(O159:Q159)</f>
        <v>176942</v>
      </c>
      <c r="S159" s="169" t="s">
        <v>442</v>
      </c>
      <c r="T159" s="8">
        <f t="shared" si="20"/>
        <v>176942</v>
      </c>
    </row>
    <row r="160" spans="1:20" s="15" customFormat="1" ht="15">
      <c r="A160" s="12"/>
      <c r="B160" s="12"/>
      <c r="C160" s="12" t="s">
        <v>434</v>
      </c>
      <c r="D160" s="12"/>
      <c r="E160" s="12"/>
      <c r="F160" s="12"/>
      <c r="G160" s="12"/>
      <c r="H160" s="12"/>
      <c r="I160" s="12" t="s">
        <v>523</v>
      </c>
      <c r="J160" s="12"/>
      <c r="K160" s="12"/>
      <c r="L160" s="12"/>
      <c r="M160" s="13">
        <f aca="true" t="shared" si="50" ref="M160:R160">SUM(M157:M159)</f>
        <v>176942</v>
      </c>
      <c r="N160" s="13">
        <f t="shared" si="50"/>
        <v>0</v>
      </c>
      <c r="O160" s="13">
        <f t="shared" si="50"/>
        <v>0</v>
      </c>
      <c r="P160" s="13">
        <f t="shared" si="50"/>
        <v>0</v>
      </c>
      <c r="Q160" s="13">
        <f t="shared" si="50"/>
        <v>176942</v>
      </c>
      <c r="R160" s="13">
        <f t="shared" si="50"/>
        <v>176942</v>
      </c>
      <c r="S160" s="170" t="s">
        <v>436</v>
      </c>
      <c r="T160" s="16">
        <f t="shared" si="20"/>
        <v>176942</v>
      </c>
    </row>
    <row r="161" spans="1:20" ht="15">
      <c r="A161" s="1"/>
      <c r="C161" s="2" t="s">
        <v>444</v>
      </c>
      <c r="I161" s="2" t="s">
        <v>445</v>
      </c>
      <c r="M161" s="8"/>
      <c r="N161" s="8"/>
      <c r="O161" s="8"/>
      <c r="P161" s="8"/>
      <c r="Q161" s="8"/>
      <c r="R161" s="8"/>
      <c r="S161" s="169" t="s">
        <v>446</v>
      </c>
      <c r="T161" s="8">
        <f t="shared" si="20"/>
        <v>0</v>
      </c>
    </row>
    <row r="162" spans="1:20" ht="15">
      <c r="A162" s="1"/>
      <c r="D162" s="2" t="s">
        <v>387</v>
      </c>
      <c r="J162" s="2" t="s">
        <v>447</v>
      </c>
      <c r="M162" s="8">
        <f aca="true" t="shared" si="51" ref="M162:R162">SUM(M39)</f>
        <v>130000</v>
      </c>
      <c r="N162" s="8">
        <f t="shared" si="51"/>
        <v>0</v>
      </c>
      <c r="O162" s="8">
        <f t="shared" si="51"/>
        <v>0</v>
      </c>
      <c r="P162" s="8">
        <f t="shared" si="51"/>
        <v>130000</v>
      </c>
      <c r="Q162" s="8">
        <f t="shared" si="51"/>
        <v>0</v>
      </c>
      <c r="R162" s="8">
        <f t="shared" si="51"/>
        <v>130000</v>
      </c>
      <c r="S162" s="169" t="s">
        <v>448</v>
      </c>
      <c r="T162" s="8">
        <f t="shared" si="20"/>
        <v>130000</v>
      </c>
    </row>
    <row r="163" spans="1:20" ht="15">
      <c r="A163" s="1"/>
      <c r="D163" s="2" t="s">
        <v>427</v>
      </c>
      <c r="J163" s="2" t="s">
        <v>450</v>
      </c>
      <c r="M163" s="8">
        <f aca="true" t="shared" si="52" ref="M163:R163">SUM(M44)</f>
        <v>674000</v>
      </c>
      <c r="N163" s="8">
        <f t="shared" si="52"/>
        <v>0</v>
      </c>
      <c r="O163" s="8">
        <f t="shared" si="52"/>
        <v>0</v>
      </c>
      <c r="P163" s="8">
        <f t="shared" si="52"/>
        <v>674000</v>
      </c>
      <c r="Q163" s="8">
        <f t="shared" si="52"/>
        <v>0</v>
      </c>
      <c r="R163" s="8">
        <f t="shared" si="52"/>
        <v>674000</v>
      </c>
      <c r="S163" s="169" t="s">
        <v>451</v>
      </c>
      <c r="T163" s="8">
        <f t="shared" si="20"/>
        <v>674000</v>
      </c>
    </row>
    <row r="164" spans="1:20" ht="15">
      <c r="A164" s="1"/>
      <c r="D164" s="2" t="s">
        <v>430</v>
      </c>
      <c r="J164" s="2" t="s">
        <v>463</v>
      </c>
      <c r="M164" s="8">
        <f aca="true" t="shared" si="53" ref="M164:R164">SUM(M50,M83)</f>
        <v>5150</v>
      </c>
      <c r="N164" s="8">
        <f t="shared" si="53"/>
        <v>0</v>
      </c>
      <c r="O164" s="8">
        <f t="shared" si="53"/>
        <v>0</v>
      </c>
      <c r="P164" s="8">
        <f t="shared" si="53"/>
        <v>5150</v>
      </c>
      <c r="Q164" s="8">
        <f t="shared" si="53"/>
        <v>0</v>
      </c>
      <c r="R164" s="8">
        <f t="shared" si="53"/>
        <v>5150</v>
      </c>
      <c r="S164" s="169" t="s">
        <v>464</v>
      </c>
      <c r="T164" s="8">
        <f t="shared" si="20"/>
        <v>5150</v>
      </c>
    </row>
    <row r="165" spans="1:20" s="15" customFormat="1" ht="15">
      <c r="A165" s="12"/>
      <c r="B165" s="12"/>
      <c r="C165" s="12" t="s">
        <v>444</v>
      </c>
      <c r="D165" s="12"/>
      <c r="E165" s="12"/>
      <c r="F165" s="12"/>
      <c r="G165" s="12"/>
      <c r="H165" s="12"/>
      <c r="I165" s="12" t="s">
        <v>472</v>
      </c>
      <c r="J165" s="12"/>
      <c r="K165" s="12"/>
      <c r="L165" s="12"/>
      <c r="M165" s="13">
        <f aca="true" t="shared" si="54" ref="M165:R165">SUM(M162:M164)</f>
        <v>809150</v>
      </c>
      <c r="N165" s="13">
        <f t="shared" si="54"/>
        <v>0</v>
      </c>
      <c r="O165" s="13">
        <f t="shared" si="54"/>
        <v>0</v>
      </c>
      <c r="P165" s="13">
        <f t="shared" si="54"/>
        <v>809150</v>
      </c>
      <c r="Q165" s="13">
        <f t="shared" si="54"/>
        <v>0</v>
      </c>
      <c r="R165" s="13">
        <f t="shared" si="54"/>
        <v>809150</v>
      </c>
      <c r="S165" s="170" t="s">
        <v>446</v>
      </c>
      <c r="T165" s="16">
        <f t="shared" si="20"/>
        <v>809150</v>
      </c>
    </row>
    <row r="166" spans="1:20" ht="15">
      <c r="A166" s="1"/>
      <c r="C166" s="2" t="s">
        <v>473</v>
      </c>
      <c r="I166" s="2" t="s">
        <v>474</v>
      </c>
      <c r="M166" s="8"/>
      <c r="N166" s="8"/>
      <c r="O166" s="8"/>
      <c r="P166" s="8"/>
      <c r="Q166" s="8"/>
      <c r="R166" s="8"/>
      <c r="S166" s="169" t="s">
        <v>475</v>
      </c>
      <c r="T166" s="8">
        <f t="shared" si="20"/>
        <v>0</v>
      </c>
    </row>
    <row r="167" spans="1:20" ht="15">
      <c r="A167" s="1"/>
      <c r="D167" s="2" t="s">
        <v>387</v>
      </c>
      <c r="J167" s="2" t="s">
        <v>476</v>
      </c>
      <c r="M167" s="8">
        <f aca="true" t="shared" si="55" ref="M167:R167">SUM(M53,M86,M104,M140+M122)</f>
        <v>256798</v>
      </c>
      <c r="N167" s="8">
        <f t="shared" si="55"/>
        <v>0</v>
      </c>
      <c r="O167" s="8">
        <f t="shared" si="55"/>
        <v>0</v>
      </c>
      <c r="P167" s="8">
        <f t="shared" si="55"/>
        <v>52475</v>
      </c>
      <c r="Q167" s="8">
        <f t="shared" si="55"/>
        <v>204323</v>
      </c>
      <c r="R167" s="8">
        <f t="shared" si="55"/>
        <v>256798</v>
      </c>
      <c r="S167" s="169" t="s">
        <v>475</v>
      </c>
      <c r="T167" s="8">
        <f aca="true" t="shared" si="56" ref="T167:T223">SUM(O167:Q167)</f>
        <v>256798</v>
      </c>
    </row>
    <row r="168" spans="1:20" ht="15">
      <c r="A168" s="1"/>
      <c r="D168" s="2" t="s">
        <v>427</v>
      </c>
      <c r="J168" s="2" t="s">
        <v>477</v>
      </c>
      <c r="M168" s="8">
        <f>SUM(M54)</f>
        <v>0</v>
      </c>
      <c r="N168" s="8">
        <f>SUM(N54)</f>
        <v>0</v>
      </c>
      <c r="O168" s="8">
        <f aca="true" t="shared" si="57" ref="O168:Q169">SUM(O54)</f>
        <v>0</v>
      </c>
      <c r="P168" s="8">
        <f t="shared" si="57"/>
        <v>0</v>
      </c>
      <c r="Q168" s="8">
        <f t="shared" si="57"/>
        <v>0</v>
      </c>
      <c r="R168" s="8">
        <f>SUM(R54)</f>
        <v>0</v>
      </c>
      <c r="S168" s="169" t="s">
        <v>475</v>
      </c>
      <c r="T168" s="8">
        <f t="shared" si="56"/>
        <v>0</v>
      </c>
    </row>
    <row r="169" spans="1:20" ht="15">
      <c r="A169" s="1"/>
      <c r="D169" s="2" t="s">
        <v>430</v>
      </c>
      <c r="J169" s="2" t="s">
        <v>478</v>
      </c>
      <c r="M169" s="8">
        <f>SUM(M55)</f>
        <v>105702</v>
      </c>
      <c r="N169" s="8">
        <f>SUM(N55)</f>
        <v>0</v>
      </c>
      <c r="O169" s="8">
        <f t="shared" si="57"/>
        <v>0</v>
      </c>
      <c r="P169" s="8">
        <f t="shared" si="57"/>
        <v>105702</v>
      </c>
      <c r="Q169" s="8">
        <f t="shared" si="57"/>
        <v>0</v>
      </c>
      <c r="R169" s="8">
        <f>SUM(R55)</f>
        <v>105702</v>
      </c>
      <c r="S169" s="169" t="s">
        <v>479</v>
      </c>
      <c r="T169" s="8">
        <f t="shared" si="56"/>
        <v>105702</v>
      </c>
    </row>
    <row r="170" spans="1:20" s="15" customFormat="1" ht="15">
      <c r="A170" s="12"/>
      <c r="B170" s="12"/>
      <c r="C170" s="12" t="s">
        <v>473</v>
      </c>
      <c r="D170" s="12"/>
      <c r="E170" s="12"/>
      <c r="F170" s="12"/>
      <c r="G170" s="12"/>
      <c r="H170" s="12"/>
      <c r="I170" s="12" t="s">
        <v>480</v>
      </c>
      <c r="J170" s="12"/>
      <c r="K170" s="12"/>
      <c r="L170" s="12"/>
      <c r="M170" s="13">
        <f aca="true" t="shared" si="58" ref="M170:R170">SUM(M167:M169)</f>
        <v>362500</v>
      </c>
      <c r="N170" s="13">
        <f t="shared" si="58"/>
        <v>0</v>
      </c>
      <c r="O170" s="13">
        <f t="shared" si="58"/>
        <v>0</v>
      </c>
      <c r="P170" s="13">
        <f t="shared" si="58"/>
        <v>158177</v>
      </c>
      <c r="Q170" s="13">
        <f t="shared" si="58"/>
        <v>204323</v>
      </c>
      <c r="R170" s="13">
        <f t="shared" si="58"/>
        <v>362500</v>
      </c>
      <c r="S170" s="170" t="s">
        <v>475</v>
      </c>
      <c r="T170" s="16">
        <f t="shared" si="56"/>
        <v>362500</v>
      </c>
    </row>
    <row r="171" spans="1:20" ht="15">
      <c r="A171" s="1"/>
      <c r="C171" s="2" t="s">
        <v>481</v>
      </c>
      <c r="F171" s="2" t="s">
        <v>524</v>
      </c>
      <c r="I171" s="2" t="s">
        <v>482</v>
      </c>
      <c r="M171" s="8"/>
      <c r="N171" s="8"/>
      <c r="O171" s="8"/>
      <c r="P171" s="8"/>
      <c r="Q171" s="8"/>
      <c r="R171" s="8"/>
      <c r="S171" s="169" t="s">
        <v>483</v>
      </c>
      <c r="T171" s="8">
        <f t="shared" si="56"/>
        <v>0</v>
      </c>
    </row>
    <row r="172" spans="1:20" ht="15">
      <c r="A172" s="1"/>
      <c r="D172" s="2" t="s">
        <v>387</v>
      </c>
      <c r="J172" s="2" t="s">
        <v>484</v>
      </c>
      <c r="M172" s="8">
        <f>SUM(M58)</f>
        <v>84618</v>
      </c>
      <c r="N172" s="8">
        <f>SUM(N58)</f>
        <v>0</v>
      </c>
      <c r="O172" s="8">
        <f aca="true" t="shared" si="59" ref="O172:Q173">SUM(O58)</f>
        <v>0</v>
      </c>
      <c r="P172" s="8">
        <f t="shared" si="59"/>
        <v>0</v>
      </c>
      <c r="Q172" s="8">
        <f t="shared" si="59"/>
        <v>84618</v>
      </c>
      <c r="R172" s="8">
        <f>SUM(R58)</f>
        <v>84618</v>
      </c>
      <c r="S172" s="169" t="s">
        <v>485</v>
      </c>
      <c r="T172" s="8">
        <f t="shared" si="56"/>
        <v>84618</v>
      </c>
    </row>
    <row r="173" spans="1:20" ht="15">
      <c r="A173" s="1"/>
      <c r="D173" s="2" t="s">
        <v>427</v>
      </c>
      <c r="J173" s="2" t="s">
        <v>486</v>
      </c>
      <c r="M173" s="8">
        <f>SUM(M59)</f>
        <v>0</v>
      </c>
      <c r="N173" s="8">
        <f>SUM(N59)</f>
        <v>0</v>
      </c>
      <c r="O173" s="8">
        <f t="shared" si="59"/>
        <v>0</v>
      </c>
      <c r="P173" s="8">
        <f t="shared" si="59"/>
        <v>0</v>
      </c>
      <c r="Q173" s="8">
        <f t="shared" si="59"/>
        <v>0</v>
      </c>
      <c r="R173" s="8">
        <f>SUM(R59)</f>
        <v>0</v>
      </c>
      <c r="S173" s="169" t="s">
        <v>487</v>
      </c>
      <c r="T173" s="8">
        <f t="shared" si="56"/>
        <v>0</v>
      </c>
    </row>
    <row r="174" spans="1:20" s="15" customFormat="1" ht="15">
      <c r="A174" s="12"/>
      <c r="B174" s="12"/>
      <c r="C174" s="12" t="s">
        <v>481</v>
      </c>
      <c r="D174" s="12"/>
      <c r="E174" s="12"/>
      <c r="F174" s="12" t="s">
        <v>524</v>
      </c>
      <c r="G174" s="12"/>
      <c r="H174" s="12"/>
      <c r="I174" s="12" t="s">
        <v>488</v>
      </c>
      <c r="J174" s="12"/>
      <c r="K174" s="12"/>
      <c r="L174" s="12"/>
      <c r="M174" s="13">
        <f aca="true" t="shared" si="60" ref="M174:R174">SUM(M172:M173)</f>
        <v>84618</v>
      </c>
      <c r="N174" s="13">
        <f t="shared" si="60"/>
        <v>0</v>
      </c>
      <c r="O174" s="13">
        <f t="shared" si="60"/>
        <v>0</v>
      </c>
      <c r="P174" s="13">
        <f t="shared" si="60"/>
        <v>0</v>
      </c>
      <c r="Q174" s="13">
        <f t="shared" si="60"/>
        <v>84618</v>
      </c>
      <c r="R174" s="13">
        <f t="shared" si="60"/>
        <v>84618</v>
      </c>
      <c r="S174" s="170" t="s">
        <v>483</v>
      </c>
      <c r="T174" s="16">
        <f t="shared" si="56"/>
        <v>84618</v>
      </c>
    </row>
    <row r="175" spans="1:20" ht="15">
      <c r="A175" s="1"/>
      <c r="C175" s="2" t="s">
        <v>489</v>
      </c>
      <c r="I175" s="2" t="s">
        <v>490</v>
      </c>
      <c r="M175" s="8"/>
      <c r="N175" s="8"/>
      <c r="O175" s="8"/>
      <c r="P175" s="8"/>
      <c r="Q175" s="8"/>
      <c r="R175" s="8"/>
      <c r="S175" s="169" t="s">
        <v>491</v>
      </c>
      <c r="T175" s="8">
        <f t="shared" si="56"/>
        <v>0</v>
      </c>
    </row>
    <row r="176" spans="1:20" ht="15">
      <c r="A176" s="1"/>
      <c r="D176" s="2" t="s">
        <v>387</v>
      </c>
      <c r="J176" s="2" t="s">
        <v>490</v>
      </c>
      <c r="M176" s="8">
        <f aca="true" t="shared" si="61" ref="M176:R176">M62</f>
        <v>0</v>
      </c>
      <c r="N176" s="8">
        <f t="shared" si="61"/>
        <v>0</v>
      </c>
      <c r="O176" s="8">
        <f t="shared" si="61"/>
        <v>0</v>
      </c>
      <c r="P176" s="8">
        <f t="shared" si="61"/>
        <v>0</v>
      </c>
      <c r="Q176" s="8">
        <f t="shared" si="61"/>
        <v>0</v>
      </c>
      <c r="R176" s="8">
        <f t="shared" si="61"/>
        <v>0</v>
      </c>
      <c r="S176" s="169" t="s">
        <v>492</v>
      </c>
      <c r="T176" s="8">
        <f t="shared" si="56"/>
        <v>0</v>
      </c>
    </row>
    <row r="177" spans="1:20" ht="15">
      <c r="A177" s="1"/>
      <c r="D177" s="2" t="s">
        <v>427</v>
      </c>
      <c r="J177" s="2" t="s">
        <v>493</v>
      </c>
      <c r="M177" s="8">
        <f aca="true" t="shared" si="62" ref="M177:R177">SUM(M63,M89,M107,M143+M125)</f>
        <v>0</v>
      </c>
      <c r="N177" s="8">
        <f t="shared" si="62"/>
        <v>0</v>
      </c>
      <c r="O177" s="8">
        <f t="shared" si="62"/>
        <v>0</v>
      </c>
      <c r="P177" s="8">
        <f t="shared" si="62"/>
        <v>0</v>
      </c>
      <c r="Q177" s="8">
        <f t="shared" si="62"/>
        <v>0</v>
      </c>
      <c r="R177" s="8">
        <f t="shared" si="62"/>
        <v>0</v>
      </c>
      <c r="S177" s="169" t="s">
        <v>494</v>
      </c>
      <c r="T177" s="8">
        <f t="shared" si="56"/>
        <v>0</v>
      </c>
    </row>
    <row r="178" spans="1:20" s="15" customFormat="1" ht="15">
      <c r="A178" s="12"/>
      <c r="B178" s="12"/>
      <c r="C178" s="12" t="s">
        <v>489</v>
      </c>
      <c r="D178" s="12"/>
      <c r="E178" s="12"/>
      <c r="F178" s="12"/>
      <c r="G178" s="12"/>
      <c r="H178" s="12"/>
      <c r="I178" s="12" t="s">
        <v>495</v>
      </c>
      <c r="J178" s="12"/>
      <c r="K178" s="12"/>
      <c r="L178" s="12"/>
      <c r="M178" s="13">
        <f aca="true" t="shared" si="63" ref="M178:R178">SUM(M176:M177)</f>
        <v>0</v>
      </c>
      <c r="N178" s="13">
        <f t="shared" si="63"/>
        <v>0</v>
      </c>
      <c r="O178" s="13">
        <f t="shared" si="63"/>
        <v>0</v>
      </c>
      <c r="P178" s="13">
        <f t="shared" si="63"/>
        <v>0</v>
      </c>
      <c r="Q178" s="13">
        <f t="shared" si="63"/>
        <v>0</v>
      </c>
      <c r="R178" s="13">
        <f t="shared" si="63"/>
        <v>0</v>
      </c>
      <c r="S178" s="170" t="s">
        <v>491</v>
      </c>
      <c r="T178" s="16">
        <f t="shared" si="56"/>
        <v>0</v>
      </c>
    </row>
    <row r="179" spans="1:20" ht="15">
      <c r="A179" s="1"/>
      <c r="C179" s="2" t="s">
        <v>496</v>
      </c>
      <c r="I179" s="2" t="s">
        <v>497</v>
      </c>
      <c r="M179" s="8"/>
      <c r="N179" s="8"/>
      <c r="O179" s="8"/>
      <c r="P179" s="8"/>
      <c r="Q179" s="8"/>
      <c r="R179" s="8"/>
      <c r="S179" s="169" t="s">
        <v>498</v>
      </c>
      <c r="T179" s="8">
        <f t="shared" si="56"/>
        <v>0</v>
      </c>
    </row>
    <row r="180" spans="1:20" ht="15">
      <c r="A180" s="1"/>
      <c r="D180" s="2" t="s">
        <v>387</v>
      </c>
      <c r="J180" s="2" t="s">
        <v>499</v>
      </c>
      <c r="M180" s="8">
        <f aca="true" t="shared" si="64" ref="M180:R180">SUM(M68)</f>
        <v>700</v>
      </c>
      <c r="N180" s="8">
        <f t="shared" si="64"/>
        <v>0</v>
      </c>
      <c r="O180" s="8">
        <f t="shared" si="64"/>
        <v>0</v>
      </c>
      <c r="P180" s="8">
        <f t="shared" si="64"/>
        <v>0</v>
      </c>
      <c r="Q180" s="8">
        <f t="shared" si="64"/>
        <v>700</v>
      </c>
      <c r="R180" s="8">
        <f t="shared" si="64"/>
        <v>700</v>
      </c>
      <c r="S180" s="169" t="s">
        <v>500</v>
      </c>
      <c r="T180" s="8">
        <f t="shared" si="56"/>
        <v>700</v>
      </c>
    </row>
    <row r="181" spans="1:20" ht="15">
      <c r="A181" s="1"/>
      <c r="D181" s="2" t="s">
        <v>427</v>
      </c>
      <c r="J181" s="2" t="s">
        <v>503</v>
      </c>
      <c r="M181" s="8">
        <f aca="true" t="shared" si="65" ref="M181:R181">SUM(M71,M93,M111,M147)</f>
        <v>170</v>
      </c>
      <c r="N181" s="8">
        <f t="shared" si="65"/>
        <v>0</v>
      </c>
      <c r="O181" s="8">
        <f t="shared" si="65"/>
        <v>0</v>
      </c>
      <c r="P181" s="8">
        <f t="shared" si="65"/>
        <v>0</v>
      </c>
      <c r="Q181" s="8">
        <f t="shared" si="65"/>
        <v>170</v>
      </c>
      <c r="R181" s="8">
        <f t="shared" si="65"/>
        <v>170</v>
      </c>
      <c r="S181" s="169" t="s">
        <v>504</v>
      </c>
      <c r="T181" s="8">
        <f t="shared" si="56"/>
        <v>170</v>
      </c>
    </row>
    <row r="182" spans="1:20" s="15" customFormat="1" ht="15">
      <c r="A182" s="12"/>
      <c r="B182" s="12"/>
      <c r="C182" s="12" t="s">
        <v>496</v>
      </c>
      <c r="D182" s="12"/>
      <c r="E182" s="12"/>
      <c r="F182" s="12"/>
      <c r="G182" s="12"/>
      <c r="H182" s="12"/>
      <c r="I182" s="12" t="s">
        <v>506</v>
      </c>
      <c r="J182" s="12"/>
      <c r="K182" s="12"/>
      <c r="L182" s="12"/>
      <c r="M182" s="13">
        <f aca="true" t="shared" si="66" ref="M182:R182">SUM(M180:M181)</f>
        <v>870</v>
      </c>
      <c r="N182" s="13">
        <f t="shared" si="66"/>
        <v>0</v>
      </c>
      <c r="O182" s="13">
        <f t="shared" si="66"/>
        <v>0</v>
      </c>
      <c r="P182" s="13">
        <f t="shared" si="66"/>
        <v>0</v>
      </c>
      <c r="Q182" s="13">
        <f t="shared" si="66"/>
        <v>870</v>
      </c>
      <c r="R182" s="13">
        <f t="shared" si="66"/>
        <v>870</v>
      </c>
      <c r="S182" s="170" t="s">
        <v>498</v>
      </c>
      <c r="T182" s="16">
        <f t="shared" si="56"/>
        <v>870</v>
      </c>
    </row>
    <row r="183" spans="1:20" s="15" customFormat="1" ht="15">
      <c r="A183" s="12"/>
      <c r="B183" s="12"/>
      <c r="C183" s="12"/>
      <c r="D183" s="360" t="s">
        <v>525</v>
      </c>
      <c r="E183" s="360"/>
      <c r="F183" s="360"/>
      <c r="G183" s="360"/>
      <c r="H183" s="360"/>
      <c r="I183" s="360"/>
      <c r="J183" s="360"/>
      <c r="K183" s="360"/>
      <c r="L183" s="360"/>
      <c r="M183" s="13">
        <f aca="true" t="shared" si="67" ref="M183:R183">SUM(M155,M160,M165,M170,M174,M178,M182)</f>
        <v>2242675</v>
      </c>
      <c r="N183" s="13">
        <f t="shared" si="67"/>
        <v>0</v>
      </c>
      <c r="O183" s="13">
        <f t="shared" si="67"/>
        <v>0</v>
      </c>
      <c r="P183" s="13">
        <f t="shared" si="67"/>
        <v>1635423</v>
      </c>
      <c r="Q183" s="13">
        <f t="shared" si="67"/>
        <v>607252</v>
      </c>
      <c r="R183" s="13">
        <f t="shared" si="67"/>
        <v>2242675</v>
      </c>
      <c r="S183" s="170"/>
      <c r="T183" s="16">
        <f t="shared" si="56"/>
        <v>2242675</v>
      </c>
    </row>
    <row r="184" spans="1:20" ht="15">
      <c r="A184" s="1"/>
      <c r="M184" s="8"/>
      <c r="N184" s="8"/>
      <c r="O184" s="8"/>
      <c r="P184" s="8"/>
      <c r="Q184" s="8"/>
      <c r="R184" s="8"/>
      <c r="S184" s="169"/>
      <c r="T184" s="8">
        <f t="shared" si="56"/>
        <v>0</v>
      </c>
    </row>
    <row r="185" spans="1:20" ht="15">
      <c r="A185" s="1"/>
      <c r="M185" s="8"/>
      <c r="N185" s="8"/>
      <c r="O185" s="8"/>
      <c r="P185" s="8"/>
      <c r="Q185" s="8"/>
      <c r="R185" s="8"/>
      <c r="S185" s="169"/>
      <c r="T185" s="8">
        <f t="shared" si="56"/>
        <v>0</v>
      </c>
    </row>
    <row r="186" spans="1:20" s="15" customFormat="1" ht="15">
      <c r="A186" s="12"/>
      <c r="B186" s="12" t="s">
        <v>526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3"/>
      <c r="R186" s="13"/>
      <c r="S186" s="170"/>
      <c r="T186" s="16">
        <f t="shared" si="56"/>
        <v>0</v>
      </c>
    </row>
    <row r="187" spans="1:20" ht="15">
      <c r="A187" s="1" t="s">
        <v>387</v>
      </c>
      <c r="G187" s="2" t="s">
        <v>527</v>
      </c>
      <c r="M187" s="8"/>
      <c r="N187" s="8"/>
      <c r="O187" s="8"/>
      <c r="P187" s="8"/>
      <c r="Q187" s="8"/>
      <c r="R187" s="8"/>
      <c r="S187" s="169"/>
      <c r="T187" s="8">
        <f t="shared" si="56"/>
        <v>0</v>
      </c>
    </row>
    <row r="188" spans="1:20" ht="15">
      <c r="A188" s="1"/>
      <c r="C188" s="2" t="s">
        <v>528</v>
      </c>
      <c r="I188" s="2" t="s">
        <v>529</v>
      </c>
      <c r="M188" s="8"/>
      <c r="N188" s="8"/>
      <c r="O188" s="8"/>
      <c r="P188" s="8"/>
      <c r="Q188" s="8"/>
      <c r="R188" s="8"/>
      <c r="S188" s="169" t="s">
        <v>530</v>
      </c>
      <c r="T188" s="8">
        <f t="shared" si="56"/>
        <v>0</v>
      </c>
    </row>
    <row r="189" spans="1:20" ht="15">
      <c r="A189" s="1"/>
      <c r="D189" s="2" t="s">
        <v>387</v>
      </c>
      <c r="J189" s="2" t="s">
        <v>531</v>
      </c>
      <c r="M189" s="8"/>
      <c r="N189" s="8"/>
      <c r="O189" s="8"/>
      <c r="P189" s="8"/>
      <c r="Q189" s="8"/>
      <c r="R189" s="8"/>
      <c r="S189" s="169"/>
      <c r="T189" s="8">
        <f t="shared" si="56"/>
        <v>0</v>
      </c>
    </row>
    <row r="190" spans="1:20" ht="15">
      <c r="A190" s="1"/>
      <c r="E190" s="2" t="s">
        <v>394</v>
      </c>
      <c r="K190" s="2" t="s">
        <v>532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f>M190+N190</f>
        <v>0</v>
      </c>
      <c r="S190" s="169" t="s">
        <v>533</v>
      </c>
      <c r="T190" s="8">
        <f t="shared" si="56"/>
        <v>0</v>
      </c>
    </row>
    <row r="191" spans="1:20" ht="15">
      <c r="A191" s="1"/>
      <c r="E191" s="2" t="s">
        <v>409</v>
      </c>
      <c r="K191" s="2" t="s">
        <v>534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f>M191+N191</f>
        <v>0</v>
      </c>
      <c r="S191" s="169" t="s">
        <v>535</v>
      </c>
      <c r="T191" s="8">
        <f t="shared" si="56"/>
        <v>0</v>
      </c>
    </row>
    <row r="192" spans="1:20" ht="15">
      <c r="A192" s="1"/>
      <c r="E192" s="2" t="s">
        <v>422</v>
      </c>
      <c r="K192" s="2" t="s">
        <v>536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f>M192+N192</f>
        <v>0</v>
      </c>
      <c r="S192" s="169" t="s">
        <v>537</v>
      </c>
      <c r="T192" s="8">
        <f t="shared" si="56"/>
        <v>0</v>
      </c>
    </row>
    <row r="193" spans="1:20" ht="15">
      <c r="A193" s="10"/>
      <c r="B193" s="10"/>
      <c r="C193" s="10"/>
      <c r="D193" s="10" t="s">
        <v>387</v>
      </c>
      <c r="E193" s="10"/>
      <c r="F193" s="10"/>
      <c r="G193" s="10"/>
      <c r="H193" s="10"/>
      <c r="I193" s="10"/>
      <c r="J193" s="10" t="s">
        <v>538</v>
      </c>
      <c r="K193" s="10"/>
      <c r="L193" s="10"/>
      <c r="M193" s="11">
        <f aca="true" t="shared" si="68" ref="M193:R193">SUM(M190:M192)</f>
        <v>0</v>
      </c>
      <c r="N193" s="11">
        <f t="shared" si="68"/>
        <v>0</v>
      </c>
      <c r="O193" s="11">
        <f t="shared" si="68"/>
        <v>0</v>
      </c>
      <c r="P193" s="11">
        <f t="shared" si="68"/>
        <v>0</v>
      </c>
      <c r="Q193" s="11">
        <f t="shared" si="68"/>
        <v>0</v>
      </c>
      <c r="R193" s="11">
        <f t="shared" si="68"/>
        <v>0</v>
      </c>
      <c r="S193" s="227"/>
      <c r="T193" s="8">
        <f t="shared" si="56"/>
        <v>0</v>
      </c>
    </row>
    <row r="194" spans="1:20" ht="15">
      <c r="A194" s="1"/>
      <c r="D194" s="2" t="s">
        <v>427</v>
      </c>
      <c r="J194" s="2" t="s">
        <v>539</v>
      </c>
      <c r="M194" s="8"/>
      <c r="N194" s="8"/>
      <c r="O194" s="8"/>
      <c r="P194" s="8"/>
      <c r="Q194" s="8"/>
      <c r="R194" s="8"/>
      <c r="S194" s="169"/>
      <c r="T194" s="8">
        <f t="shared" si="56"/>
        <v>0</v>
      </c>
    </row>
    <row r="195" spans="1:20" ht="15">
      <c r="A195" s="1"/>
      <c r="E195" s="2" t="s">
        <v>452</v>
      </c>
      <c r="K195" s="2" t="s">
        <v>540</v>
      </c>
      <c r="M195" s="8">
        <v>2683425</v>
      </c>
      <c r="N195" s="8">
        <v>0</v>
      </c>
      <c r="O195" s="8">
        <v>0</v>
      </c>
      <c r="P195" s="8">
        <v>2683425</v>
      </c>
      <c r="Q195" s="8">
        <v>0</v>
      </c>
      <c r="R195" s="8">
        <f>M195+N195</f>
        <v>2683425</v>
      </c>
      <c r="S195" s="169" t="s">
        <v>541</v>
      </c>
      <c r="T195" s="8">
        <f t="shared" si="56"/>
        <v>2683425</v>
      </c>
    </row>
    <row r="196" spans="1:20" ht="15">
      <c r="A196" s="10"/>
      <c r="B196" s="10"/>
      <c r="C196" s="10"/>
      <c r="D196" s="10" t="s">
        <v>427</v>
      </c>
      <c r="E196" s="10"/>
      <c r="F196" s="10"/>
      <c r="G196" s="10"/>
      <c r="H196" s="10"/>
      <c r="I196" s="10"/>
      <c r="J196" s="10" t="s">
        <v>542</v>
      </c>
      <c r="K196" s="10"/>
      <c r="L196" s="10"/>
      <c r="M196" s="11">
        <f aca="true" t="shared" si="69" ref="M196:R196">SUM(M195)</f>
        <v>2683425</v>
      </c>
      <c r="N196" s="11">
        <f t="shared" si="69"/>
        <v>0</v>
      </c>
      <c r="O196" s="11">
        <f t="shared" si="69"/>
        <v>0</v>
      </c>
      <c r="P196" s="11">
        <f t="shared" si="69"/>
        <v>2683425</v>
      </c>
      <c r="Q196" s="11">
        <f t="shared" si="69"/>
        <v>0</v>
      </c>
      <c r="R196" s="11">
        <f t="shared" si="69"/>
        <v>2683425</v>
      </c>
      <c r="S196" s="227"/>
      <c r="T196" s="8">
        <f t="shared" si="56"/>
        <v>2683425</v>
      </c>
    </row>
    <row r="197" spans="1:19" ht="15">
      <c r="A197" s="259"/>
      <c r="B197" s="259"/>
      <c r="C197" s="259"/>
      <c r="D197" s="259" t="s">
        <v>430</v>
      </c>
      <c r="E197" s="260"/>
      <c r="F197" s="261"/>
      <c r="G197" s="261"/>
      <c r="H197" s="262"/>
      <c r="I197" s="262"/>
      <c r="J197" s="262" t="s">
        <v>810</v>
      </c>
      <c r="K197" s="262"/>
      <c r="L197" s="262"/>
      <c r="M197" s="263"/>
      <c r="N197" s="263"/>
      <c r="O197" s="263"/>
      <c r="P197" s="263"/>
      <c r="Q197" s="263"/>
      <c r="R197" s="264"/>
      <c r="S197" s="263"/>
    </row>
    <row r="198" spans="1:19" ht="15">
      <c r="A198" s="259"/>
      <c r="B198" s="259"/>
      <c r="C198" s="259"/>
      <c r="D198" s="259"/>
      <c r="E198" s="260"/>
      <c r="F198" s="261"/>
      <c r="G198" s="261"/>
      <c r="H198" s="262"/>
      <c r="I198" s="262"/>
      <c r="J198" s="262"/>
      <c r="K198" s="262" t="s">
        <v>812</v>
      </c>
      <c r="L198" s="262"/>
      <c r="M198" s="263">
        <v>0</v>
      </c>
      <c r="N198" s="263">
        <v>0</v>
      </c>
      <c r="O198" s="263">
        <v>0</v>
      </c>
      <c r="P198" s="263">
        <v>0</v>
      </c>
      <c r="Q198" s="263">
        <v>0</v>
      </c>
      <c r="R198" s="9">
        <f>M198+N198</f>
        <v>0</v>
      </c>
      <c r="S198" s="265" t="s">
        <v>811</v>
      </c>
    </row>
    <row r="199" spans="1:19" ht="15">
      <c r="A199" s="266"/>
      <c r="B199" s="266"/>
      <c r="C199" s="266"/>
      <c r="D199" s="266"/>
      <c r="E199" s="267"/>
      <c r="F199" s="268"/>
      <c r="G199" s="268"/>
      <c r="H199" s="269"/>
      <c r="I199" s="269"/>
      <c r="J199" s="269" t="s">
        <v>810</v>
      </c>
      <c r="K199" s="269"/>
      <c r="L199" s="269"/>
      <c r="M199" s="270">
        <f aca="true" t="shared" si="70" ref="M199:R199">SUM(M198)</f>
        <v>0</v>
      </c>
      <c r="N199" s="270">
        <f t="shared" si="70"/>
        <v>0</v>
      </c>
      <c r="O199" s="270">
        <f t="shared" si="70"/>
        <v>0</v>
      </c>
      <c r="P199" s="270">
        <f t="shared" si="70"/>
        <v>0</v>
      </c>
      <c r="Q199" s="270">
        <f t="shared" si="70"/>
        <v>0</v>
      </c>
      <c r="R199" s="270">
        <f t="shared" si="70"/>
        <v>0</v>
      </c>
      <c r="S199" s="271" t="s">
        <v>811</v>
      </c>
    </row>
    <row r="200" spans="1:20" s="15" customFormat="1" ht="15">
      <c r="A200" s="12" t="s">
        <v>387</v>
      </c>
      <c r="B200" s="12"/>
      <c r="C200" s="12" t="s">
        <v>528</v>
      </c>
      <c r="D200" s="12"/>
      <c r="E200" s="12"/>
      <c r="F200" s="12"/>
      <c r="G200" s="12" t="s">
        <v>507</v>
      </c>
      <c r="H200" s="12"/>
      <c r="I200" s="12"/>
      <c r="J200" s="12"/>
      <c r="K200" s="12"/>
      <c r="L200" s="12"/>
      <c r="M200" s="13">
        <f aca="true" t="shared" si="71" ref="M200:R200">SUM(M193+M196+M199)</f>
        <v>2683425</v>
      </c>
      <c r="N200" s="13">
        <f t="shared" si="71"/>
        <v>0</v>
      </c>
      <c r="O200" s="13">
        <f t="shared" si="71"/>
        <v>0</v>
      </c>
      <c r="P200" s="13">
        <f t="shared" si="71"/>
        <v>2683425</v>
      </c>
      <c r="Q200" s="13">
        <f t="shared" si="71"/>
        <v>0</v>
      </c>
      <c r="R200" s="13">
        <f t="shared" si="71"/>
        <v>2683425</v>
      </c>
      <c r="S200" s="170" t="s">
        <v>530</v>
      </c>
      <c r="T200" s="16">
        <f t="shared" si="56"/>
        <v>2683425</v>
      </c>
    </row>
    <row r="201" spans="1:20" ht="15">
      <c r="A201" s="1" t="s">
        <v>427</v>
      </c>
      <c r="G201" s="2" t="s">
        <v>543</v>
      </c>
      <c r="M201" s="8"/>
      <c r="N201" s="8"/>
      <c r="O201" s="8"/>
      <c r="P201" s="8"/>
      <c r="Q201" s="8"/>
      <c r="R201" s="8"/>
      <c r="S201" s="169"/>
      <c r="T201" s="8">
        <f t="shared" si="56"/>
        <v>0</v>
      </c>
    </row>
    <row r="202" spans="1:20" ht="15">
      <c r="A202" s="1"/>
      <c r="C202" s="2" t="s">
        <v>528</v>
      </c>
      <c r="I202" s="2" t="s">
        <v>529</v>
      </c>
      <c r="M202" s="8"/>
      <c r="N202" s="8"/>
      <c r="O202" s="8"/>
      <c r="P202" s="8"/>
      <c r="Q202" s="8"/>
      <c r="R202" s="8"/>
      <c r="S202" s="169" t="s">
        <v>530</v>
      </c>
      <c r="T202" s="8">
        <f t="shared" si="56"/>
        <v>0</v>
      </c>
    </row>
    <row r="203" spans="1:20" ht="15">
      <c r="A203" s="1"/>
      <c r="D203" s="2" t="s">
        <v>427</v>
      </c>
      <c r="J203" s="2" t="s">
        <v>539</v>
      </c>
      <c r="M203" s="8"/>
      <c r="N203" s="8"/>
      <c r="O203" s="8"/>
      <c r="P203" s="8"/>
      <c r="Q203" s="8"/>
      <c r="R203" s="8"/>
      <c r="S203" s="169"/>
      <c r="T203" s="8">
        <f t="shared" si="56"/>
        <v>0</v>
      </c>
    </row>
    <row r="204" spans="1:20" ht="15">
      <c r="A204" s="1"/>
      <c r="E204" s="2" t="s">
        <v>452</v>
      </c>
      <c r="K204" s="2" t="s">
        <v>540</v>
      </c>
      <c r="M204" s="8">
        <v>641</v>
      </c>
      <c r="N204" s="8">
        <v>0</v>
      </c>
      <c r="O204" s="8">
        <v>0</v>
      </c>
      <c r="P204" s="8">
        <v>641</v>
      </c>
      <c r="Q204" s="8">
        <v>0</v>
      </c>
      <c r="R204" s="8">
        <f>M204+N204</f>
        <v>641</v>
      </c>
      <c r="S204" s="169" t="s">
        <v>541</v>
      </c>
      <c r="T204" s="8">
        <f t="shared" si="56"/>
        <v>641</v>
      </c>
    </row>
    <row r="205" spans="1:20" s="15" customFormat="1" ht="15">
      <c r="A205" s="12" t="s">
        <v>427</v>
      </c>
      <c r="B205" s="12"/>
      <c r="C205" s="12" t="s">
        <v>528</v>
      </c>
      <c r="D205" s="12"/>
      <c r="E205" s="12"/>
      <c r="F205" s="12"/>
      <c r="G205" s="12" t="s">
        <v>512</v>
      </c>
      <c r="H205" s="12"/>
      <c r="I205" s="12"/>
      <c r="J205" s="12"/>
      <c r="K205" s="12"/>
      <c r="L205" s="12"/>
      <c r="M205" s="13">
        <f aca="true" t="shared" si="72" ref="M205:R205">SUM(M204)</f>
        <v>641</v>
      </c>
      <c r="N205" s="13">
        <f t="shared" si="72"/>
        <v>0</v>
      </c>
      <c r="O205" s="13">
        <f t="shared" si="72"/>
        <v>0</v>
      </c>
      <c r="P205" s="13">
        <f t="shared" si="72"/>
        <v>641</v>
      </c>
      <c r="Q205" s="13">
        <f t="shared" si="72"/>
        <v>0</v>
      </c>
      <c r="R205" s="13">
        <f t="shared" si="72"/>
        <v>641</v>
      </c>
      <c r="S205" s="170" t="s">
        <v>530</v>
      </c>
      <c r="T205" s="16">
        <f t="shared" si="56"/>
        <v>641</v>
      </c>
    </row>
    <row r="206" spans="1:20" ht="15">
      <c r="A206" s="1" t="s">
        <v>430</v>
      </c>
      <c r="G206" s="2" t="s">
        <v>707</v>
      </c>
      <c r="M206" s="8"/>
      <c r="N206" s="8"/>
      <c r="O206" s="8"/>
      <c r="P206" s="8"/>
      <c r="Q206" s="8"/>
      <c r="R206" s="8"/>
      <c r="S206" s="169"/>
      <c r="T206" s="8">
        <f t="shared" si="56"/>
        <v>0</v>
      </c>
    </row>
    <row r="207" spans="1:20" ht="15">
      <c r="A207" s="1"/>
      <c r="C207" s="2" t="s">
        <v>528</v>
      </c>
      <c r="I207" s="2" t="s">
        <v>529</v>
      </c>
      <c r="M207" s="8"/>
      <c r="N207" s="8"/>
      <c r="O207" s="8"/>
      <c r="P207" s="8"/>
      <c r="Q207" s="8"/>
      <c r="R207" s="8"/>
      <c r="S207" s="169" t="s">
        <v>530</v>
      </c>
      <c r="T207" s="8">
        <f t="shared" si="56"/>
        <v>0</v>
      </c>
    </row>
    <row r="208" spans="1:20" ht="15">
      <c r="A208" s="1"/>
      <c r="D208" s="2" t="s">
        <v>427</v>
      </c>
      <c r="J208" s="2" t="s">
        <v>539</v>
      </c>
      <c r="M208" s="8"/>
      <c r="N208" s="8"/>
      <c r="O208" s="8"/>
      <c r="P208" s="8"/>
      <c r="Q208" s="8"/>
      <c r="R208" s="8"/>
      <c r="S208" s="169"/>
      <c r="T208" s="8">
        <f t="shared" si="56"/>
        <v>0</v>
      </c>
    </row>
    <row r="209" spans="1:20" ht="15">
      <c r="A209" s="1"/>
      <c r="E209" s="2" t="s">
        <v>452</v>
      </c>
      <c r="K209" s="2" t="s">
        <v>540</v>
      </c>
      <c r="M209" s="8">
        <v>355</v>
      </c>
      <c r="N209" s="8">
        <v>0</v>
      </c>
      <c r="O209" s="8">
        <v>0</v>
      </c>
      <c r="P209" s="8">
        <v>355</v>
      </c>
      <c r="Q209" s="8">
        <v>0</v>
      </c>
      <c r="R209" s="8">
        <f>M209+N209</f>
        <v>355</v>
      </c>
      <c r="S209" s="169" t="s">
        <v>541</v>
      </c>
      <c r="T209" s="8">
        <f t="shared" si="56"/>
        <v>355</v>
      </c>
    </row>
    <row r="210" spans="1:20" s="15" customFormat="1" ht="15">
      <c r="A210" s="12" t="s">
        <v>430</v>
      </c>
      <c r="B210" s="12"/>
      <c r="C210" s="12" t="s">
        <v>528</v>
      </c>
      <c r="D210" s="12"/>
      <c r="E210" s="12"/>
      <c r="F210" s="12"/>
      <c r="G210" s="12" t="s">
        <v>708</v>
      </c>
      <c r="H210" s="12"/>
      <c r="I210" s="12"/>
      <c r="J210" s="12"/>
      <c r="K210" s="12"/>
      <c r="L210" s="12"/>
      <c r="M210" s="13">
        <f aca="true" t="shared" si="73" ref="M210:R210">SUM(M209)</f>
        <v>355</v>
      </c>
      <c r="N210" s="13">
        <f t="shared" si="73"/>
        <v>0</v>
      </c>
      <c r="O210" s="13">
        <f t="shared" si="73"/>
        <v>0</v>
      </c>
      <c r="P210" s="13">
        <f t="shared" si="73"/>
        <v>355</v>
      </c>
      <c r="Q210" s="13">
        <f t="shared" si="73"/>
        <v>0</v>
      </c>
      <c r="R210" s="13">
        <f t="shared" si="73"/>
        <v>355</v>
      </c>
      <c r="S210" s="170" t="s">
        <v>530</v>
      </c>
      <c r="T210" s="16">
        <f t="shared" si="56"/>
        <v>355</v>
      </c>
    </row>
    <row r="211" spans="1:20" ht="15">
      <c r="A211" s="1" t="s">
        <v>513</v>
      </c>
      <c r="G211" s="2" t="s">
        <v>514</v>
      </c>
      <c r="M211" s="8"/>
      <c r="N211" s="8"/>
      <c r="O211" s="8"/>
      <c r="P211" s="8"/>
      <c r="Q211" s="8"/>
      <c r="R211" s="8"/>
      <c r="S211" s="169"/>
      <c r="T211" s="8">
        <f>SUM(O211:Q211)</f>
        <v>0</v>
      </c>
    </row>
    <row r="212" spans="1:20" ht="15">
      <c r="A212" s="1"/>
      <c r="C212" s="2" t="s">
        <v>528</v>
      </c>
      <c r="I212" s="2" t="s">
        <v>529</v>
      </c>
      <c r="M212" s="8"/>
      <c r="N212" s="8"/>
      <c r="O212" s="8"/>
      <c r="P212" s="8"/>
      <c r="Q212" s="8"/>
      <c r="R212" s="8"/>
      <c r="S212" s="169" t="s">
        <v>530</v>
      </c>
      <c r="T212" s="8">
        <f>SUM(O212:Q212)</f>
        <v>0</v>
      </c>
    </row>
    <row r="213" spans="1:20" ht="15">
      <c r="A213" s="1"/>
      <c r="D213" s="2" t="s">
        <v>427</v>
      </c>
      <c r="J213" s="2" t="s">
        <v>539</v>
      </c>
      <c r="M213" s="8"/>
      <c r="N213" s="8"/>
      <c r="O213" s="8"/>
      <c r="P213" s="8"/>
      <c r="Q213" s="8"/>
      <c r="R213" s="8"/>
      <c r="S213" s="169"/>
      <c r="T213" s="8">
        <f>SUM(O213:Q213)</f>
        <v>0</v>
      </c>
    </row>
    <row r="214" spans="1:20" ht="15">
      <c r="A214" s="1"/>
      <c r="E214" s="2" t="s">
        <v>452</v>
      </c>
      <c r="K214" s="2" t="s">
        <v>540</v>
      </c>
      <c r="M214" s="8">
        <v>2265</v>
      </c>
      <c r="N214" s="8">
        <v>0</v>
      </c>
      <c r="O214" s="8">
        <v>0</v>
      </c>
      <c r="P214" s="8">
        <v>0</v>
      </c>
      <c r="Q214" s="8">
        <v>2265</v>
      </c>
      <c r="R214" s="8">
        <f>M214+N214</f>
        <v>2265</v>
      </c>
      <c r="S214" s="169" t="s">
        <v>541</v>
      </c>
      <c r="T214" s="8">
        <f>SUM(O214:Q214)</f>
        <v>2265</v>
      </c>
    </row>
    <row r="215" spans="1:20" s="15" customFormat="1" ht="15">
      <c r="A215" s="12" t="s">
        <v>513</v>
      </c>
      <c r="B215" s="12"/>
      <c r="C215" s="12" t="s">
        <v>528</v>
      </c>
      <c r="D215" s="12"/>
      <c r="E215" s="12"/>
      <c r="F215" s="12"/>
      <c r="G215" s="12" t="s">
        <v>544</v>
      </c>
      <c r="H215" s="12"/>
      <c r="I215" s="12"/>
      <c r="J215" s="12"/>
      <c r="K215" s="12"/>
      <c r="L215" s="12"/>
      <c r="M215" s="13">
        <f aca="true" t="shared" si="74" ref="M215:R215">SUM(M214)</f>
        <v>2265</v>
      </c>
      <c r="N215" s="13">
        <f t="shared" si="74"/>
        <v>0</v>
      </c>
      <c r="O215" s="13">
        <f t="shared" si="74"/>
        <v>0</v>
      </c>
      <c r="P215" s="13">
        <f t="shared" si="74"/>
        <v>0</v>
      </c>
      <c r="Q215" s="13">
        <f t="shared" si="74"/>
        <v>2265</v>
      </c>
      <c r="R215" s="13">
        <f t="shared" si="74"/>
        <v>2265</v>
      </c>
      <c r="S215" s="170" t="s">
        <v>530</v>
      </c>
      <c r="T215" s="16">
        <f>SUM(O215:Q215)</f>
        <v>2265</v>
      </c>
    </row>
    <row r="216" spans="1:20" ht="15">
      <c r="A216" s="1" t="s">
        <v>516</v>
      </c>
      <c r="G216" s="2" t="s">
        <v>517</v>
      </c>
      <c r="M216" s="8"/>
      <c r="N216" s="8"/>
      <c r="O216" s="8"/>
      <c r="P216" s="8"/>
      <c r="Q216" s="8"/>
      <c r="R216" s="8"/>
      <c r="S216" s="169"/>
      <c r="T216" s="8">
        <f t="shared" si="56"/>
        <v>0</v>
      </c>
    </row>
    <row r="217" spans="1:20" ht="15">
      <c r="A217" s="1"/>
      <c r="C217" s="2" t="s">
        <v>528</v>
      </c>
      <c r="I217" s="2" t="s">
        <v>529</v>
      </c>
      <c r="M217" s="8"/>
      <c r="N217" s="8"/>
      <c r="O217" s="8"/>
      <c r="P217" s="8"/>
      <c r="Q217" s="8"/>
      <c r="R217" s="8"/>
      <c r="S217" s="169" t="s">
        <v>530</v>
      </c>
      <c r="T217" s="8">
        <f t="shared" si="56"/>
        <v>0</v>
      </c>
    </row>
    <row r="218" spans="1:20" ht="15">
      <c r="A218" s="1"/>
      <c r="D218" s="2" t="s">
        <v>427</v>
      </c>
      <c r="J218" s="2" t="s">
        <v>539</v>
      </c>
      <c r="M218" s="8"/>
      <c r="N218" s="8"/>
      <c r="O218" s="8"/>
      <c r="P218" s="8"/>
      <c r="Q218" s="8"/>
      <c r="R218" s="8"/>
      <c r="S218" s="169"/>
      <c r="T218" s="8">
        <f t="shared" si="56"/>
        <v>0</v>
      </c>
    </row>
    <row r="219" spans="1:20" ht="15">
      <c r="A219" s="1"/>
      <c r="E219" s="2" t="s">
        <v>452</v>
      </c>
      <c r="K219" s="2" t="s">
        <v>540</v>
      </c>
      <c r="M219" s="8">
        <v>203</v>
      </c>
      <c r="N219" s="8">
        <v>0</v>
      </c>
      <c r="O219" s="8">
        <v>0</v>
      </c>
      <c r="P219" s="8">
        <v>203</v>
      </c>
      <c r="Q219" s="8">
        <v>0</v>
      </c>
      <c r="R219" s="8">
        <f>M219+N219</f>
        <v>203</v>
      </c>
      <c r="S219" s="169" t="s">
        <v>541</v>
      </c>
      <c r="T219" s="8">
        <f t="shared" si="56"/>
        <v>203</v>
      </c>
    </row>
    <row r="220" spans="1:20" s="15" customFormat="1" ht="15">
      <c r="A220" s="12" t="s">
        <v>516</v>
      </c>
      <c r="B220" s="12"/>
      <c r="C220" s="12" t="s">
        <v>528</v>
      </c>
      <c r="D220" s="12"/>
      <c r="E220" s="12"/>
      <c r="F220" s="12"/>
      <c r="G220" s="12" t="s">
        <v>518</v>
      </c>
      <c r="H220" s="12"/>
      <c r="I220" s="12"/>
      <c r="J220" s="12"/>
      <c r="K220" s="12"/>
      <c r="L220" s="12"/>
      <c r="M220" s="13">
        <f aca="true" t="shared" si="75" ref="M220:R220">SUM(M219)</f>
        <v>203</v>
      </c>
      <c r="N220" s="13">
        <f t="shared" si="75"/>
        <v>0</v>
      </c>
      <c r="O220" s="13">
        <f t="shared" si="75"/>
        <v>0</v>
      </c>
      <c r="P220" s="13">
        <f t="shared" si="75"/>
        <v>203</v>
      </c>
      <c r="Q220" s="13">
        <f t="shared" si="75"/>
        <v>0</v>
      </c>
      <c r="R220" s="13">
        <f t="shared" si="75"/>
        <v>203</v>
      </c>
      <c r="S220" s="170" t="s">
        <v>530</v>
      </c>
      <c r="T220" s="16">
        <f t="shared" si="56"/>
        <v>203</v>
      </c>
    </row>
    <row r="221" spans="1:20" s="15" customFormat="1" ht="15">
      <c r="A221" s="14"/>
      <c r="B221" s="15" t="s">
        <v>545</v>
      </c>
      <c r="M221" s="16">
        <f aca="true" t="shared" si="76" ref="M221:R221">SUM(M220,M210,M205,M200+M215)</f>
        <v>2686889</v>
      </c>
      <c r="N221" s="16">
        <f t="shared" si="76"/>
        <v>0</v>
      </c>
      <c r="O221" s="16">
        <f t="shared" si="76"/>
        <v>0</v>
      </c>
      <c r="P221" s="16">
        <f t="shared" si="76"/>
        <v>2684624</v>
      </c>
      <c r="Q221" s="16">
        <f t="shared" si="76"/>
        <v>2265</v>
      </c>
      <c r="R221" s="16">
        <f t="shared" si="76"/>
        <v>2686889</v>
      </c>
      <c r="S221" s="231" t="s">
        <v>530</v>
      </c>
      <c r="T221" s="16">
        <f t="shared" si="56"/>
        <v>2686889</v>
      </c>
    </row>
    <row r="222" spans="1:20" s="15" customFormat="1" ht="15">
      <c r="A222" s="12"/>
      <c r="B222" s="12" t="s">
        <v>546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3">
        <f aca="true" t="shared" si="77" ref="M222:R222">SUM(M183+M221)</f>
        <v>4929564</v>
      </c>
      <c r="N222" s="13">
        <f t="shared" si="77"/>
        <v>0</v>
      </c>
      <c r="O222" s="13">
        <f t="shared" si="77"/>
        <v>0</v>
      </c>
      <c r="P222" s="13">
        <f t="shared" si="77"/>
        <v>4320047</v>
      </c>
      <c r="Q222" s="13">
        <f t="shared" si="77"/>
        <v>609517</v>
      </c>
      <c r="R222" s="13">
        <f t="shared" si="77"/>
        <v>4929564</v>
      </c>
      <c r="S222" s="170"/>
      <c r="T222" s="16">
        <f t="shared" si="56"/>
        <v>4929564</v>
      </c>
    </row>
    <row r="223" spans="1:20" ht="15">
      <c r="A223" s="1"/>
      <c r="S223" s="169"/>
      <c r="T223" s="8">
        <f t="shared" si="56"/>
        <v>0</v>
      </c>
    </row>
  </sheetData>
  <sheetProtection/>
  <mergeCells count="5">
    <mergeCell ref="D183:L183"/>
    <mergeCell ref="A3:S3"/>
    <mergeCell ref="O1:S1"/>
    <mergeCell ref="Q5:S5"/>
    <mergeCell ref="D150:L150"/>
  </mergeCells>
  <printOptions/>
  <pageMargins left="0.7480314960629921" right="0.7480314960629921" top="0.4724409448818898" bottom="0.984251968503937" header="0.31496062992125984" footer="0.5118110236220472"/>
  <pageSetup horizontalDpi="600" verticalDpi="600" orientation="portrait" paperSize="9" scale="43" r:id="rId1"/>
  <headerFooter alignWithMargins="0">
    <oddFooter>&amp;C&amp;P. oldal</oddFooter>
  </headerFooter>
  <rowBreaks count="3" manualBreakCount="3">
    <brk id="73" max="18" man="1"/>
    <brk id="170" max="18" man="1"/>
    <brk id="183" max="18" man="1"/>
  </rowBreaks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75" zoomScaleSheetLayoutView="75" zoomScalePageLayoutView="0" workbookViewId="0" topLeftCell="A1">
      <selection activeCell="D2" sqref="D2:H2"/>
    </sheetView>
  </sheetViews>
  <sheetFormatPr defaultColWidth="9.140625" defaultRowHeight="12.75"/>
  <cols>
    <col min="1" max="1" width="71.140625" style="59" bestFit="1" customWidth="1"/>
    <col min="2" max="2" width="13.7109375" style="59" customWidth="1"/>
    <col min="3" max="3" width="14.00390625" style="59" hidden="1" customWidth="1"/>
    <col min="4" max="4" width="14.421875" style="59" customWidth="1"/>
    <col min="5" max="5" width="11.8515625" style="59" customWidth="1"/>
    <col min="6" max="6" width="12.57421875" style="59" customWidth="1"/>
    <col min="7" max="7" width="12.421875" style="59" customWidth="1"/>
    <col min="8" max="8" width="9.140625" style="59" customWidth="1"/>
    <col min="9" max="9" width="16.7109375" style="59" customWidth="1"/>
    <col min="10" max="16384" width="9.140625" style="59" customWidth="1"/>
  </cols>
  <sheetData>
    <row r="1" spans="1:8" ht="15">
      <c r="A1" s="58"/>
      <c r="H1" s="58"/>
    </row>
    <row r="2" spans="1:8" ht="15">
      <c r="A2" s="58"/>
      <c r="D2" s="366" t="s">
        <v>926</v>
      </c>
      <c r="E2" s="366"/>
      <c r="F2" s="366"/>
      <c r="G2" s="366"/>
      <c r="H2" s="366"/>
    </row>
    <row r="3" spans="1:8" ht="15">
      <c r="A3" s="58"/>
      <c r="H3" s="58"/>
    </row>
    <row r="4" spans="1:8" ht="15">
      <c r="A4" s="365" t="s">
        <v>759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H5" s="58"/>
    </row>
    <row r="6" spans="1:8" ht="15">
      <c r="A6" s="58"/>
      <c r="H6" s="58"/>
    </row>
    <row r="7" spans="1:8" ht="13.5" customHeight="1">
      <c r="A7" s="58"/>
      <c r="F7" s="375" t="s">
        <v>547</v>
      </c>
      <c r="G7" s="375"/>
      <c r="H7" s="375"/>
    </row>
    <row r="8" spans="1:8" s="155" customFormat="1" ht="30.75">
      <c r="A8" s="60" t="s">
        <v>548</v>
      </c>
      <c r="B8" s="60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60" t="s">
        <v>368</v>
      </c>
    </row>
    <row r="9" spans="1:8" s="158" customFormat="1" ht="15">
      <c r="A9" s="61" t="s">
        <v>380</v>
      </c>
      <c r="B9" s="156" t="s">
        <v>381</v>
      </c>
      <c r="C9" s="156" t="s">
        <v>519</v>
      </c>
      <c r="D9" s="157" t="s">
        <v>382</v>
      </c>
      <c r="E9" s="157" t="s">
        <v>383</v>
      </c>
      <c r="F9" s="157" t="s">
        <v>384</v>
      </c>
      <c r="G9" s="157" t="s">
        <v>385</v>
      </c>
      <c r="H9" s="61" t="s">
        <v>386</v>
      </c>
    </row>
    <row r="10" spans="1:9" ht="15">
      <c r="A10" s="58" t="s">
        <v>0</v>
      </c>
      <c r="B10" s="62">
        <v>46266</v>
      </c>
      <c r="C10" s="62"/>
      <c r="D10" s="62">
        <v>0</v>
      </c>
      <c r="E10" s="62">
        <v>46266</v>
      </c>
      <c r="F10" s="62">
        <v>0</v>
      </c>
      <c r="G10" s="62">
        <f>B10+C10</f>
        <v>46266</v>
      </c>
      <c r="H10" s="159" t="s">
        <v>591</v>
      </c>
      <c r="I10" s="62">
        <f>D10+E10+F10</f>
        <v>46266</v>
      </c>
    </row>
    <row r="11" spans="1:9" ht="15">
      <c r="A11" s="58" t="s">
        <v>1</v>
      </c>
      <c r="B11" s="62">
        <v>83310</v>
      </c>
      <c r="C11" s="62"/>
      <c r="D11" s="62">
        <v>0</v>
      </c>
      <c r="E11" s="62">
        <v>83310</v>
      </c>
      <c r="F11" s="62">
        <v>0</v>
      </c>
      <c r="G11" s="62">
        <f>B11+C11</f>
        <v>83310</v>
      </c>
      <c r="H11" s="159" t="s">
        <v>591</v>
      </c>
      <c r="I11" s="62">
        <f aca="true" t="shared" si="0" ref="I11:I26">D11+E11+F11</f>
        <v>83310</v>
      </c>
    </row>
    <row r="12" spans="1:9" ht="15">
      <c r="A12" s="58" t="s">
        <v>757</v>
      </c>
      <c r="B12" s="62">
        <v>978</v>
      </c>
      <c r="C12" s="62"/>
      <c r="D12" s="62">
        <v>0</v>
      </c>
      <c r="E12" s="62">
        <v>978</v>
      </c>
      <c r="F12" s="62">
        <v>0</v>
      </c>
      <c r="G12" s="62">
        <f>B12+C12</f>
        <v>978</v>
      </c>
      <c r="H12" s="159" t="s">
        <v>591</v>
      </c>
      <c r="I12" s="62">
        <f t="shared" si="0"/>
        <v>978</v>
      </c>
    </row>
    <row r="13" spans="1:9" ht="15">
      <c r="A13" s="58" t="s">
        <v>620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f>B13+C13</f>
        <v>0</v>
      </c>
      <c r="H13" s="159" t="s">
        <v>591</v>
      </c>
      <c r="I13" s="62">
        <f t="shared" si="0"/>
        <v>0</v>
      </c>
    </row>
    <row r="14" spans="1:9" s="93" customFormat="1" ht="15">
      <c r="A14" s="63" t="s">
        <v>85</v>
      </c>
      <c r="B14" s="64">
        <f aca="true" t="shared" si="1" ref="B14:G14">SUM(B10:B13)</f>
        <v>130554</v>
      </c>
      <c r="C14" s="64">
        <f t="shared" si="1"/>
        <v>0</v>
      </c>
      <c r="D14" s="64">
        <f t="shared" si="1"/>
        <v>0</v>
      </c>
      <c r="E14" s="64">
        <f t="shared" si="1"/>
        <v>130554</v>
      </c>
      <c r="F14" s="64">
        <f t="shared" si="1"/>
        <v>0</v>
      </c>
      <c r="G14" s="64">
        <f t="shared" si="1"/>
        <v>130554</v>
      </c>
      <c r="H14" s="160" t="s">
        <v>591</v>
      </c>
      <c r="I14" s="62">
        <f t="shared" si="0"/>
        <v>130554</v>
      </c>
    </row>
    <row r="15" spans="1:9" ht="15">
      <c r="A15" s="58" t="s">
        <v>2</v>
      </c>
      <c r="B15" s="62">
        <v>8996</v>
      </c>
      <c r="C15" s="62"/>
      <c r="D15" s="62">
        <v>0</v>
      </c>
      <c r="E15" s="62">
        <v>8996</v>
      </c>
      <c r="F15" s="62">
        <v>0</v>
      </c>
      <c r="G15" s="62">
        <f>B15+C15</f>
        <v>8996</v>
      </c>
      <c r="H15" s="159" t="s">
        <v>593</v>
      </c>
      <c r="I15" s="62">
        <f t="shared" si="0"/>
        <v>8996</v>
      </c>
    </row>
    <row r="16" spans="1:9" ht="15">
      <c r="A16" s="58" t="s">
        <v>3</v>
      </c>
      <c r="B16" s="62">
        <v>16279</v>
      </c>
      <c r="C16" s="62"/>
      <c r="D16" s="62">
        <v>0</v>
      </c>
      <c r="E16" s="62">
        <v>16279</v>
      </c>
      <c r="F16" s="62">
        <v>0</v>
      </c>
      <c r="G16" s="62">
        <f>B16+C16</f>
        <v>16279</v>
      </c>
      <c r="H16" s="159" t="s">
        <v>593</v>
      </c>
      <c r="I16" s="62">
        <f t="shared" si="0"/>
        <v>16279</v>
      </c>
    </row>
    <row r="17" spans="1:9" ht="15">
      <c r="A17" s="58" t="s">
        <v>758</v>
      </c>
      <c r="B17" s="65">
        <v>86</v>
      </c>
      <c r="C17" s="65"/>
      <c r="D17" s="65">
        <v>0</v>
      </c>
      <c r="E17" s="65">
        <v>86</v>
      </c>
      <c r="F17" s="65">
        <v>0</v>
      </c>
      <c r="G17" s="62">
        <f>B17+C17</f>
        <v>86</v>
      </c>
      <c r="H17" s="159" t="s">
        <v>593</v>
      </c>
      <c r="I17" s="62">
        <f t="shared" si="0"/>
        <v>86</v>
      </c>
    </row>
    <row r="18" spans="1:9" ht="15">
      <c r="A18" s="66" t="s">
        <v>621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2">
        <f>B18+C18</f>
        <v>0</v>
      </c>
      <c r="H18" s="159" t="s">
        <v>593</v>
      </c>
      <c r="I18" s="62">
        <f t="shared" si="0"/>
        <v>0</v>
      </c>
    </row>
    <row r="19" spans="1:9" s="93" customFormat="1" ht="15">
      <c r="A19" s="63" t="s">
        <v>88</v>
      </c>
      <c r="B19" s="64">
        <f aca="true" t="shared" si="2" ref="B19:G19">SUM(B15:B18)</f>
        <v>25361</v>
      </c>
      <c r="C19" s="64">
        <f t="shared" si="2"/>
        <v>0</v>
      </c>
      <c r="D19" s="64">
        <f t="shared" si="2"/>
        <v>0</v>
      </c>
      <c r="E19" s="64">
        <f t="shared" si="2"/>
        <v>25361</v>
      </c>
      <c r="F19" s="64">
        <f t="shared" si="2"/>
        <v>0</v>
      </c>
      <c r="G19" s="64">
        <f t="shared" si="2"/>
        <v>25361</v>
      </c>
      <c r="H19" s="160" t="s">
        <v>593</v>
      </c>
      <c r="I19" s="62">
        <f t="shared" si="0"/>
        <v>25361</v>
      </c>
    </row>
    <row r="20" spans="1:9" ht="15">
      <c r="A20" s="68" t="s">
        <v>4</v>
      </c>
      <c r="B20" s="69">
        <v>6957</v>
      </c>
      <c r="C20" s="69">
        <v>0</v>
      </c>
      <c r="D20" s="69">
        <v>0</v>
      </c>
      <c r="E20" s="69">
        <v>6957</v>
      </c>
      <c r="F20" s="69">
        <v>0</v>
      </c>
      <c r="G20" s="69">
        <f>B20+C20</f>
        <v>6957</v>
      </c>
      <c r="H20" s="161" t="s">
        <v>595</v>
      </c>
      <c r="I20" s="62">
        <f t="shared" si="0"/>
        <v>6957</v>
      </c>
    </row>
    <row r="21" spans="1:9" ht="15">
      <c r="A21" s="66" t="s">
        <v>5</v>
      </c>
      <c r="B21" s="67">
        <v>12004</v>
      </c>
      <c r="C21" s="67">
        <v>0</v>
      </c>
      <c r="D21" s="67">
        <v>0</v>
      </c>
      <c r="E21" s="67">
        <v>12004</v>
      </c>
      <c r="F21" s="67">
        <v>0</v>
      </c>
      <c r="G21" s="67">
        <f>B21+C21</f>
        <v>12004</v>
      </c>
      <c r="H21" s="162" t="s">
        <v>595</v>
      </c>
      <c r="I21" s="62">
        <f t="shared" si="0"/>
        <v>12004</v>
      </c>
    </row>
    <row r="22" spans="1:9" s="93" customFormat="1" ht="15">
      <c r="A22" s="63" t="s">
        <v>594</v>
      </c>
      <c r="B22" s="64">
        <f aca="true" t="shared" si="3" ref="B22:G22">SUM(B20:B21)</f>
        <v>18961</v>
      </c>
      <c r="C22" s="64">
        <f t="shared" si="3"/>
        <v>0</v>
      </c>
      <c r="D22" s="64">
        <f t="shared" si="3"/>
        <v>0</v>
      </c>
      <c r="E22" s="64">
        <f t="shared" si="3"/>
        <v>18961</v>
      </c>
      <c r="F22" s="64">
        <f t="shared" si="3"/>
        <v>0</v>
      </c>
      <c r="G22" s="64">
        <f t="shared" si="3"/>
        <v>18961</v>
      </c>
      <c r="H22" s="160" t="s">
        <v>595</v>
      </c>
      <c r="I22" s="62">
        <f t="shared" si="0"/>
        <v>18961</v>
      </c>
    </row>
    <row r="23" spans="1:9" ht="15">
      <c r="A23" s="68" t="s">
        <v>14</v>
      </c>
      <c r="B23" s="69">
        <v>400</v>
      </c>
      <c r="C23" s="69">
        <v>0</v>
      </c>
      <c r="D23" s="69">
        <v>0</v>
      </c>
      <c r="E23" s="69">
        <v>400</v>
      </c>
      <c r="F23" s="69">
        <v>0</v>
      </c>
      <c r="G23" s="69">
        <f>B23+C23</f>
        <v>400</v>
      </c>
      <c r="H23" s="161" t="s">
        <v>50</v>
      </c>
      <c r="I23" s="62">
        <f t="shared" si="0"/>
        <v>400</v>
      </c>
    </row>
    <row r="24" spans="1:9" ht="15">
      <c r="A24" s="66" t="s">
        <v>15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>B24+C24</f>
        <v>0</v>
      </c>
      <c r="H24" s="162" t="s">
        <v>50</v>
      </c>
      <c r="I24" s="62">
        <f t="shared" si="0"/>
        <v>0</v>
      </c>
    </row>
    <row r="25" spans="1:9" s="93" customFormat="1" ht="15">
      <c r="A25" s="70" t="s">
        <v>49</v>
      </c>
      <c r="B25" s="71">
        <f aca="true" t="shared" si="4" ref="B25:G25">SUM(B23:B24)</f>
        <v>400</v>
      </c>
      <c r="C25" s="71">
        <f t="shared" si="4"/>
        <v>0</v>
      </c>
      <c r="D25" s="71">
        <f t="shared" si="4"/>
        <v>0</v>
      </c>
      <c r="E25" s="71">
        <f t="shared" si="4"/>
        <v>400</v>
      </c>
      <c r="F25" s="71">
        <f t="shared" si="4"/>
        <v>0</v>
      </c>
      <c r="G25" s="64">
        <f t="shared" si="4"/>
        <v>400</v>
      </c>
      <c r="H25" s="163" t="s">
        <v>50</v>
      </c>
      <c r="I25" s="62">
        <f t="shared" si="0"/>
        <v>400</v>
      </c>
    </row>
    <row r="26" spans="1:9" s="93" customFormat="1" ht="15">
      <c r="A26" s="63" t="s">
        <v>142</v>
      </c>
      <c r="B26" s="64">
        <f aca="true" t="shared" si="5" ref="B26:G26">B14+B19+B22+B25</f>
        <v>175276</v>
      </c>
      <c r="C26" s="64">
        <f t="shared" si="5"/>
        <v>0</v>
      </c>
      <c r="D26" s="64">
        <f t="shared" si="5"/>
        <v>0</v>
      </c>
      <c r="E26" s="64">
        <f t="shared" si="5"/>
        <v>175276</v>
      </c>
      <c r="F26" s="64">
        <f t="shared" si="5"/>
        <v>0</v>
      </c>
      <c r="G26" s="64">
        <f t="shared" si="5"/>
        <v>175276</v>
      </c>
      <c r="H26" s="63"/>
      <c r="I26" s="62">
        <f t="shared" si="0"/>
        <v>175276</v>
      </c>
    </row>
  </sheetData>
  <sheetProtection/>
  <mergeCells count="3">
    <mergeCell ref="F7:H7"/>
    <mergeCell ref="D2:H2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75" zoomScaleSheetLayoutView="75"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:H2"/>
    </sheetView>
  </sheetViews>
  <sheetFormatPr defaultColWidth="9.140625" defaultRowHeight="12.75"/>
  <cols>
    <col min="1" max="1" width="70.421875" style="59" customWidth="1"/>
    <col min="2" max="2" width="13.140625" style="59" customWidth="1"/>
    <col min="3" max="3" width="13.140625" style="59" hidden="1" customWidth="1"/>
    <col min="4" max="4" width="15.421875" style="59" customWidth="1"/>
    <col min="5" max="5" width="13.7109375" style="59" customWidth="1"/>
    <col min="6" max="6" width="13.421875" style="59" customWidth="1"/>
    <col min="7" max="7" width="15.00390625" style="59" customWidth="1"/>
    <col min="8" max="8" width="9.140625" style="59" customWidth="1"/>
    <col min="9" max="9" width="15.140625" style="59" customWidth="1"/>
    <col min="10" max="16384" width="9.140625" style="59" customWidth="1"/>
  </cols>
  <sheetData>
    <row r="1" spans="1:8" ht="15">
      <c r="A1" s="58"/>
      <c r="H1" s="58"/>
    </row>
    <row r="2" spans="1:8" ht="15">
      <c r="A2" s="58"/>
      <c r="B2" s="366" t="s">
        <v>927</v>
      </c>
      <c r="C2" s="366"/>
      <c r="D2" s="366"/>
      <c r="E2" s="366"/>
      <c r="F2" s="366"/>
      <c r="G2" s="366"/>
      <c r="H2" s="366"/>
    </row>
    <row r="3" spans="1:8" ht="15">
      <c r="A3" s="58"/>
      <c r="H3" s="58"/>
    </row>
    <row r="4" spans="1:8" ht="15">
      <c r="A4" s="365" t="s">
        <v>760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H5" s="58"/>
    </row>
    <row r="6" spans="1:8" ht="15">
      <c r="A6" s="58"/>
      <c r="H6" s="58"/>
    </row>
    <row r="7" spans="1:8" ht="15">
      <c r="A7" s="58"/>
      <c r="F7" s="367" t="s">
        <v>547</v>
      </c>
      <c r="G7" s="367"/>
      <c r="H7" s="367"/>
    </row>
    <row r="8" spans="1:8" ht="30.7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</row>
    <row r="9" spans="1:8" s="158" customFormat="1" ht="15">
      <c r="A9" s="61" t="s">
        <v>380</v>
      </c>
      <c r="B9" s="156" t="s">
        <v>381</v>
      </c>
      <c r="C9" s="156" t="s">
        <v>519</v>
      </c>
      <c r="D9" s="157" t="s">
        <v>382</v>
      </c>
      <c r="E9" s="157" t="s">
        <v>383</v>
      </c>
      <c r="F9" s="157" t="s">
        <v>384</v>
      </c>
      <c r="G9" s="157" t="s">
        <v>385</v>
      </c>
      <c r="H9" s="61" t="s">
        <v>386</v>
      </c>
    </row>
    <row r="10" spans="1:9" ht="15">
      <c r="A10" s="58" t="s">
        <v>609</v>
      </c>
      <c r="B10" s="62">
        <v>39193</v>
      </c>
      <c r="C10" s="62"/>
      <c r="D10" s="62">
        <v>0</v>
      </c>
      <c r="E10" s="62">
        <v>0</v>
      </c>
      <c r="F10" s="62">
        <v>39193</v>
      </c>
      <c r="G10" s="62">
        <f>B10+C10</f>
        <v>39193</v>
      </c>
      <c r="H10" s="159" t="s">
        <v>591</v>
      </c>
      <c r="I10" s="62">
        <f>SUM(D10:F10)</f>
        <v>39193</v>
      </c>
    </row>
    <row r="11" spans="1:9" ht="15">
      <c r="A11" s="58" t="s">
        <v>610</v>
      </c>
      <c r="B11" s="62">
        <v>25736</v>
      </c>
      <c r="C11" s="62"/>
      <c r="D11" s="62">
        <v>0</v>
      </c>
      <c r="E11" s="62">
        <v>25736</v>
      </c>
      <c r="F11" s="62">
        <v>0</v>
      </c>
      <c r="G11" s="62">
        <f aca="true" t="shared" si="0" ref="G11:G23">B11+C11</f>
        <v>25736</v>
      </c>
      <c r="H11" s="159" t="s">
        <v>591</v>
      </c>
      <c r="I11" s="62">
        <f aca="true" t="shared" si="1" ref="I11:I58">SUM(D11:F11)</f>
        <v>25736</v>
      </c>
    </row>
    <row r="12" spans="1:9" ht="15">
      <c r="A12" s="58" t="s">
        <v>607</v>
      </c>
      <c r="B12" s="62">
        <v>846</v>
      </c>
      <c r="C12" s="62">
        <v>0</v>
      </c>
      <c r="D12" s="62">
        <v>0</v>
      </c>
      <c r="E12" s="62">
        <v>0</v>
      </c>
      <c r="F12" s="62">
        <v>846</v>
      </c>
      <c r="G12" s="62">
        <f t="shared" si="0"/>
        <v>846</v>
      </c>
      <c r="H12" s="159" t="s">
        <v>591</v>
      </c>
      <c r="I12" s="62">
        <f t="shared" si="1"/>
        <v>846</v>
      </c>
    </row>
    <row r="13" spans="1:9" ht="15">
      <c r="A13" s="58" t="s">
        <v>777</v>
      </c>
      <c r="B13" s="62">
        <v>6833</v>
      </c>
      <c r="C13" s="62"/>
      <c r="D13" s="62">
        <v>0</v>
      </c>
      <c r="E13" s="62">
        <v>0</v>
      </c>
      <c r="F13" s="62">
        <v>6833</v>
      </c>
      <c r="G13" s="62">
        <f t="shared" si="0"/>
        <v>6833</v>
      </c>
      <c r="H13" s="159" t="s">
        <v>591</v>
      </c>
      <c r="I13" s="62"/>
    </row>
    <row r="14" spans="1:9" ht="15">
      <c r="A14" s="58" t="s">
        <v>757</v>
      </c>
      <c r="B14" s="62">
        <v>1298</v>
      </c>
      <c r="C14" s="62"/>
      <c r="D14" s="62">
        <v>0</v>
      </c>
      <c r="E14" s="62">
        <v>1298</v>
      </c>
      <c r="F14" s="62">
        <v>0</v>
      </c>
      <c r="G14" s="62">
        <f t="shared" si="0"/>
        <v>1298</v>
      </c>
      <c r="H14" s="159" t="s">
        <v>591</v>
      </c>
      <c r="I14" s="62">
        <f t="shared" si="1"/>
        <v>1298</v>
      </c>
    </row>
    <row r="15" spans="1:9" ht="15">
      <c r="A15" s="58" t="s">
        <v>620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f t="shared" si="0"/>
        <v>0</v>
      </c>
      <c r="H15" s="159" t="s">
        <v>591</v>
      </c>
      <c r="I15" s="62">
        <f t="shared" si="1"/>
        <v>0</v>
      </c>
    </row>
    <row r="16" spans="1:9" ht="15">
      <c r="A16" s="58" t="s">
        <v>761</v>
      </c>
      <c r="B16" s="62">
        <v>780</v>
      </c>
      <c r="C16" s="62"/>
      <c r="D16" s="62">
        <v>0</v>
      </c>
      <c r="E16" s="62">
        <v>0</v>
      </c>
      <c r="F16" s="62">
        <v>780</v>
      </c>
      <c r="G16" s="62">
        <f t="shared" si="0"/>
        <v>780</v>
      </c>
      <c r="H16" s="159" t="s">
        <v>591</v>
      </c>
      <c r="I16" s="62">
        <f t="shared" si="1"/>
        <v>780</v>
      </c>
    </row>
    <row r="17" spans="1:9" ht="15">
      <c r="A17" s="58" t="s">
        <v>10</v>
      </c>
      <c r="B17" s="62">
        <v>0</v>
      </c>
      <c r="C17" s="62"/>
      <c r="D17" s="62">
        <v>0</v>
      </c>
      <c r="E17" s="62">
        <v>0</v>
      </c>
      <c r="F17" s="62">
        <v>0</v>
      </c>
      <c r="G17" s="62">
        <f t="shared" si="0"/>
        <v>0</v>
      </c>
      <c r="H17" s="159" t="s">
        <v>591</v>
      </c>
      <c r="I17" s="62">
        <f t="shared" si="1"/>
        <v>0</v>
      </c>
    </row>
    <row r="18" spans="1:9" ht="15">
      <c r="A18" s="58" t="s">
        <v>587</v>
      </c>
      <c r="B18" s="62">
        <v>0</v>
      </c>
      <c r="C18" s="62"/>
      <c r="D18" s="62">
        <v>0</v>
      </c>
      <c r="E18" s="62">
        <v>0</v>
      </c>
      <c r="F18" s="62">
        <v>0</v>
      </c>
      <c r="G18" s="62">
        <f t="shared" si="0"/>
        <v>0</v>
      </c>
      <c r="H18" s="159" t="s">
        <v>591</v>
      </c>
      <c r="I18" s="62">
        <f t="shared" si="1"/>
        <v>0</v>
      </c>
    </row>
    <row r="19" spans="1:9" ht="15">
      <c r="A19" s="58" t="s">
        <v>588</v>
      </c>
      <c r="B19" s="62">
        <v>0</v>
      </c>
      <c r="C19" s="62"/>
      <c r="D19" s="62">
        <v>0</v>
      </c>
      <c r="E19" s="62">
        <v>0</v>
      </c>
      <c r="F19" s="62">
        <v>0</v>
      </c>
      <c r="G19" s="62">
        <f t="shared" si="0"/>
        <v>0</v>
      </c>
      <c r="H19" s="159" t="s">
        <v>591</v>
      </c>
      <c r="I19" s="62">
        <f t="shared" si="1"/>
        <v>0</v>
      </c>
    </row>
    <row r="20" spans="1:9" ht="15">
      <c r="A20" s="58" t="s">
        <v>11</v>
      </c>
      <c r="B20" s="62">
        <v>2256</v>
      </c>
      <c r="C20" s="62">
        <v>0</v>
      </c>
      <c r="D20" s="62">
        <v>0</v>
      </c>
      <c r="E20" s="62">
        <v>0</v>
      </c>
      <c r="F20" s="62">
        <v>2256</v>
      </c>
      <c r="G20" s="62">
        <f t="shared" si="0"/>
        <v>2256</v>
      </c>
      <c r="H20" s="159" t="s">
        <v>591</v>
      </c>
      <c r="I20" s="62">
        <f t="shared" si="1"/>
        <v>2256</v>
      </c>
    </row>
    <row r="21" spans="1:9" ht="15">
      <c r="A21" s="58" t="s">
        <v>622</v>
      </c>
      <c r="B21" s="62">
        <v>0</v>
      </c>
      <c r="C21" s="62"/>
      <c r="D21" s="62">
        <v>0</v>
      </c>
      <c r="E21" s="62">
        <v>0</v>
      </c>
      <c r="F21" s="62">
        <v>0</v>
      </c>
      <c r="G21" s="62">
        <f t="shared" si="0"/>
        <v>0</v>
      </c>
      <c r="H21" s="159" t="s">
        <v>591</v>
      </c>
      <c r="I21" s="62">
        <f t="shared" si="1"/>
        <v>0</v>
      </c>
    </row>
    <row r="22" spans="1:9" ht="15">
      <c r="A22" s="58" t="s">
        <v>608</v>
      </c>
      <c r="B22" s="62">
        <v>0</v>
      </c>
      <c r="C22" s="62"/>
      <c r="D22" s="62">
        <v>0</v>
      </c>
      <c r="E22" s="62">
        <v>0</v>
      </c>
      <c r="F22" s="62">
        <v>0</v>
      </c>
      <c r="G22" s="62">
        <f t="shared" si="0"/>
        <v>0</v>
      </c>
      <c r="H22" s="159" t="s">
        <v>591</v>
      </c>
      <c r="I22" s="62">
        <f t="shared" si="1"/>
        <v>0</v>
      </c>
    </row>
    <row r="23" spans="1:9" ht="15">
      <c r="A23" s="58" t="s">
        <v>135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f t="shared" si="0"/>
        <v>0</v>
      </c>
      <c r="H23" s="159" t="s">
        <v>591</v>
      </c>
      <c r="I23" s="62">
        <f t="shared" si="1"/>
        <v>0</v>
      </c>
    </row>
    <row r="24" spans="1:9" s="93" customFormat="1" ht="15">
      <c r="A24" s="63" t="s">
        <v>85</v>
      </c>
      <c r="B24" s="64">
        <f aca="true" t="shared" si="2" ref="B24:G24">SUM(B10:B23)</f>
        <v>76942</v>
      </c>
      <c r="C24" s="64">
        <f t="shared" si="2"/>
        <v>0</v>
      </c>
      <c r="D24" s="64">
        <f t="shared" si="2"/>
        <v>0</v>
      </c>
      <c r="E24" s="64">
        <f t="shared" si="2"/>
        <v>27034</v>
      </c>
      <c r="F24" s="64">
        <f t="shared" si="2"/>
        <v>49908</v>
      </c>
      <c r="G24" s="64">
        <f t="shared" si="2"/>
        <v>76942</v>
      </c>
      <c r="H24" s="160" t="s">
        <v>591</v>
      </c>
      <c r="I24" s="62">
        <f t="shared" si="1"/>
        <v>76942</v>
      </c>
    </row>
    <row r="25" spans="1:9" ht="15">
      <c r="A25" s="58" t="s">
        <v>614</v>
      </c>
      <c r="B25" s="62">
        <v>6804</v>
      </c>
      <c r="C25" s="62"/>
      <c r="D25" s="62">
        <v>0</v>
      </c>
      <c r="E25" s="62">
        <v>0</v>
      </c>
      <c r="F25" s="62">
        <v>6804</v>
      </c>
      <c r="G25" s="62">
        <f>B25+C25</f>
        <v>6804</v>
      </c>
      <c r="H25" s="159" t="s">
        <v>593</v>
      </c>
      <c r="I25" s="62">
        <f t="shared" si="1"/>
        <v>6804</v>
      </c>
    </row>
    <row r="26" spans="1:9" ht="15">
      <c r="A26" s="58" t="s">
        <v>615</v>
      </c>
      <c r="B26" s="62">
        <v>4390</v>
      </c>
      <c r="C26" s="62"/>
      <c r="D26" s="62">
        <v>0</v>
      </c>
      <c r="E26" s="62">
        <v>4390</v>
      </c>
      <c r="F26" s="62">
        <v>0</v>
      </c>
      <c r="G26" s="62">
        <f aca="true" t="shared" si="3" ref="G26:G38">B26+C26</f>
        <v>4390</v>
      </c>
      <c r="H26" s="159" t="s">
        <v>593</v>
      </c>
      <c r="I26" s="62">
        <f t="shared" si="1"/>
        <v>4390</v>
      </c>
    </row>
    <row r="27" spans="1:9" ht="15">
      <c r="A27" s="58" t="s">
        <v>611</v>
      </c>
      <c r="B27" s="62">
        <v>138</v>
      </c>
      <c r="C27" s="62">
        <v>0</v>
      </c>
      <c r="D27" s="62">
        <v>0</v>
      </c>
      <c r="E27" s="62">
        <v>0</v>
      </c>
      <c r="F27" s="62">
        <v>138</v>
      </c>
      <c r="G27" s="62">
        <f t="shared" si="3"/>
        <v>138</v>
      </c>
      <c r="H27" s="159" t="s">
        <v>593</v>
      </c>
      <c r="I27" s="62">
        <f t="shared" si="1"/>
        <v>138</v>
      </c>
    </row>
    <row r="28" spans="1:9" ht="15">
      <c r="A28" s="58" t="s">
        <v>777</v>
      </c>
      <c r="B28" s="62">
        <v>1162</v>
      </c>
      <c r="C28" s="62"/>
      <c r="D28" s="62">
        <v>0</v>
      </c>
      <c r="E28" s="62">
        <v>0</v>
      </c>
      <c r="F28" s="62">
        <v>1162</v>
      </c>
      <c r="G28" s="62">
        <f t="shared" si="3"/>
        <v>1162</v>
      </c>
      <c r="H28" s="159" t="s">
        <v>593</v>
      </c>
      <c r="I28" s="62">
        <f t="shared" si="1"/>
        <v>1162</v>
      </c>
    </row>
    <row r="29" spans="1:9" ht="15">
      <c r="A29" s="58" t="s">
        <v>758</v>
      </c>
      <c r="B29" s="62">
        <v>114</v>
      </c>
      <c r="C29" s="62">
        <v>0</v>
      </c>
      <c r="D29" s="62">
        <v>0</v>
      </c>
      <c r="E29" s="62">
        <v>114</v>
      </c>
      <c r="F29" s="62">
        <v>0</v>
      </c>
      <c r="G29" s="62">
        <f t="shared" si="3"/>
        <v>114</v>
      </c>
      <c r="H29" s="159" t="s">
        <v>593</v>
      </c>
      <c r="I29" s="62">
        <f t="shared" si="1"/>
        <v>114</v>
      </c>
    </row>
    <row r="30" spans="1:9" ht="15">
      <c r="A30" s="58" t="s">
        <v>621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f t="shared" si="3"/>
        <v>0</v>
      </c>
      <c r="H30" s="159" t="s">
        <v>593</v>
      </c>
      <c r="I30" s="62">
        <f t="shared" si="1"/>
        <v>0</v>
      </c>
    </row>
    <row r="31" spans="1:9" ht="15">
      <c r="A31" s="58" t="s">
        <v>762</v>
      </c>
      <c r="B31" s="62">
        <v>137</v>
      </c>
      <c r="C31" s="62"/>
      <c r="D31" s="62">
        <v>0</v>
      </c>
      <c r="E31" s="62">
        <v>137</v>
      </c>
      <c r="F31" s="62">
        <v>0</v>
      </c>
      <c r="G31" s="62">
        <f t="shared" si="3"/>
        <v>137</v>
      </c>
      <c r="H31" s="159" t="s">
        <v>593</v>
      </c>
      <c r="I31" s="62">
        <f t="shared" si="1"/>
        <v>137</v>
      </c>
    </row>
    <row r="32" spans="1:9" ht="15">
      <c r="A32" s="58" t="s">
        <v>10</v>
      </c>
      <c r="B32" s="62">
        <v>0</v>
      </c>
      <c r="C32" s="62"/>
      <c r="D32" s="62">
        <v>0</v>
      </c>
      <c r="E32" s="62">
        <v>0</v>
      </c>
      <c r="F32" s="62">
        <v>0</v>
      </c>
      <c r="G32" s="62">
        <f t="shared" si="3"/>
        <v>0</v>
      </c>
      <c r="H32" s="159" t="s">
        <v>593</v>
      </c>
      <c r="I32" s="62">
        <f t="shared" si="1"/>
        <v>0</v>
      </c>
    </row>
    <row r="33" spans="1:9" ht="15">
      <c r="A33" s="58" t="s">
        <v>587</v>
      </c>
      <c r="B33" s="62">
        <v>0</v>
      </c>
      <c r="C33" s="62"/>
      <c r="D33" s="62">
        <v>0</v>
      </c>
      <c r="E33" s="62">
        <v>0</v>
      </c>
      <c r="F33" s="62">
        <v>0</v>
      </c>
      <c r="G33" s="62">
        <f t="shared" si="3"/>
        <v>0</v>
      </c>
      <c r="H33" s="159" t="s">
        <v>593</v>
      </c>
      <c r="I33" s="62">
        <f t="shared" si="1"/>
        <v>0</v>
      </c>
    </row>
    <row r="34" spans="1:9" ht="15">
      <c r="A34" s="58" t="s">
        <v>588</v>
      </c>
      <c r="B34" s="62">
        <v>0</v>
      </c>
      <c r="C34" s="62"/>
      <c r="D34" s="62">
        <v>0</v>
      </c>
      <c r="E34" s="62">
        <v>0</v>
      </c>
      <c r="F34" s="62">
        <v>0</v>
      </c>
      <c r="G34" s="62">
        <f t="shared" si="3"/>
        <v>0</v>
      </c>
      <c r="H34" s="159" t="s">
        <v>593</v>
      </c>
      <c r="I34" s="62">
        <f t="shared" si="1"/>
        <v>0</v>
      </c>
    </row>
    <row r="35" spans="1:9" ht="15">
      <c r="A35" s="58" t="s">
        <v>11</v>
      </c>
      <c r="B35" s="62">
        <v>368</v>
      </c>
      <c r="C35" s="62">
        <v>0</v>
      </c>
      <c r="D35" s="62">
        <v>0</v>
      </c>
      <c r="E35" s="62">
        <v>0</v>
      </c>
      <c r="F35" s="62">
        <v>368</v>
      </c>
      <c r="G35" s="62">
        <f t="shared" si="3"/>
        <v>368</v>
      </c>
      <c r="H35" s="159" t="s">
        <v>593</v>
      </c>
      <c r="I35" s="62">
        <f t="shared" si="1"/>
        <v>368</v>
      </c>
    </row>
    <row r="36" spans="1:9" ht="15">
      <c r="A36" s="58" t="s">
        <v>622</v>
      </c>
      <c r="B36" s="62">
        <v>0</v>
      </c>
      <c r="C36" s="62"/>
      <c r="D36" s="62">
        <v>0</v>
      </c>
      <c r="E36" s="62">
        <v>0</v>
      </c>
      <c r="F36" s="62">
        <v>0</v>
      </c>
      <c r="G36" s="62">
        <f t="shared" si="3"/>
        <v>0</v>
      </c>
      <c r="H36" s="159" t="s">
        <v>593</v>
      </c>
      <c r="I36" s="62">
        <f t="shared" si="1"/>
        <v>0</v>
      </c>
    </row>
    <row r="37" spans="1:9" ht="15">
      <c r="A37" s="58" t="s">
        <v>608</v>
      </c>
      <c r="B37" s="62">
        <v>0</v>
      </c>
      <c r="C37" s="62"/>
      <c r="D37" s="62">
        <v>0</v>
      </c>
      <c r="E37" s="62">
        <v>0</v>
      </c>
      <c r="F37" s="62">
        <v>0</v>
      </c>
      <c r="G37" s="62">
        <f t="shared" si="3"/>
        <v>0</v>
      </c>
      <c r="H37" s="159" t="s">
        <v>593</v>
      </c>
      <c r="I37" s="62">
        <f t="shared" si="1"/>
        <v>0</v>
      </c>
    </row>
    <row r="38" spans="1:9" ht="15">
      <c r="A38" s="58" t="s">
        <v>137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f t="shared" si="3"/>
        <v>0</v>
      </c>
      <c r="H38" s="159" t="s">
        <v>593</v>
      </c>
      <c r="I38" s="62">
        <f t="shared" si="1"/>
        <v>0</v>
      </c>
    </row>
    <row r="39" spans="1:9" s="93" customFormat="1" ht="15">
      <c r="A39" s="63" t="s">
        <v>88</v>
      </c>
      <c r="B39" s="64">
        <f aca="true" t="shared" si="4" ref="B39:G39">SUM(B25:B38)</f>
        <v>13113</v>
      </c>
      <c r="C39" s="64">
        <f t="shared" si="4"/>
        <v>0</v>
      </c>
      <c r="D39" s="64">
        <f t="shared" si="4"/>
        <v>0</v>
      </c>
      <c r="E39" s="64">
        <f t="shared" si="4"/>
        <v>4641</v>
      </c>
      <c r="F39" s="64">
        <f t="shared" si="4"/>
        <v>8472</v>
      </c>
      <c r="G39" s="64">
        <f t="shared" si="4"/>
        <v>13113</v>
      </c>
      <c r="H39" s="160" t="s">
        <v>593</v>
      </c>
      <c r="I39" s="62">
        <f t="shared" si="1"/>
        <v>13113</v>
      </c>
    </row>
    <row r="40" spans="1:9" ht="15">
      <c r="A40" s="58" t="s">
        <v>612</v>
      </c>
      <c r="B40" s="62">
        <v>13979</v>
      </c>
      <c r="C40" s="62">
        <v>0</v>
      </c>
      <c r="D40" s="62">
        <v>0</v>
      </c>
      <c r="E40" s="62">
        <v>0</v>
      </c>
      <c r="F40" s="62">
        <v>13979</v>
      </c>
      <c r="G40" s="62">
        <f>B40+C40</f>
        <v>13979</v>
      </c>
      <c r="H40" s="159" t="s">
        <v>595</v>
      </c>
      <c r="I40" s="62">
        <f t="shared" si="1"/>
        <v>13979</v>
      </c>
    </row>
    <row r="41" spans="1:9" ht="15">
      <c r="A41" s="58" t="s">
        <v>613</v>
      </c>
      <c r="B41" s="62">
        <v>11699</v>
      </c>
      <c r="C41" s="62"/>
      <c r="D41" s="62">
        <v>0</v>
      </c>
      <c r="E41" s="62">
        <v>11699</v>
      </c>
      <c r="F41" s="62">
        <v>0</v>
      </c>
      <c r="G41" s="62">
        <f aca="true" t="shared" si="5" ref="G41:G49">B41+C41</f>
        <v>11699</v>
      </c>
      <c r="H41" s="159" t="s">
        <v>595</v>
      </c>
      <c r="I41" s="62">
        <f t="shared" si="1"/>
        <v>11699</v>
      </c>
    </row>
    <row r="42" spans="1:9" ht="15">
      <c r="A42" s="58" t="s">
        <v>611</v>
      </c>
      <c r="B42" s="62">
        <v>600</v>
      </c>
      <c r="C42" s="62">
        <v>0</v>
      </c>
      <c r="D42" s="62">
        <v>0</v>
      </c>
      <c r="E42" s="62">
        <v>0</v>
      </c>
      <c r="F42" s="62">
        <v>600</v>
      </c>
      <c r="G42" s="62">
        <f t="shared" si="5"/>
        <v>600</v>
      </c>
      <c r="H42" s="159" t="s">
        <v>595</v>
      </c>
      <c r="I42" s="62">
        <f t="shared" si="1"/>
        <v>600</v>
      </c>
    </row>
    <row r="43" spans="1:9" ht="15">
      <c r="A43" s="58" t="s">
        <v>777</v>
      </c>
      <c r="B43" s="62">
        <v>9492</v>
      </c>
      <c r="C43" s="62"/>
      <c r="D43" s="62">
        <v>0</v>
      </c>
      <c r="E43" s="62">
        <v>0</v>
      </c>
      <c r="F43" s="62">
        <v>9492</v>
      </c>
      <c r="G43" s="62">
        <f t="shared" si="5"/>
        <v>9492</v>
      </c>
      <c r="H43" s="159" t="s">
        <v>595</v>
      </c>
      <c r="I43" s="62">
        <f t="shared" si="1"/>
        <v>9492</v>
      </c>
    </row>
    <row r="44" spans="1:9" ht="15">
      <c r="A44" s="58" t="s">
        <v>10</v>
      </c>
      <c r="B44" s="62">
        <v>36786</v>
      </c>
      <c r="C44" s="62"/>
      <c r="D44" s="62">
        <v>0</v>
      </c>
      <c r="E44" s="62">
        <v>0</v>
      </c>
      <c r="F44" s="62">
        <v>36786</v>
      </c>
      <c r="G44" s="62">
        <f t="shared" si="5"/>
        <v>36786</v>
      </c>
      <c r="H44" s="159" t="s">
        <v>595</v>
      </c>
      <c r="I44" s="62">
        <f t="shared" si="1"/>
        <v>36786</v>
      </c>
    </row>
    <row r="45" spans="1:9" ht="15">
      <c r="A45" s="58" t="s">
        <v>587</v>
      </c>
      <c r="B45" s="62">
        <v>0</v>
      </c>
      <c r="C45" s="62"/>
      <c r="D45" s="62">
        <v>0</v>
      </c>
      <c r="E45" s="62">
        <v>0</v>
      </c>
      <c r="F45" s="62">
        <v>0</v>
      </c>
      <c r="G45" s="62">
        <f t="shared" si="5"/>
        <v>0</v>
      </c>
      <c r="H45" s="159" t="s">
        <v>595</v>
      </c>
      <c r="I45" s="62">
        <f t="shared" si="1"/>
        <v>0</v>
      </c>
    </row>
    <row r="46" spans="1:9" ht="15">
      <c r="A46" s="58" t="s">
        <v>588</v>
      </c>
      <c r="B46" s="62">
        <v>0</v>
      </c>
      <c r="C46" s="62"/>
      <c r="D46" s="62">
        <v>0</v>
      </c>
      <c r="E46" s="62">
        <v>0</v>
      </c>
      <c r="F46" s="62">
        <v>0</v>
      </c>
      <c r="G46" s="62">
        <f t="shared" si="5"/>
        <v>0</v>
      </c>
      <c r="H46" s="159" t="s">
        <v>595</v>
      </c>
      <c r="I46" s="62">
        <f t="shared" si="1"/>
        <v>0</v>
      </c>
    </row>
    <row r="47" spans="1:9" ht="15">
      <c r="A47" s="58" t="s">
        <v>11</v>
      </c>
      <c r="B47" s="62">
        <v>27763</v>
      </c>
      <c r="C47" s="62">
        <v>0</v>
      </c>
      <c r="D47" s="62">
        <v>0</v>
      </c>
      <c r="E47" s="62">
        <v>0</v>
      </c>
      <c r="F47" s="62">
        <v>27763</v>
      </c>
      <c r="G47" s="62">
        <f t="shared" si="5"/>
        <v>27763</v>
      </c>
      <c r="H47" s="159" t="s">
        <v>595</v>
      </c>
      <c r="I47" s="62">
        <f t="shared" si="1"/>
        <v>27763</v>
      </c>
    </row>
    <row r="48" spans="1:9" ht="15">
      <c r="A48" s="58" t="s">
        <v>622</v>
      </c>
      <c r="B48" s="62">
        <v>0</v>
      </c>
      <c r="C48" s="62"/>
      <c r="D48" s="62">
        <v>0</v>
      </c>
      <c r="E48" s="62">
        <v>0</v>
      </c>
      <c r="F48" s="62">
        <v>0</v>
      </c>
      <c r="G48" s="62">
        <f t="shared" si="5"/>
        <v>0</v>
      </c>
      <c r="H48" s="159" t="s">
        <v>595</v>
      </c>
      <c r="I48" s="62">
        <f t="shared" si="1"/>
        <v>0</v>
      </c>
    </row>
    <row r="49" spans="1:9" ht="15">
      <c r="A49" s="58" t="s">
        <v>608</v>
      </c>
      <c r="B49" s="62">
        <v>0</v>
      </c>
      <c r="C49" s="62"/>
      <c r="D49" s="62">
        <v>0</v>
      </c>
      <c r="E49" s="62">
        <v>0</v>
      </c>
      <c r="F49" s="62">
        <v>0</v>
      </c>
      <c r="G49" s="62">
        <f t="shared" si="5"/>
        <v>0</v>
      </c>
      <c r="H49" s="159" t="s">
        <v>595</v>
      </c>
      <c r="I49" s="62">
        <f t="shared" si="1"/>
        <v>0</v>
      </c>
    </row>
    <row r="50" spans="1:9" s="93" customFormat="1" ht="15">
      <c r="A50" s="63" t="s">
        <v>594</v>
      </c>
      <c r="B50" s="64">
        <f aca="true" t="shared" si="6" ref="B50:G50">SUM(B40:B49)</f>
        <v>100319</v>
      </c>
      <c r="C50" s="64">
        <f t="shared" si="6"/>
        <v>0</v>
      </c>
      <c r="D50" s="64">
        <f t="shared" si="6"/>
        <v>0</v>
      </c>
      <c r="E50" s="64">
        <f t="shared" si="6"/>
        <v>11699</v>
      </c>
      <c r="F50" s="64">
        <f t="shared" si="6"/>
        <v>88620</v>
      </c>
      <c r="G50" s="64">
        <f t="shared" si="6"/>
        <v>100319</v>
      </c>
      <c r="H50" s="160" t="s">
        <v>595</v>
      </c>
      <c r="I50" s="62">
        <f t="shared" si="1"/>
        <v>100319</v>
      </c>
    </row>
    <row r="51" spans="1:9" ht="15">
      <c r="A51" s="58" t="s">
        <v>616</v>
      </c>
      <c r="B51" s="62">
        <v>50</v>
      </c>
      <c r="C51" s="62">
        <v>0</v>
      </c>
      <c r="D51" s="62">
        <v>0</v>
      </c>
      <c r="E51" s="62">
        <v>0</v>
      </c>
      <c r="F51" s="62">
        <v>50</v>
      </c>
      <c r="G51" s="62">
        <f aca="true" t="shared" si="7" ref="G51:G56">B51+C51</f>
        <v>50</v>
      </c>
      <c r="H51" s="159" t="s">
        <v>50</v>
      </c>
      <c r="I51" s="62">
        <f t="shared" si="1"/>
        <v>50</v>
      </c>
    </row>
    <row r="52" spans="1:9" ht="15">
      <c r="A52" s="58" t="s">
        <v>617</v>
      </c>
      <c r="B52" s="62">
        <v>50</v>
      </c>
      <c r="C52" s="62"/>
      <c r="D52" s="62">
        <v>0</v>
      </c>
      <c r="E52" s="62">
        <v>50</v>
      </c>
      <c r="F52" s="62">
        <v>0</v>
      </c>
      <c r="G52" s="62">
        <f t="shared" si="7"/>
        <v>50</v>
      </c>
      <c r="H52" s="159" t="s">
        <v>50</v>
      </c>
      <c r="I52" s="62">
        <f t="shared" si="1"/>
        <v>50</v>
      </c>
    </row>
    <row r="53" spans="1:9" ht="15">
      <c r="A53" s="58" t="s">
        <v>611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f t="shared" si="7"/>
        <v>0</v>
      </c>
      <c r="H53" s="159" t="s">
        <v>50</v>
      </c>
      <c r="I53" s="62">
        <f t="shared" si="1"/>
        <v>0</v>
      </c>
    </row>
    <row r="54" spans="1:9" ht="15">
      <c r="A54" s="58" t="s">
        <v>777</v>
      </c>
      <c r="B54" s="62">
        <v>2513</v>
      </c>
      <c r="C54" s="62"/>
      <c r="D54" s="62">
        <v>0</v>
      </c>
      <c r="E54" s="62">
        <v>0</v>
      </c>
      <c r="F54" s="62">
        <v>2513</v>
      </c>
      <c r="G54" s="62">
        <f t="shared" si="7"/>
        <v>2513</v>
      </c>
      <c r="H54" s="159" t="s">
        <v>50</v>
      </c>
      <c r="I54" s="62">
        <f t="shared" si="1"/>
        <v>2513</v>
      </c>
    </row>
    <row r="55" spans="1:9" ht="15">
      <c r="A55" s="58" t="s">
        <v>11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f t="shared" si="7"/>
        <v>0</v>
      </c>
      <c r="H55" s="159" t="s">
        <v>50</v>
      </c>
      <c r="I55" s="62">
        <f t="shared" si="1"/>
        <v>0</v>
      </c>
    </row>
    <row r="56" spans="1:9" ht="15">
      <c r="A56" s="58" t="s">
        <v>10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f t="shared" si="7"/>
        <v>0</v>
      </c>
      <c r="H56" s="159" t="s">
        <v>50</v>
      </c>
      <c r="I56" s="62">
        <f t="shared" si="1"/>
        <v>0</v>
      </c>
    </row>
    <row r="57" spans="1:9" s="93" customFormat="1" ht="15">
      <c r="A57" s="63" t="s">
        <v>49</v>
      </c>
      <c r="B57" s="64">
        <f aca="true" t="shared" si="8" ref="B57:G57">SUM(B51:B56)</f>
        <v>2613</v>
      </c>
      <c r="C57" s="64">
        <f t="shared" si="8"/>
        <v>0</v>
      </c>
      <c r="D57" s="64">
        <f t="shared" si="8"/>
        <v>0</v>
      </c>
      <c r="E57" s="64">
        <f t="shared" si="8"/>
        <v>50</v>
      </c>
      <c r="F57" s="64">
        <f t="shared" si="8"/>
        <v>2563</v>
      </c>
      <c r="G57" s="64">
        <f t="shared" si="8"/>
        <v>2613</v>
      </c>
      <c r="H57" s="160" t="s">
        <v>50</v>
      </c>
      <c r="I57" s="62">
        <f t="shared" si="1"/>
        <v>2613</v>
      </c>
    </row>
    <row r="58" spans="1:9" s="93" customFormat="1" ht="15">
      <c r="A58" s="63" t="s">
        <v>142</v>
      </c>
      <c r="B58" s="64">
        <f aca="true" t="shared" si="9" ref="B58:G58">SUM(B50,B39,B24+B57)</f>
        <v>192987</v>
      </c>
      <c r="C58" s="64">
        <f t="shared" si="9"/>
        <v>0</v>
      </c>
      <c r="D58" s="64">
        <f t="shared" si="9"/>
        <v>0</v>
      </c>
      <c r="E58" s="64">
        <f t="shared" si="9"/>
        <v>43424</v>
      </c>
      <c r="F58" s="64">
        <f t="shared" si="9"/>
        <v>149563</v>
      </c>
      <c r="G58" s="64">
        <f t="shared" si="9"/>
        <v>192987</v>
      </c>
      <c r="H58" s="63"/>
      <c r="I58" s="62">
        <f t="shared" si="1"/>
        <v>192987</v>
      </c>
    </row>
    <row r="59" ht="15">
      <c r="A59" s="58"/>
    </row>
  </sheetData>
  <sheetProtection/>
  <mergeCells count="3">
    <mergeCell ref="A4:H4"/>
    <mergeCell ref="F7:H7"/>
    <mergeCell ref="B2:H2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="75" zoomScaleSheetLayoutView="75" zoomScalePageLayoutView="0" workbookViewId="0" topLeftCell="A10">
      <selection activeCell="D2" sqref="D2:H2"/>
    </sheetView>
  </sheetViews>
  <sheetFormatPr defaultColWidth="9.140625" defaultRowHeight="12.75"/>
  <cols>
    <col min="1" max="1" width="71.140625" style="59" bestFit="1" customWidth="1"/>
    <col min="2" max="2" width="14.57421875" style="59" customWidth="1"/>
    <col min="3" max="3" width="14.7109375" style="59" hidden="1" customWidth="1"/>
    <col min="4" max="4" width="13.421875" style="59" customWidth="1"/>
    <col min="5" max="6" width="12.140625" style="59" customWidth="1"/>
    <col min="7" max="7" width="14.00390625" style="59" customWidth="1"/>
    <col min="8" max="8" width="10.421875" style="59" customWidth="1"/>
    <col min="9" max="9" width="9.8515625" style="59" bestFit="1" customWidth="1"/>
    <col min="10" max="16384" width="9.140625" style="59" customWidth="1"/>
  </cols>
  <sheetData>
    <row r="1" spans="1:8" ht="15">
      <c r="A1" s="58"/>
      <c r="H1" s="58"/>
    </row>
    <row r="2" spans="1:8" ht="15">
      <c r="A2" s="58"/>
      <c r="D2" s="366" t="s">
        <v>928</v>
      </c>
      <c r="E2" s="366"/>
      <c r="F2" s="366"/>
      <c r="G2" s="366"/>
      <c r="H2" s="366"/>
    </row>
    <row r="3" spans="1:8" ht="15">
      <c r="A3" s="58"/>
      <c r="H3" s="58"/>
    </row>
    <row r="4" spans="1:8" ht="15">
      <c r="A4" s="365" t="s">
        <v>763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H5" s="58"/>
    </row>
    <row r="6" spans="1:8" ht="15">
      <c r="A6" s="58"/>
      <c r="H6" s="58"/>
    </row>
    <row r="7" spans="1:8" ht="15">
      <c r="A7" s="58"/>
      <c r="G7" s="367" t="s">
        <v>547</v>
      </c>
      <c r="H7" s="367"/>
    </row>
    <row r="8" spans="1:8" s="92" customFormat="1" ht="30.7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</row>
    <row r="9" spans="1:8" s="158" customFormat="1" ht="15">
      <c r="A9" s="61" t="s">
        <v>380</v>
      </c>
      <c r="B9" s="156" t="s">
        <v>220</v>
      </c>
      <c r="C9" s="156" t="s">
        <v>519</v>
      </c>
      <c r="D9" s="157" t="s">
        <v>382</v>
      </c>
      <c r="E9" s="157" t="s">
        <v>383</v>
      </c>
      <c r="F9" s="157" t="s">
        <v>384</v>
      </c>
      <c r="G9" s="157" t="s">
        <v>385</v>
      </c>
      <c r="H9" s="61" t="s">
        <v>386</v>
      </c>
    </row>
    <row r="10" spans="1:9" ht="15">
      <c r="A10" s="58" t="s">
        <v>710</v>
      </c>
      <c r="B10" s="62">
        <v>38190</v>
      </c>
      <c r="C10" s="62"/>
      <c r="D10" s="62">
        <v>0</v>
      </c>
      <c r="E10" s="62">
        <v>38190</v>
      </c>
      <c r="F10" s="62">
        <v>0</v>
      </c>
      <c r="G10" s="62">
        <f aca="true" t="shared" si="0" ref="G10:G17">B10+C10</f>
        <v>38190</v>
      </c>
      <c r="H10" s="159" t="s">
        <v>591</v>
      </c>
      <c r="I10" s="62">
        <f>D10+E10+F10</f>
        <v>38190</v>
      </c>
    </row>
    <row r="11" spans="1:9" ht="15">
      <c r="A11" s="58" t="s">
        <v>711</v>
      </c>
      <c r="B11" s="62">
        <v>15989</v>
      </c>
      <c r="C11" s="62"/>
      <c r="D11" s="62">
        <v>0</v>
      </c>
      <c r="E11" s="62">
        <v>15989</v>
      </c>
      <c r="F11" s="62">
        <v>0</v>
      </c>
      <c r="G11" s="62">
        <f t="shared" si="0"/>
        <v>15989</v>
      </c>
      <c r="H11" s="159" t="s">
        <v>591</v>
      </c>
      <c r="I11" s="62"/>
    </row>
    <row r="12" spans="1:9" ht="15">
      <c r="A12" s="58" t="s">
        <v>712</v>
      </c>
      <c r="B12" s="62">
        <v>5219</v>
      </c>
      <c r="C12" s="62"/>
      <c r="D12" s="62">
        <v>0</v>
      </c>
      <c r="E12" s="62">
        <v>5219</v>
      </c>
      <c r="F12" s="62">
        <v>0</v>
      </c>
      <c r="G12" s="62">
        <f t="shared" si="0"/>
        <v>5219</v>
      </c>
      <c r="H12" s="159" t="s">
        <v>591</v>
      </c>
      <c r="I12" s="62"/>
    </row>
    <row r="13" spans="1:9" ht="15">
      <c r="A13" s="58" t="s">
        <v>757</v>
      </c>
      <c r="B13" s="62">
        <v>564</v>
      </c>
      <c r="C13" s="62"/>
      <c r="D13" s="62">
        <v>0</v>
      </c>
      <c r="E13" s="62">
        <v>564</v>
      </c>
      <c r="F13" s="62">
        <v>0</v>
      </c>
      <c r="G13" s="62">
        <f t="shared" si="0"/>
        <v>564</v>
      </c>
      <c r="H13" s="159" t="s">
        <v>591</v>
      </c>
      <c r="I13" s="62">
        <f aca="true" t="shared" si="1" ref="I13:I37">D13+E13+F13</f>
        <v>564</v>
      </c>
    </row>
    <row r="14" spans="1:9" ht="15">
      <c r="A14" s="58" t="s">
        <v>620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f t="shared" si="0"/>
        <v>0</v>
      </c>
      <c r="H14" s="159" t="s">
        <v>591</v>
      </c>
      <c r="I14" s="62"/>
    </row>
    <row r="15" spans="1:9" ht="15">
      <c r="A15" s="58" t="s">
        <v>74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f t="shared" si="0"/>
        <v>0</v>
      </c>
      <c r="H15" s="159" t="s">
        <v>591</v>
      </c>
      <c r="I15" s="62">
        <f t="shared" si="1"/>
        <v>0</v>
      </c>
    </row>
    <row r="16" spans="1:9" ht="15">
      <c r="A16" s="58" t="s">
        <v>713</v>
      </c>
      <c r="B16" s="62">
        <v>0</v>
      </c>
      <c r="C16" s="62"/>
      <c r="D16" s="62">
        <v>0</v>
      </c>
      <c r="E16" s="62">
        <v>0</v>
      </c>
      <c r="F16" s="62">
        <v>0</v>
      </c>
      <c r="G16" s="62">
        <f t="shared" si="0"/>
        <v>0</v>
      </c>
      <c r="H16" s="159" t="s">
        <v>591</v>
      </c>
      <c r="I16" s="62"/>
    </row>
    <row r="17" spans="1:9" ht="15">
      <c r="A17" s="58" t="s">
        <v>135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f t="shared" si="0"/>
        <v>0</v>
      </c>
      <c r="H17" s="159" t="s">
        <v>591</v>
      </c>
      <c r="I17" s="62">
        <f t="shared" si="1"/>
        <v>0</v>
      </c>
    </row>
    <row r="18" spans="1:9" s="93" customFormat="1" ht="15">
      <c r="A18" s="63" t="s">
        <v>85</v>
      </c>
      <c r="B18" s="64">
        <f aca="true" t="shared" si="2" ref="B18:G18">SUM(B10:B17)</f>
        <v>59962</v>
      </c>
      <c r="C18" s="64">
        <f t="shared" si="2"/>
        <v>0</v>
      </c>
      <c r="D18" s="64">
        <f t="shared" si="2"/>
        <v>0</v>
      </c>
      <c r="E18" s="64">
        <f t="shared" si="2"/>
        <v>59962</v>
      </c>
      <c r="F18" s="64">
        <f t="shared" si="2"/>
        <v>0</v>
      </c>
      <c r="G18" s="64">
        <f t="shared" si="2"/>
        <v>59962</v>
      </c>
      <c r="H18" s="160" t="s">
        <v>591</v>
      </c>
      <c r="I18" s="62">
        <f t="shared" si="1"/>
        <v>59962</v>
      </c>
    </row>
    <row r="19" spans="1:9" ht="15">
      <c r="A19" s="58" t="s">
        <v>714</v>
      </c>
      <c r="B19" s="62">
        <v>6683</v>
      </c>
      <c r="C19" s="62"/>
      <c r="D19" s="62">
        <v>0</v>
      </c>
      <c r="E19" s="62">
        <v>6683</v>
      </c>
      <c r="F19" s="62">
        <v>0</v>
      </c>
      <c r="G19" s="62">
        <f aca="true" t="shared" si="3" ref="G19:G26">B19+C19</f>
        <v>6683</v>
      </c>
      <c r="H19" s="159" t="s">
        <v>593</v>
      </c>
      <c r="I19" s="62">
        <f t="shared" si="1"/>
        <v>6683</v>
      </c>
    </row>
    <row r="20" spans="1:9" ht="15">
      <c r="A20" s="58" t="s">
        <v>715</v>
      </c>
      <c r="B20" s="62">
        <v>2781</v>
      </c>
      <c r="C20" s="62"/>
      <c r="D20" s="62">
        <v>0</v>
      </c>
      <c r="E20" s="62">
        <v>2781</v>
      </c>
      <c r="F20" s="62">
        <v>0</v>
      </c>
      <c r="G20" s="62">
        <f t="shared" si="3"/>
        <v>2781</v>
      </c>
      <c r="H20" s="159" t="s">
        <v>593</v>
      </c>
      <c r="I20" s="62">
        <f t="shared" si="1"/>
        <v>2781</v>
      </c>
    </row>
    <row r="21" spans="1:9" ht="15">
      <c r="A21" s="58" t="s">
        <v>716</v>
      </c>
      <c r="B21" s="62">
        <v>914</v>
      </c>
      <c r="C21" s="62"/>
      <c r="D21" s="62">
        <v>0</v>
      </c>
      <c r="E21" s="62">
        <v>914</v>
      </c>
      <c r="F21" s="62">
        <v>0</v>
      </c>
      <c r="G21" s="62">
        <f t="shared" si="3"/>
        <v>914</v>
      </c>
      <c r="H21" s="159" t="s">
        <v>593</v>
      </c>
      <c r="I21" s="62">
        <f t="shared" si="1"/>
        <v>914</v>
      </c>
    </row>
    <row r="22" spans="1:9" ht="15">
      <c r="A22" s="58" t="s">
        <v>758</v>
      </c>
      <c r="B22" s="62">
        <v>49</v>
      </c>
      <c r="C22" s="62"/>
      <c r="D22" s="62">
        <v>0</v>
      </c>
      <c r="E22" s="62">
        <v>49</v>
      </c>
      <c r="F22" s="62">
        <v>0</v>
      </c>
      <c r="G22" s="62">
        <f t="shared" si="3"/>
        <v>49</v>
      </c>
      <c r="H22" s="159" t="s">
        <v>593</v>
      </c>
      <c r="I22" s="62">
        <f t="shared" si="1"/>
        <v>49</v>
      </c>
    </row>
    <row r="23" spans="1:9" ht="15">
      <c r="A23" s="58" t="s">
        <v>621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f t="shared" si="3"/>
        <v>0</v>
      </c>
      <c r="H23" s="159" t="s">
        <v>593</v>
      </c>
      <c r="I23" s="62">
        <f t="shared" si="1"/>
        <v>0</v>
      </c>
    </row>
    <row r="24" spans="1:9" ht="15">
      <c r="A24" s="58" t="s">
        <v>74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f t="shared" si="3"/>
        <v>0</v>
      </c>
      <c r="H24" s="159" t="s">
        <v>593</v>
      </c>
      <c r="I24" s="62">
        <f t="shared" si="1"/>
        <v>0</v>
      </c>
    </row>
    <row r="25" spans="1:9" ht="15">
      <c r="A25" s="58" t="s">
        <v>713</v>
      </c>
      <c r="B25" s="62">
        <v>0</v>
      </c>
      <c r="C25" s="62"/>
      <c r="D25" s="62">
        <v>0</v>
      </c>
      <c r="E25" s="62">
        <v>0</v>
      </c>
      <c r="F25" s="62">
        <v>0</v>
      </c>
      <c r="G25" s="62">
        <f t="shared" si="3"/>
        <v>0</v>
      </c>
      <c r="H25" s="159" t="s">
        <v>593</v>
      </c>
      <c r="I25" s="62">
        <f t="shared" si="1"/>
        <v>0</v>
      </c>
    </row>
    <row r="26" spans="1:9" ht="15">
      <c r="A26" s="58" t="s">
        <v>137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f t="shared" si="3"/>
        <v>0</v>
      </c>
      <c r="H26" s="159" t="s">
        <v>593</v>
      </c>
      <c r="I26" s="62">
        <f t="shared" si="1"/>
        <v>0</v>
      </c>
    </row>
    <row r="27" spans="1:9" s="93" customFormat="1" ht="15">
      <c r="A27" s="63" t="s">
        <v>88</v>
      </c>
      <c r="B27" s="64">
        <f aca="true" t="shared" si="4" ref="B27:G27">SUM(B19:B26)</f>
        <v>10427</v>
      </c>
      <c r="C27" s="64">
        <f t="shared" si="4"/>
        <v>0</v>
      </c>
      <c r="D27" s="64">
        <f t="shared" si="4"/>
        <v>0</v>
      </c>
      <c r="E27" s="64">
        <f t="shared" si="4"/>
        <v>10427</v>
      </c>
      <c r="F27" s="64">
        <f t="shared" si="4"/>
        <v>0</v>
      </c>
      <c r="G27" s="64">
        <f t="shared" si="4"/>
        <v>10427</v>
      </c>
      <c r="H27" s="160" t="s">
        <v>593</v>
      </c>
      <c r="I27" s="62">
        <f t="shared" si="1"/>
        <v>10427</v>
      </c>
    </row>
    <row r="28" spans="1:9" ht="15">
      <c r="A28" s="58" t="s">
        <v>717</v>
      </c>
      <c r="B28" s="62">
        <v>4022</v>
      </c>
      <c r="C28" s="62"/>
      <c r="D28" s="62">
        <v>0</v>
      </c>
      <c r="E28" s="62">
        <v>4022</v>
      </c>
      <c r="F28" s="62">
        <v>0</v>
      </c>
      <c r="G28" s="62">
        <f>B28+C28</f>
        <v>4022</v>
      </c>
      <c r="H28" s="159" t="s">
        <v>595</v>
      </c>
      <c r="I28" s="62">
        <f t="shared" si="1"/>
        <v>4022</v>
      </c>
    </row>
    <row r="29" spans="1:9" ht="15">
      <c r="A29" s="58" t="s">
        <v>718</v>
      </c>
      <c r="B29" s="62">
        <v>1596</v>
      </c>
      <c r="C29" s="62"/>
      <c r="D29" s="62">
        <v>0</v>
      </c>
      <c r="E29" s="62">
        <v>1596</v>
      </c>
      <c r="F29" s="62">
        <v>0</v>
      </c>
      <c r="G29" s="62">
        <f>B29+C29</f>
        <v>1596</v>
      </c>
      <c r="H29" s="159" t="s">
        <v>595</v>
      </c>
      <c r="I29" s="62">
        <f t="shared" si="1"/>
        <v>1596</v>
      </c>
    </row>
    <row r="30" spans="1:9" ht="15">
      <c r="A30" s="58" t="s">
        <v>719</v>
      </c>
      <c r="B30" s="62">
        <v>2028</v>
      </c>
      <c r="C30" s="62"/>
      <c r="D30" s="62">
        <v>0</v>
      </c>
      <c r="E30" s="62">
        <v>2028</v>
      </c>
      <c r="F30" s="62">
        <v>0</v>
      </c>
      <c r="G30" s="62">
        <f>B30+C30</f>
        <v>2028</v>
      </c>
      <c r="H30" s="159" t="s">
        <v>595</v>
      </c>
      <c r="I30" s="62">
        <f t="shared" si="1"/>
        <v>2028</v>
      </c>
    </row>
    <row r="31" spans="1:9" ht="15">
      <c r="A31" s="58" t="s">
        <v>74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f>B31+C31</f>
        <v>0</v>
      </c>
      <c r="H31" s="159" t="s">
        <v>595</v>
      </c>
      <c r="I31" s="62">
        <f t="shared" si="1"/>
        <v>0</v>
      </c>
    </row>
    <row r="32" spans="1:9" s="93" customFormat="1" ht="15">
      <c r="A32" s="63" t="s">
        <v>594</v>
      </c>
      <c r="B32" s="64">
        <f aca="true" t="shared" si="5" ref="B32:G32">SUM(B28:B31)</f>
        <v>7646</v>
      </c>
      <c r="C32" s="64">
        <f t="shared" si="5"/>
        <v>0</v>
      </c>
      <c r="D32" s="64">
        <f t="shared" si="5"/>
        <v>0</v>
      </c>
      <c r="E32" s="64">
        <f t="shared" si="5"/>
        <v>7646</v>
      </c>
      <c r="F32" s="64">
        <f t="shared" si="5"/>
        <v>0</v>
      </c>
      <c r="G32" s="64">
        <f t="shared" si="5"/>
        <v>7646</v>
      </c>
      <c r="H32" s="160" t="s">
        <v>595</v>
      </c>
      <c r="I32" s="62">
        <f t="shared" si="1"/>
        <v>7646</v>
      </c>
    </row>
    <row r="33" spans="1:9" ht="15">
      <c r="A33" s="58" t="s">
        <v>720</v>
      </c>
      <c r="B33" s="62">
        <v>381</v>
      </c>
      <c r="C33" s="62"/>
      <c r="D33" s="62">
        <v>0</v>
      </c>
      <c r="E33" s="62">
        <v>381</v>
      </c>
      <c r="F33" s="62">
        <v>0</v>
      </c>
      <c r="G33" s="62">
        <f>B33+C33</f>
        <v>381</v>
      </c>
      <c r="H33" s="159" t="s">
        <v>50</v>
      </c>
      <c r="I33" s="62">
        <f t="shared" si="1"/>
        <v>381</v>
      </c>
    </row>
    <row r="34" spans="1:9" ht="15">
      <c r="A34" s="58" t="s">
        <v>721</v>
      </c>
      <c r="B34" s="62">
        <v>127</v>
      </c>
      <c r="C34" s="62"/>
      <c r="D34" s="62">
        <v>0</v>
      </c>
      <c r="E34" s="62">
        <v>127</v>
      </c>
      <c r="F34" s="62">
        <v>0</v>
      </c>
      <c r="G34" s="62">
        <f>B34+C34</f>
        <v>127</v>
      </c>
      <c r="H34" s="159" t="s">
        <v>50</v>
      </c>
      <c r="I34" s="62">
        <f t="shared" si="1"/>
        <v>127</v>
      </c>
    </row>
    <row r="35" spans="1:9" ht="15">
      <c r="A35" s="58" t="s">
        <v>722</v>
      </c>
      <c r="B35" s="62">
        <v>0</v>
      </c>
      <c r="C35" s="62"/>
      <c r="D35" s="62">
        <v>0</v>
      </c>
      <c r="E35" s="62">
        <v>0</v>
      </c>
      <c r="F35" s="62">
        <v>0</v>
      </c>
      <c r="G35" s="62">
        <f>B35+C35</f>
        <v>0</v>
      </c>
      <c r="H35" s="159" t="s">
        <v>50</v>
      </c>
      <c r="I35" s="62">
        <f t="shared" si="1"/>
        <v>0</v>
      </c>
    </row>
    <row r="36" spans="1:9" s="93" customFormat="1" ht="15">
      <c r="A36" s="63" t="s">
        <v>49</v>
      </c>
      <c r="B36" s="64">
        <f aca="true" t="shared" si="6" ref="B36:G36">SUM(B33:B35)</f>
        <v>508</v>
      </c>
      <c r="C36" s="64">
        <f t="shared" si="6"/>
        <v>0</v>
      </c>
      <c r="D36" s="64">
        <f t="shared" si="6"/>
        <v>0</v>
      </c>
      <c r="E36" s="64">
        <f t="shared" si="6"/>
        <v>508</v>
      </c>
      <c r="F36" s="64">
        <f t="shared" si="6"/>
        <v>0</v>
      </c>
      <c r="G36" s="64">
        <f t="shared" si="6"/>
        <v>508</v>
      </c>
      <c r="H36" s="160" t="s">
        <v>50</v>
      </c>
      <c r="I36" s="62">
        <f t="shared" si="1"/>
        <v>508</v>
      </c>
    </row>
    <row r="37" spans="1:9" s="93" customFormat="1" ht="15">
      <c r="A37" s="99" t="s">
        <v>142</v>
      </c>
      <c r="B37" s="100">
        <f aca="true" t="shared" si="7" ref="B37:G37">SUM(B32,B27,B18+B36)</f>
        <v>78543</v>
      </c>
      <c r="C37" s="100">
        <f t="shared" si="7"/>
        <v>0</v>
      </c>
      <c r="D37" s="100">
        <f t="shared" si="7"/>
        <v>0</v>
      </c>
      <c r="E37" s="100">
        <f t="shared" si="7"/>
        <v>78543</v>
      </c>
      <c r="F37" s="100">
        <f t="shared" si="7"/>
        <v>0</v>
      </c>
      <c r="G37" s="100">
        <f t="shared" si="7"/>
        <v>78543</v>
      </c>
      <c r="H37" s="99"/>
      <c r="I37" s="62">
        <f t="shared" si="1"/>
        <v>78543</v>
      </c>
    </row>
  </sheetData>
  <sheetProtection/>
  <mergeCells count="3">
    <mergeCell ref="D2:H2"/>
    <mergeCell ref="A4:H4"/>
    <mergeCell ref="G7:H7"/>
  </mergeCell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3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75" zoomScaleSheetLayoutView="75" zoomScalePageLayoutView="0" workbookViewId="0" topLeftCell="A1">
      <selection activeCell="I2" sqref="I2:N2"/>
    </sheetView>
  </sheetViews>
  <sheetFormatPr defaultColWidth="9.140625" defaultRowHeight="12.75"/>
  <cols>
    <col min="1" max="1" width="20.421875" style="21" customWidth="1"/>
    <col min="2" max="2" width="18.00390625" style="21" customWidth="1"/>
    <col min="3" max="3" width="12.28125" style="21" customWidth="1"/>
    <col min="4" max="4" width="13.28125" style="21" customWidth="1"/>
    <col min="5" max="5" width="14.8515625" style="21" customWidth="1"/>
    <col min="6" max="6" width="14.7109375" style="21" customWidth="1"/>
    <col min="7" max="7" width="11.7109375" style="21" customWidth="1"/>
    <col min="8" max="8" width="10.7109375" style="21" customWidth="1"/>
    <col min="9" max="9" width="11.7109375" style="21" customWidth="1"/>
    <col min="10" max="10" width="11.28125" style="21" customWidth="1"/>
    <col min="11" max="11" width="11.140625" style="21" customWidth="1"/>
    <col min="12" max="12" width="12.140625" style="21" customWidth="1"/>
    <col min="13" max="13" width="11.140625" style="21" customWidth="1"/>
    <col min="14" max="14" width="10.57421875" style="21" customWidth="1"/>
    <col min="15" max="15" width="11.57421875" style="21" customWidth="1"/>
    <col min="16" max="16" width="10.57421875" style="21" customWidth="1"/>
    <col min="17" max="18" width="10.140625" style="21" customWidth="1"/>
    <col min="19" max="19" width="9.57421875" style="21" customWidth="1"/>
    <col min="20" max="16384" width="9.140625" style="21" customWidth="1"/>
  </cols>
  <sheetData>
    <row r="1" spans="7:20" ht="12.75"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102"/>
    </row>
    <row r="2" spans="7:16" s="103" customFormat="1" ht="12.75">
      <c r="G2" s="104"/>
      <c r="H2" s="104"/>
      <c r="I2" s="402" t="s">
        <v>929</v>
      </c>
      <c r="J2" s="402"/>
      <c r="K2" s="402"/>
      <c r="L2" s="402"/>
      <c r="M2" s="402"/>
      <c r="N2" s="402"/>
      <c r="O2" s="105"/>
      <c r="P2" s="102"/>
    </row>
    <row r="4" spans="1:19" ht="15">
      <c r="A4" s="401" t="s">
        <v>764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106"/>
      <c r="P4" s="106"/>
      <c r="Q4" s="106"/>
      <c r="R4" s="106"/>
      <c r="S4" s="106"/>
    </row>
    <row r="5" spans="1:19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5">
      <c r="A6" s="107"/>
      <c r="B6" s="107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107"/>
      <c r="N6" s="107"/>
      <c r="O6" s="107"/>
      <c r="P6" s="107"/>
      <c r="Q6" s="107"/>
      <c r="R6" s="107"/>
      <c r="S6" s="107"/>
    </row>
    <row r="7" spans="1:19" ht="15">
      <c r="A7" s="397" t="s">
        <v>143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108"/>
      <c r="S7" s="108"/>
    </row>
    <row r="8" spans="1:17" ht="12.75">
      <c r="A8" s="109"/>
      <c r="B8" s="109"/>
      <c r="C8" s="109"/>
      <c r="D8" s="109"/>
      <c r="E8" s="109"/>
      <c r="F8" s="109"/>
      <c r="G8" s="109"/>
      <c r="I8" s="109"/>
      <c r="J8" s="109"/>
      <c r="L8" s="110"/>
      <c r="M8" s="400" t="s">
        <v>352</v>
      </c>
      <c r="N8" s="400"/>
      <c r="P8" s="110"/>
      <c r="Q8" s="110"/>
    </row>
    <row r="9" spans="1:14" ht="12.75" customHeight="1">
      <c r="A9" s="111"/>
      <c r="B9" s="112"/>
      <c r="C9" s="398" t="s">
        <v>144</v>
      </c>
      <c r="D9" s="398"/>
      <c r="E9" s="398"/>
      <c r="F9" s="398"/>
      <c r="G9" s="113" t="s">
        <v>145</v>
      </c>
      <c r="H9" s="113" t="s">
        <v>146</v>
      </c>
      <c r="I9" s="113" t="s">
        <v>147</v>
      </c>
      <c r="J9" s="113" t="s">
        <v>148</v>
      </c>
      <c r="K9" s="113" t="s">
        <v>149</v>
      </c>
      <c r="L9" s="113" t="s">
        <v>164</v>
      </c>
      <c r="M9" s="113" t="s">
        <v>325</v>
      </c>
      <c r="N9" s="390" t="s">
        <v>502</v>
      </c>
    </row>
    <row r="10" spans="1:14" ht="12.75">
      <c r="A10" s="114" t="s">
        <v>150</v>
      </c>
      <c r="B10" s="115"/>
      <c r="C10" s="116" t="s">
        <v>151</v>
      </c>
      <c r="D10" s="116" t="s">
        <v>152</v>
      </c>
      <c r="E10" s="117" t="s">
        <v>153</v>
      </c>
      <c r="F10" s="116" t="s">
        <v>154</v>
      </c>
      <c r="G10" s="113"/>
      <c r="H10" s="113"/>
      <c r="I10" s="113"/>
      <c r="J10" s="113"/>
      <c r="K10" s="113"/>
      <c r="L10" s="113"/>
      <c r="M10" s="113"/>
      <c r="N10" s="390"/>
    </row>
    <row r="11" spans="1:14" ht="12" customHeight="1">
      <c r="A11" s="118" t="s">
        <v>155</v>
      </c>
      <c r="B11" s="119"/>
      <c r="C11" s="120">
        <v>14510</v>
      </c>
      <c r="D11" s="120">
        <v>0</v>
      </c>
      <c r="E11" s="120">
        <v>5804</v>
      </c>
      <c r="F11" s="121">
        <f>SUM(C11-E11)</f>
        <v>8706</v>
      </c>
      <c r="G11" s="120">
        <v>5804</v>
      </c>
      <c r="H11" s="120">
        <v>2902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f>SUM(G11:M11)</f>
        <v>8706</v>
      </c>
    </row>
    <row r="12" spans="1:14" ht="12" customHeight="1">
      <c r="A12" s="118" t="s">
        <v>324</v>
      </c>
      <c r="B12" s="119"/>
      <c r="C12" s="120">
        <v>32772</v>
      </c>
      <c r="D12" s="120"/>
      <c r="E12" s="120">
        <v>4370</v>
      </c>
      <c r="F12" s="121">
        <f>SUM(C12-E12)</f>
        <v>28402</v>
      </c>
      <c r="G12" s="120">
        <v>4370</v>
      </c>
      <c r="H12" s="120">
        <v>4370</v>
      </c>
      <c r="I12" s="120">
        <v>4370</v>
      </c>
      <c r="J12" s="120">
        <v>4370</v>
      </c>
      <c r="K12" s="120">
        <v>4370</v>
      </c>
      <c r="L12" s="120">
        <v>4370</v>
      </c>
      <c r="M12" s="120">
        <v>2182</v>
      </c>
      <c r="N12" s="121">
        <f>SUM(G12:M12)</f>
        <v>28402</v>
      </c>
    </row>
    <row r="13" spans="1:14" ht="12" customHeight="1">
      <c r="A13" s="118" t="s">
        <v>19</v>
      </c>
      <c r="B13" s="119"/>
      <c r="C13" s="120">
        <v>259622</v>
      </c>
      <c r="D13" s="120"/>
      <c r="E13" s="120">
        <v>34728</v>
      </c>
      <c r="F13" s="121">
        <f>SUM(C13+D13-E13)</f>
        <v>224894</v>
      </c>
      <c r="G13" s="120">
        <v>34728</v>
      </c>
      <c r="H13" s="120">
        <v>34728</v>
      </c>
      <c r="I13" s="120">
        <v>34728</v>
      </c>
      <c r="J13" s="120">
        <v>34728</v>
      </c>
      <c r="K13" s="120">
        <v>34728</v>
      </c>
      <c r="L13" s="120">
        <v>34728</v>
      </c>
      <c r="M13" s="120">
        <v>16526</v>
      </c>
      <c r="N13" s="121">
        <f>SUM(G13:M13)</f>
        <v>224894</v>
      </c>
    </row>
    <row r="14" spans="1:14" ht="12.75">
      <c r="A14" s="197" t="s">
        <v>156</v>
      </c>
      <c r="B14" s="198"/>
      <c r="C14" s="199">
        <f>SUM(C11:C13)</f>
        <v>306904</v>
      </c>
      <c r="D14" s="199">
        <f aca="true" t="shared" si="0" ref="D14:N14">SUM(D11:D13)</f>
        <v>0</v>
      </c>
      <c r="E14" s="199">
        <f t="shared" si="0"/>
        <v>44902</v>
      </c>
      <c r="F14" s="199">
        <f t="shared" si="0"/>
        <v>262002</v>
      </c>
      <c r="G14" s="199">
        <f t="shared" si="0"/>
        <v>44902</v>
      </c>
      <c r="H14" s="199">
        <f t="shared" si="0"/>
        <v>42000</v>
      </c>
      <c r="I14" s="199">
        <f t="shared" si="0"/>
        <v>39098</v>
      </c>
      <c r="J14" s="199">
        <f t="shared" si="0"/>
        <v>39098</v>
      </c>
      <c r="K14" s="199">
        <f t="shared" si="0"/>
        <v>39098</v>
      </c>
      <c r="L14" s="199">
        <f t="shared" si="0"/>
        <v>39098</v>
      </c>
      <c r="M14" s="199">
        <f t="shared" si="0"/>
        <v>18708</v>
      </c>
      <c r="N14" s="199">
        <f t="shared" si="0"/>
        <v>262002</v>
      </c>
    </row>
    <row r="15" spans="1:16" s="103" customFormat="1" ht="13.5" customHeight="1">
      <c r="A15" s="391" t="s">
        <v>765</v>
      </c>
      <c r="B15" s="391"/>
      <c r="C15" s="200"/>
      <c r="D15" s="199"/>
      <c r="E15" s="201">
        <v>5000</v>
      </c>
      <c r="F15" s="199"/>
      <c r="G15" s="200"/>
      <c r="H15" s="200"/>
      <c r="I15" s="200"/>
      <c r="J15" s="200"/>
      <c r="K15" s="200"/>
      <c r="L15" s="200"/>
      <c r="M15" s="200"/>
      <c r="N15" s="200"/>
      <c r="O15" s="20"/>
      <c r="P15" s="20"/>
    </row>
    <row r="16" spans="1:19" s="103" customFormat="1" ht="12.75">
      <c r="A16" s="345"/>
      <c r="B16" s="345"/>
      <c r="C16" s="20"/>
      <c r="D16" s="19"/>
      <c r="E16" s="346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103" customFormat="1" ht="12.75" customHeight="1" hidden="1">
      <c r="A17" s="399" t="s">
        <v>157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</row>
    <row r="18" spans="1:19" s="103" customFormat="1" ht="14.25" customHeight="1" hidden="1">
      <c r="A18" s="388" t="s">
        <v>158</v>
      </c>
      <c r="B18" s="388"/>
      <c r="C18" s="389">
        <v>788330</v>
      </c>
      <c r="D18" s="389"/>
      <c r="E18" s="38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03" customFormat="1" ht="12.75" customHeight="1" hidden="1">
      <c r="A19" s="399" t="s">
        <v>159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</row>
    <row r="20" spans="1:19" ht="12.75" customHeight="1" hidden="1">
      <c r="A20" s="388" t="s">
        <v>158</v>
      </c>
      <c r="B20" s="388"/>
      <c r="C20" s="389">
        <v>723138</v>
      </c>
      <c r="D20" s="389"/>
      <c r="E20" s="38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8.75" customHeight="1" hidden="1">
      <c r="A21" s="17"/>
      <c r="B21" s="17"/>
      <c r="C21" s="18"/>
      <c r="D21" s="18"/>
      <c r="E21" s="18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 customHeight="1">
      <c r="A22" s="17"/>
      <c r="B22" s="17"/>
      <c r="C22" s="18"/>
      <c r="D22" s="18"/>
      <c r="E22" s="18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403" t="s">
        <v>160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2"/>
      <c r="P23" s="42"/>
      <c r="Q23" s="23"/>
      <c r="R23" s="23"/>
      <c r="S23" s="23"/>
    </row>
    <row r="24" spans="1:14" ht="12.75">
      <c r="A24" s="24"/>
      <c r="B24" s="24"/>
      <c r="C24" s="24"/>
      <c r="D24" s="24"/>
      <c r="E24" s="24"/>
      <c r="F24" s="22"/>
      <c r="G24" s="22"/>
      <c r="H24" s="25" t="s">
        <v>352</v>
      </c>
      <c r="I24" s="22"/>
      <c r="J24" s="22"/>
      <c r="K24" s="23"/>
      <c r="L24" s="23"/>
      <c r="M24" s="23"/>
      <c r="N24" s="23"/>
    </row>
    <row r="25" spans="1:14" s="31" customFormat="1" ht="12.75">
      <c r="A25" s="26" t="s">
        <v>548</v>
      </c>
      <c r="B25" s="27"/>
      <c r="C25" s="27"/>
      <c r="D25" s="27"/>
      <c r="E25" s="27"/>
      <c r="F25" s="28" t="s">
        <v>144</v>
      </c>
      <c r="G25" s="29" t="s">
        <v>145</v>
      </c>
      <c r="H25" s="30" t="s">
        <v>161</v>
      </c>
      <c r="J25" s="32"/>
      <c r="K25" s="32"/>
      <c r="L25" s="33"/>
      <c r="M25" s="33"/>
      <c r="N25" s="33"/>
    </row>
    <row r="26" spans="1:15" ht="12.75">
      <c r="A26" s="34" t="s">
        <v>162</v>
      </c>
      <c r="B26" s="35"/>
      <c r="C26" s="35"/>
      <c r="D26" s="35"/>
      <c r="E26" s="35"/>
      <c r="F26" s="36">
        <v>1908</v>
      </c>
      <c r="G26" s="36">
        <v>1908</v>
      </c>
      <c r="H26" s="36">
        <f>SUM(F26:G26)</f>
        <v>3816</v>
      </c>
      <c r="J26" s="37"/>
      <c r="K26" s="37"/>
      <c r="L26" s="38"/>
      <c r="M26" s="38"/>
      <c r="N26" s="38"/>
      <c r="O26" s="39"/>
    </row>
    <row r="27" spans="1:19" ht="12.75">
      <c r="A27" s="37"/>
      <c r="B27" s="37"/>
      <c r="C27" s="37"/>
      <c r="D27" s="37"/>
      <c r="E27" s="37"/>
      <c r="F27" s="40"/>
      <c r="G27" s="40"/>
      <c r="H27" s="40"/>
      <c r="I27" s="41"/>
      <c r="J27" s="41"/>
      <c r="K27" s="40"/>
      <c r="L27" s="40"/>
      <c r="M27" s="40"/>
      <c r="N27" s="40"/>
      <c r="O27" s="40"/>
      <c r="P27" s="40"/>
      <c r="Q27" s="40"/>
      <c r="R27" s="40"/>
      <c r="S27" s="40"/>
    </row>
    <row r="28" spans="2:20" ht="12.75">
      <c r="B28" s="32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19" ht="12.75">
      <c r="A29" s="403" t="s">
        <v>163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37"/>
      <c r="S29" s="37"/>
    </row>
    <row r="30" spans="9:13" ht="13.5" thickBot="1">
      <c r="I30" s="37"/>
      <c r="M30" s="324" t="s">
        <v>321</v>
      </c>
    </row>
    <row r="31" spans="1:14" s="327" customFormat="1" ht="17.25" customHeight="1" thickBot="1">
      <c r="A31" s="406" t="s">
        <v>548</v>
      </c>
      <c r="B31" s="407"/>
      <c r="C31" s="407"/>
      <c r="D31" s="408"/>
      <c r="E31" s="325" t="s">
        <v>326</v>
      </c>
      <c r="F31" s="404" t="s">
        <v>327</v>
      </c>
      <c r="G31" s="412" t="s">
        <v>328</v>
      </c>
      <c r="H31" s="413"/>
      <c r="I31" s="413"/>
      <c r="J31" s="413"/>
      <c r="K31" s="413"/>
      <c r="L31" s="413"/>
      <c r="M31" s="413"/>
      <c r="N31" s="326"/>
    </row>
    <row r="32" spans="1:14" s="327" customFormat="1" ht="13.5" thickBot="1">
      <c r="A32" s="409"/>
      <c r="B32" s="410"/>
      <c r="C32" s="410"/>
      <c r="D32" s="411"/>
      <c r="E32" s="328" t="s">
        <v>329</v>
      </c>
      <c r="F32" s="405"/>
      <c r="G32" s="329" t="s">
        <v>145</v>
      </c>
      <c r="H32" s="329" t="s">
        <v>146</v>
      </c>
      <c r="I32" s="329" t="s">
        <v>147</v>
      </c>
      <c r="J32" s="329" t="s">
        <v>148</v>
      </c>
      <c r="K32" s="329" t="s">
        <v>149</v>
      </c>
      <c r="L32" s="329" t="s">
        <v>164</v>
      </c>
      <c r="M32" s="330" t="s">
        <v>325</v>
      </c>
      <c r="N32" s="331"/>
    </row>
    <row r="33" spans="1:13" s="327" customFormat="1" ht="13.5" thickBot="1">
      <c r="A33" s="392">
        <v>1</v>
      </c>
      <c r="B33" s="393"/>
      <c r="C33" s="393"/>
      <c r="D33" s="394"/>
      <c r="E33" s="332">
        <v>2</v>
      </c>
      <c r="F33" s="333">
        <v>3</v>
      </c>
      <c r="G33" s="332">
        <v>4</v>
      </c>
      <c r="H33" s="333">
        <v>5</v>
      </c>
      <c r="I33" s="332">
        <v>6</v>
      </c>
      <c r="J33" s="333">
        <v>7</v>
      </c>
      <c r="K33" s="332">
        <v>8</v>
      </c>
      <c r="L33" s="333">
        <v>9</v>
      </c>
      <c r="M33" s="332">
        <v>10</v>
      </c>
    </row>
    <row r="34" spans="1:13" s="327" customFormat="1" ht="13.5" thickBot="1">
      <c r="A34" s="376" t="s">
        <v>330</v>
      </c>
      <c r="B34" s="377"/>
      <c r="C34" s="377"/>
      <c r="D34" s="378"/>
      <c r="E34" s="334">
        <v>1</v>
      </c>
      <c r="F34" s="335">
        <v>762000000</v>
      </c>
      <c r="G34" s="335">
        <v>762000000</v>
      </c>
      <c r="H34" s="335">
        <v>762000000</v>
      </c>
      <c r="I34" s="335">
        <v>762000000</v>
      </c>
      <c r="J34" s="335">
        <v>762000000</v>
      </c>
      <c r="K34" s="335">
        <v>762000000</v>
      </c>
      <c r="L34" s="335">
        <v>762000000</v>
      </c>
      <c r="M34" s="335">
        <v>762000000</v>
      </c>
    </row>
    <row r="35" spans="1:13" s="327" customFormat="1" ht="13.5" thickBot="1">
      <c r="A35" s="376" t="s">
        <v>232</v>
      </c>
      <c r="B35" s="377"/>
      <c r="C35" s="377"/>
      <c r="D35" s="378"/>
      <c r="E35" s="334">
        <v>2</v>
      </c>
      <c r="F35" s="335">
        <v>105702000</v>
      </c>
      <c r="G35" s="335">
        <v>106972000</v>
      </c>
      <c r="H35" s="335">
        <v>106972000</v>
      </c>
      <c r="I35" s="335">
        <v>106972000</v>
      </c>
      <c r="J35" s="335">
        <v>106972000</v>
      </c>
      <c r="K35" s="335">
        <v>106972000</v>
      </c>
      <c r="L35" s="335">
        <v>106972000</v>
      </c>
      <c r="M35" s="335">
        <v>106972000</v>
      </c>
    </row>
    <row r="36" spans="1:13" s="327" customFormat="1" ht="13.5" thickBot="1">
      <c r="A36" s="376" t="s">
        <v>331</v>
      </c>
      <c r="B36" s="377"/>
      <c r="C36" s="377"/>
      <c r="D36" s="378"/>
      <c r="E36" s="334">
        <v>3</v>
      </c>
      <c r="F36" s="335">
        <v>5100000</v>
      </c>
      <c r="G36" s="335">
        <v>5100000</v>
      </c>
      <c r="H36" s="335">
        <v>5100000</v>
      </c>
      <c r="I36" s="335">
        <v>5100000</v>
      </c>
      <c r="J36" s="335">
        <v>5100000</v>
      </c>
      <c r="K36" s="335">
        <v>5100000</v>
      </c>
      <c r="L36" s="335">
        <v>5100000</v>
      </c>
      <c r="M36" s="335">
        <v>5100000</v>
      </c>
    </row>
    <row r="37" spans="1:13" s="327" customFormat="1" ht="13.5" thickBot="1">
      <c r="A37" s="376" t="s">
        <v>332</v>
      </c>
      <c r="B37" s="377"/>
      <c r="C37" s="377"/>
      <c r="D37" s="378"/>
      <c r="E37" s="334">
        <v>4</v>
      </c>
      <c r="F37" s="335">
        <v>84618200</v>
      </c>
      <c r="G37" s="335">
        <v>50000000</v>
      </c>
      <c r="H37" s="335">
        <v>50000000</v>
      </c>
      <c r="I37" s="335">
        <v>50000000</v>
      </c>
      <c r="J37" s="335">
        <v>0</v>
      </c>
      <c r="K37" s="335">
        <v>0</v>
      </c>
      <c r="L37" s="335">
        <v>0</v>
      </c>
      <c r="M37" s="335">
        <v>0</v>
      </c>
    </row>
    <row r="38" spans="1:13" s="327" customFormat="1" ht="13.5" thickBot="1">
      <c r="A38" s="376" t="s">
        <v>333</v>
      </c>
      <c r="B38" s="377"/>
      <c r="C38" s="377"/>
      <c r="D38" s="378"/>
      <c r="E38" s="334">
        <v>5</v>
      </c>
      <c r="F38" s="335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</row>
    <row r="39" spans="1:13" s="327" customFormat="1" ht="13.5" thickBot="1">
      <c r="A39" s="376" t="s">
        <v>334</v>
      </c>
      <c r="B39" s="377"/>
      <c r="C39" s="377"/>
      <c r="D39" s="378"/>
      <c r="E39" s="334">
        <v>6</v>
      </c>
      <c r="F39" s="335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</row>
    <row r="40" spans="1:13" s="327" customFormat="1" ht="13.5" thickBot="1">
      <c r="A40" s="376" t="s">
        <v>335</v>
      </c>
      <c r="B40" s="377"/>
      <c r="C40" s="377"/>
      <c r="D40" s="378"/>
      <c r="E40" s="336">
        <v>7</v>
      </c>
      <c r="F40" s="337">
        <v>0</v>
      </c>
      <c r="G40" s="338">
        <v>0</v>
      </c>
      <c r="H40" s="338">
        <v>0</v>
      </c>
      <c r="I40" s="338">
        <v>0</v>
      </c>
      <c r="J40" s="338">
        <v>0</v>
      </c>
      <c r="K40" s="338">
        <v>0</v>
      </c>
      <c r="L40" s="338">
        <v>0</v>
      </c>
      <c r="M40" s="338">
        <v>0</v>
      </c>
    </row>
    <row r="41" spans="1:13" s="327" customFormat="1" ht="13.5" thickBot="1">
      <c r="A41" s="379" t="s">
        <v>336</v>
      </c>
      <c r="B41" s="380"/>
      <c r="C41" s="380"/>
      <c r="D41" s="381"/>
      <c r="E41" s="339">
        <v>8</v>
      </c>
      <c r="F41" s="340">
        <f>SUM(F34:F40)</f>
        <v>957420200</v>
      </c>
      <c r="G41" s="340">
        <f aca="true" t="shared" si="1" ref="G41:M41">SUM(G34:G40)</f>
        <v>924072000</v>
      </c>
      <c r="H41" s="340">
        <f t="shared" si="1"/>
        <v>924072000</v>
      </c>
      <c r="I41" s="340">
        <f t="shared" si="1"/>
        <v>924072000</v>
      </c>
      <c r="J41" s="340">
        <f t="shared" si="1"/>
        <v>874072000</v>
      </c>
      <c r="K41" s="340">
        <f t="shared" si="1"/>
        <v>874072000</v>
      </c>
      <c r="L41" s="340">
        <f t="shared" si="1"/>
        <v>874072000</v>
      </c>
      <c r="M41" s="340">
        <f t="shared" si="1"/>
        <v>874072000</v>
      </c>
    </row>
    <row r="42" spans="1:13" s="327" customFormat="1" ht="13.5" thickBot="1">
      <c r="A42" s="379" t="s">
        <v>337</v>
      </c>
      <c r="B42" s="380"/>
      <c r="C42" s="380"/>
      <c r="D42" s="381"/>
      <c r="E42" s="332">
        <v>9</v>
      </c>
      <c r="F42" s="341">
        <f>F41*50%</f>
        <v>478710100</v>
      </c>
      <c r="G42" s="341">
        <f aca="true" t="shared" si="2" ref="G42:M42">G41*50%</f>
        <v>462036000</v>
      </c>
      <c r="H42" s="341">
        <f t="shared" si="2"/>
        <v>462036000</v>
      </c>
      <c r="I42" s="341">
        <f t="shared" si="2"/>
        <v>462036000</v>
      </c>
      <c r="J42" s="341">
        <f t="shared" si="2"/>
        <v>437036000</v>
      </c>
      <c r="K42" s="341">
        <f t="shared" si="2"/>
        <v>437036000</v>
      </c>
      <c r="L42" s="341">
        <f t="shared" si="2"/>
        <v>437036000</v>
      </c>
      <c r="M42" s="341">
        <f t="shared" si="2"/>
        <v>437036000</v>
      </c>
    </row>
    <row r="43" spans="1:13" s="327" customFormat="1" ht="13.5" thickBot="1">
      <c r="A43" s="379" t="s">
        <v>338</v>
      </c>
      <c r="B43" s="380"/>
      <c r="C43" s="380"/>
      <c r="D43" s="381"/>
      <c r="E43" s="332">
        <v>10</v>
      </c>
      <c r="F43" s="341">
        <f>SUM(F44:F51)</f>
        <v>1908000</v>
      </c>
      <c r="G43" s="341">
        <f aca="true" t="shared" si="3" ref="G43:M43">SUM(G44:G51)</f>
        <v>1908000</v>
      </c>
      <c r="H43" s="341">
        <f t="shared" si="3"/>
        <v>0</v>
      </c>
      <c r="I43" s="341">
        <f t="shared" si="3"/>
        <v>0</v>
      </c>
      <c r="J43" s="341">
        <f t="shared" si="3"/>
        <v>0</v>
      </c>
      <c r="K43" s="341">
        <f t="shared" si="3"/>
        <v>0</v>
      </c>
      <c r="L43" s="341">
        <f t="shared" si="3"/>
        <v>0</v>
      </c>
      <c r="M43" s="341">
        <f t="shared" si="3"/>
        <v>0</v>
      </c>
    </row>
    <row r="44" spans="1:13" s="327" customFormat="1" ht="13.5" thickBot="1">
      <c r="A44" s="376" t="s">
        <v>339</v>
      </c>
      <c r="B44" s="377"/>
      <c r="C44" s="377"/>
      <c r="D44" s="378"/>
      <c r="E44" s="334">
        <v>11</v>
      </c>
      <c r="F44" s="335">
        <v>0</v>
      </c>
      <c r="G44" s="335">
        <v>0</v>
      </c>
      <c r="H44" s="335">
        <v>0</v>
      </c>
      <c r="I44" s="335">
        <v>0</v>
      </c>
      <c r="J44" s="335">
        <v>0</v>
      </c>
      <c r="K44" s="335">
        <v>0</v>
      </c>
      <c r="L44" s="335">
        <v>0</v>
      </c>
      <c r="M44" s="335">
        <v>0</v>
      </c>
    </row>
    <row r="45" spans="1:13" s="327" customFormat="1" ht="13.5" thickBot="1">
      <c r="A45" s="376" t="s">
        <v>340</v>
      </c>
      <c r="B45" s="377"/>
      <c r="C45" s="377"/>
      <c r="D45" s="378"/>
      <c r="E45" s="334">
        <v>12</v>
      </c>
      <c r="F45" s="335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</row>
    <row r="46" spans="1:13" s="327" customFormat="1" ht="13.5" thickBot="1">
      <c r="A46" s="376" t="s">
        <v>341</v>
      </c>
      <c r="B46" s="377"/>
      <c r="C46" s="377"/>
      <c r="D46" s="378"/>
      <c r="E46" s="334">
        <v>13</v>
      </c>
      <c r="F46" s="335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</row>
    <row r="47" spans="1:13" s="327" customFormat="1" ht="13.5" thickBot="1">
      <c r="A47" s="376" t="s">
        <v>342</v>
      </c>
      <c r="B47" s="377"/>
      <c r="C47" s="377"/>
      <c r="D47" s="378"/>
      <c r="E47" s="334">
        <v>14</v>
      </c>
      <c r="F47" s="335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</row>
    <row r="48" spans="1:13" s="327" customFormat="1" ht="13.5" thickBot="1">
      <c r="A48" s="376" t="s">
        <v>343</v>
      </c>
      <c r="B48" s="377"/>
      <c r="C48" s="377"/>
      <c r="D48" s="378"/>
      <c r="E48" s="334">
        <v>15</v>
      </c>
      <c r="F48" s="335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</row>
    <row r="49" spans="1:13" s="327" customFormat="1" ht="13.5" thickBot="1">
      <c r="A49" s="376" t="s">
        <v>344</v>
      </c>
      <c r="B49" s="377"/>
      <c r="C49" s="377"/>
      <c r="D49" s="378"/>
      <c r="E49" s="334">
        <v>16</v>
      </c>
      <c r="F49" s="335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</row>
    <row r="50" spans="1:13" s="327" customFormat="1" ht="13.5" thickBot="1">
      <c r="A50" s="376" t="s">
        <v>345</v>
      </c>
      <c r="B50" s="377"/>
      <c r="C50" s="377"/>
      <c r="D50" s="378"/>
      <c r="E50" s="334">
        <v>17</v>
      </c>
      <c r="F50" s="335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</row>
    <row r="51" spans="1:13" s="327" customFormat="1" ht="13.5" thickBot="1">
      <c r="A51" s="382" t="s">
        <v>346</v>
      </c>
      <c r="B51" s="383"/>
      <c r="C51" s="383"/>
      <c r="D51" s="384"/>
      <c r="E51" s="334">
        <v>18</v>
      </c>
      <c r="F51" s="337">
        <v>1908000</v>
      </c>
      <c r="G51" s="337">
        <v>1908000</v>
      </c>
      <c r="H51" s="337"/>
      <c r="I51" s="337"/>
      <c r="J51" s="337">
        <v>0</v>
      </c>
      <c r="K51" s="337">
        <v>0</v>
      </c>
      <c r="L51" s="337">
        <v>0</v>
      </c>
      <c r="M51" s="337">
        <v>0</v>
      </c>
    </row>
    <row r="52" spans="1:13" s="344" customFormat="1" ht="24.75" customHeight="1" thickBot="1">
      <c r="A52" s="385" t="s">
        <v>347</v>
      </c>
      <c r="B52" s="386"/>
      <c r="C52" s="386"/>
      <c r="D52" s="387"/>
      <c r="E52" s="342">
        <v>19</v>
      </c>
      <c r="F52" s="343">
        <f>SUM(F53:F60)</f>
        <v>49034479</v>
      </c>
      <c r="G52" s="343">
        <f aca="true" t="shared" si="4" ref="G52:M52">SUM(G53:G60)</f>
        <v>49034479</v>
      </c>
      <c r="H52" s="343">
        <f t="shared" si="4"/>
        <v>48445671</v>
      </c>
      <c r="I52" s="343">
        <f t="shared" si="4"/>
        <v>44731864</v>
      </c>
      <c r="J52" s="343">
        <f t="shared" si="4"/>
        <v>40897056</v>
      </c>
      <c r="K52" s="343">
        <f t="shared" si="4"/>
        <v>40503248</v>
      </c>
      <c r="L52" s="343">
        <f t="shared" si="4"/>
        <v>40109440</v>
      </c>
      <c r="M52" s="343">
        <f t="shared" si="4"/>
        <v>17025791</v>
      </c>
    </row>
    <row r="53" spans="1:13" s="327" customFormat="1" ht="13.5" thickBot="1">
      <c r="A53" s="376" t="s">
        <v>339</v>
      </c>
      <c r="B53" s="377"/>
      <c r="C53" s="377"/>
      <c r="D53" s="378"/>
      <c r="E53" s="334">
        <v>20</v>
      </c>
      <c r="F53" s="335">
        <v>49034479</v>
      </c>
      <c r="G53" s="335">
        <v>49034479</v>
      </c>
      <c r="H53" s="335">
        <v>48445671</v>
      </c>
      <c r="I53" s="335">
        <v>44731864</v>
      </c>
      <c r="J53" s="335">
        <v>40897056</v>
      </c>
      <c r="K53" s="335">
        <v>40503248</v>
      </c>
      <c r="L53" s="335">
        <v>40109440</v>
      </c>
      <c r="M53" s="335">
        <v>17025791</v>
      </c>
    </row>
    <row r="54" spans="1:13" s="327" customFormat="1" ht="13.5" thickBot="1">
      <c r="A54" s="376" t="s">
        <v>340</v>
      </c>
      <c r="B54" s="377"/>
      <c r="C54" s="377"/>
      <c r="D54" s="378"/>
      <c r="E54" s="334">
        <v>21</v>
      </c>
      <c r="F54" s="335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</row>
    <row r="55" spans="1:13" s="327" customFormat="1" ht="13.5" thickBot="1">
      <c r="A55" s="376" t="s">
        <v>341</v>
      </c>
      <c r="B55" s="377"/>
      <c r="C55" s="377"/>
      <c r="D55" s="378"/>
      <c r="E55" s="334">
        <v>22</v>
      </c>
      <c r="F55" s="335">
        <v>0</v>
      </c>
      <c r="G55" s="329">
        <v>0</v>
      </c>
      <c r="H55" s="329">
        <v>0</v>
      </c>
      <c r="I55" s="329">
        <v>0</v>
      </c>
      <c r="J55" s="329">
        <v>0</v>
      </c>
      <c r="K55" s="329">
        <v>0</v>
      </c>
      <c r="L55" s="329">
        <v>0</v>
      </c>
      <c r="M55" s="329">
        <v>0</v>
      </c>
    </row>
    <row r="56" spans="1:13" s="327" customFormat="1" ht="13.5" thickBot="1">
      <c r="A56" s="376" t="s">
        <v>342</v>
      </c>
      <c r="B56" s="377"/>
      <c r="C56" s="377"/>
      <c r="D56" s="378"/>
      <c r="E56" s="334">
        <v>23</v>
      </c>
      <c r="F56" s="335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</row>
    <row r="57" spans="1:13" s="327" customFormat="1" ht="13.5" thickBot="1">
      <c r="A57" s="376" t="s">
        <v>343</v>
      </c>
      <c r="B57" s="377"/>
      <c r="C57" s="377"/>
      <c r="D57" s="378"/>
      <c r="E57" s="334">
        <v>24</v>
      </c>
      <c r="F57" s="335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</row>
    <row r="58" spans="1:13" s="327" customFormat="1" ht="13.5" thickBot="1">
      <c r="A58" s="376" t="s">
        <v>344</v>
      </c>
      <c r="B58" s="377"/>
      <c r="C58" s="377"/>
      <c r="D58" s="378"/>
      <c r="E58" s="334">
        <v>25</v>
      </c>
      <c r="F58" s="335">
        <v>0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</row>
    <row r="59" spans="1:13" s="327" customFormat="1" ht="13.5" thickBot="1">
      <c r="A59" s="376" t="s">
        <v>345</v>
      </c>
      <c r="B59" s="377"/>
      <c r="C59" s="377"/>
      <c r="D59" s="378"/>
      <c r="E59" s="334">
        <v>26</v>
      </c>
      <c r="F59" s="335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</row>
    <row r="60" spans="1:13" s="327" customFormat="1" ht="13.5" thickBot="1">
      <c r="A60" s="382" t="s">
        <v>346</v>
      </c>
      <c r="B60" s="383"/>
      <c r="C60" s="383"/>
      <c r="D60" s="384"/>
      <c r="E60" s="334">
        <v>27</v>
      </c>
      <c r="F60" s="337">
        <v>0</v>
      </c>
      <c r="G60" s="338">
        <v>0</v>
      </c>
      <c r="H60" s="338">
        <v>0</v>
      </c>
      <c r="I60" s="338">
        <v>0</v>
      </c>
      <c r="J60" s="338">
        <v>0</v>
      </c>
      <c r="K60" s="338">
        <v>0</v>
      </c>
      <c r="L60" s="338">
        <v>0</v>
      </c>
      <c r="M60" s="338">
        <v>0</v>
      </c>
    </row>
    <row r="61" spans="1:13" s="327" customFormat="1" ht="13.5" thickBot="1">
      <c r="A61" s="379" t="s">
        <v>348</v>
      </c>
      <c r="B61" s="380"/>
      <c r="C61" s="380"/>
      <c r="D61" s="381"/>
      <c r="E61" s="347">
        <v>28</v>
      </c>
      <c r="F61" s="340">
        <f>F43+F52</f>
        <v>50942479</v>
      </c>
      <c r="G61" s="340">
        <f aca="true" t="shared" si="5" ref="G61:M61">G43+G52</f>
        <v>50942479</v>
      </c>
      <c r="H61" s="340">
        <f t="shared" si="5"/>
        <v>48445671</v>
      </c>
      <c r="I61" s="340">
        <f t="shared" si="5"/>
        <v>44731864</v>
      </c>
      <c r="J61" s="340">
        <f t="shared" si="5"/>
        <v>40897056</v>
      </c>
      <c r="K61" s="340">
        <f t="shared" si="5"/>
        <v>40503248</v>
      </c>
      <c r="L61" s="340">
        <f t="shared" si="5"/>
        <v>40109440</v>
      </c>
      <c r="M61" s="340">
        <f t="shared" si="5"/>
        <v>17025791</v>
      </c>
    </row>
    <row r="62" spans="1:13" s="327" customFormat="1" ht="13.5" thickBot="1">
      <c r="A62" s="379" t="s">
        <v>349</v>
      </c>
      <c r="B62" s="380"/>
      <c r="C62" s="380"/>
      <c r="D62" s="381"/>
      <c r="E62" s="347">
        <v>29</v>
      </c>
      <c r="F62" s="341">
        <f>F42-F61</f>
        <v>427767621</v>
      </c>
      <c r="G62" s="341">
        <f aca="true" t="shared" si="6" ref="G62:M62">G42-G61</f>
        <v>411093521</v>
      </c>
      <c r="H62" s="341">
        <f t="shared" si="6"/>
        <v>413590329</v>
      </c>
      <c r="I62" s="341">
        <f t="shared" si="6"/>
        <v>417304136</v>
      </c>
      <c r="J62" s="341">
        <f t="shared" si="6"/>
        <v>396138944</v>
      </c>
      <c r="K62" s="341">
        <f t="shared" si="6"/>
        <v>396532752</v>
      </c>
      <c r="L62" s="341">
        <f t="shared" si="6"/>
        <v>396926560</v>
      </c>
      <c r="M62" s="341">
        <f t="shared" si="6"/>
        <v>420010209</v>
      </c>
    </row>
  </sheetData>
  <sheetProtection selectLockedCells="1" selectUnlockedCells="1"/>
  <mergeCells count="50">
    <mergeCell ref="A23:N23"/>
    <mergeCell ref="A19:S19"/>
    <mergeCell ref="F31:F32"/>
    <mergeCell ref="C20:E20"/>
    <mergeCell ref="A31:D32"/>
    <mergeCell ref="A20:B20"/>
    <mergeCell ref="A29:Q29"/>
    <mergeCell ref="G31:M31"/>
    <mergeCell ref="G1:S1"/>
    <mergeCell ref="C6:L6"/>
    <mergeCell ref="A7:Q7"/>
    <mergeCell ref="C9:F9"/>
    <mergeCell ref="A17:S17"/>
    <mergeCell ref="M8:N8"/>
    <mergeCell ref="A4:N4"/>
    <mergeCell ref="I2:N2"/>
    <mergeCell ref="A18:B18"/>
    <mergeCell ref="C18:E18"/>
    <mergeCell ref="N9:N10"/>
    <mergeCell ref="A15:B15"/>
    <mergeCell ref="A47:D47"/>
    <mergeCell ref="A48:D48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56:D56"/>
    <mergeCell ref="A49:D49"/>
    <mergeCell ref="A50:D50"/>
    <mergeCell ref="A51:D51"/>
    <mergeCell ref="A52:D52"/>
    <mergeCell ref="A53:D53"/>
    <mergeCell ref="A54:D54"/>
    <mergeCell ref="A55:D55"/>
    <mergeCell ref="A61:D61"/>
    <mergeCell ref="A62:D62"/>
    <mergeCell ref="A57:D57"/>
    <mergeCell ref="A58:D58"/>
    <mergeCell ref="A59:D59"/>
    <mergeCell ref="A60:D60"/>
  </mergeCells>
  <printOptions horizontalCentered="1"/>
  <pageMargins left="0.1597222222222222" right="0.1701388888888889" top="0.7479166666666667" bottom="0.19652777777777777" header="0.5118055555555555" footer="0.511805555555555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75" zoomScaleSheetLayoutView="75" zoomScalePageLayoutView="0" workbookViewId="0" topLeftCell="A4">
      <selection activeCell="A1" sqref="A1:R1"/>
    </sheetView>
  </sheetViews>
  <sheetFormatPr defaultColWidth="9.140625" defaultRowHeight="12.75"/>
  <cols>
    <col min="1" max="1" width="42.421875" style="44" bestFit="1" customWidth="1"/>
    <col min="2" max="2" width="10.28125" style="44" customWidth="1"/>
    <col min="3" max="4" width="10.421875" style="44" hidden="1" customWidth="1"/>
    <col min="5" max="5" width="9.28125" style="44" bestFit="1" customWidth="1"/>
    <col min="6" max="8" width="10.421875" style="44" bestFit="1" customWidth="1"/>
    <col min="9" max="9" width="9.140625" style="44" customWidth="1"/>
    <col min="10" max="10" width="36.28125" style="44" customWidth="1"/>
    <col min="11" max="11" width="10.140625" style="44" customWidth="1"/>
    <col min="12" max="13" width="10.421875" style="44" hidden="1" customWidth="1"/>
    <col min="14" max="14" width="9.28125" style="44" bestFit="1" customWidth="1"/>
    <col min="15" max="16" width="10.421875" style="44" bestFit="1" customWidth="1"/>
    <col min="17" max="17" width="10.8515625" style="44" customWidth="1"/>
    <col min="18" max="16384" width="9.140625" style="44" customWidth="1"/>
  </cols>
  <sheetData>
    <row r="1" spans="1:18" ht="12.75">
      <c r="A1" s="414" t="s">
        <v>930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3" spans="1:18" ht="12.75">
      <c r="A3" s="415" t="s">
        <v>766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</row>
    <row r="5" spans="10:18" ht="12.75">
      <c r="J5" s="416" t="s">
        <v>352</v>
      </c>
      <c r="K5" s="416"/>
      <c r="L5" s="416"/>
      <c r="M5" s="416"/>
      <c r="N5" s="416"/>
      <c r="O5" s="416"/>
      <c r="P5" s="416"/>
      <c r="Q5" s="416"/>
      <c r="R5" s="416"/>
    </row>
    <row r="6" spans="1:18" s="167" customFormat="1" ht="12.75">
      <c r="A6" s="310" t="s">
        <v>380</v>
      </c>
      <c r="B6" s="310" t="s">
        <v>381</v>
      </c>
      <c r="C6" s="310" t="s">
        <v>220</v>
      </c>
      <c r="D6" s="310" t="s">
        <v>519</v>
      </c>
      <c r="E6" s="310" t="s">
        <v>382</v>
      </c>
      <c r="F6" s="310" t="s">
        <v>383</v>
      </c>
      <c r="G6" s="310" t="s">
        <v>384</v>
      </c>
      <c r="H6" s="310" t="s">
        <v>385</v>
      </c>
      <c r="I6" s="310" t="s">
        <v>386</v>
      </c>
      <c r="J6" s="310" t="s">
        <v>380</v>
      </c>
      <c r="K6" s="310" t="s">
        <v>381</v>
      </c>
      <c r="L6" s="310" t="s">
        <v>220</v>
      </c>
      <c r="M6" s="310" t="s">
        <v>519</v>
      </c>
      <c r="N6" s="310" t="s">
        <v>382</v>
      </c>
      <c r="O6" s="310" t="s">
        <v>383</v>
      </c>
      <c r="P6" s="310" t="s">
        <v>384</v>
      </c>
      <c r="Q6" s="310" t="s">
        <v>385</v>
      </c>
      <c r="R6" s="310" t="s">
        <v>386</v>
      </c>
    </row>
    <row r="7" spans="1:18" ht="26.25">
      <c r="A7" s="279" t="s">
        <v>165</v>
      </c>
      <c r="B7" s="279" t="s">
        <v>46</v>
      </c>
      <c r="C7" s="279" t="s">
        <v>639</v>
      </c>
      <c r="D7" s="311" t="s">
        <v>520</v>
      </c>
      <c r="E7" s="279" t="s">
        <v>166</v>
      </c>
      <c r="F7" s="279" t="s">
        <v>366</v>
      </c>
      <c r="G7" s="279" t="s">
        <v>367</v>
      </c>
      <c r="H7" s="279" t="s">
        <v>640</v>
      </c>
      <c r="I7" s="279" t="s">
        <v>368</v>
      </c>
      <c r="J7" s="279" t="s">
        <v>167</v>
      </c>
      <c r="K7" s="279" t="s">
        <v>46</v>
      </c>
      <c r="L7" s="279" t="s">
        <v>639</v>
      </c>
      <c r="M7" s="311" t="s">
        <v>520</v>
      </c>
      <c r="N7" s="279" t="s">
        <v>166</v>
      </c>
      <c r="O7" s="279" t="s">
        <v>366</v>
      </c>
      <c r="P7" s="279" t="s">
        <v>367</v>
      </c>
      <c r="Q7" s="279" t="s">
        <v>502</v>
      </c>
      <c r="R7" s="279" t="s">
        <v>368</v>
      </c>
    </row>
    <row r="8" spans="1:18" ht="12.75">
      <c r="A8" s="312" t="s">
        <v>225</v>
      </c>
      <c r="B8" s="313">
        <v>622576</v>
      </c>
      <c r="C8" s="313"/>
      <c r="D8" s="48"/>
      <c r="E8" s="76">
        <v>0</v>
      </c>
      <c r="F8" s="48">
        <v>622576</v>
      </c>
      <c r="G8" s="76">
        <v>0</v>
      </c>
      <c r="H8" s="48">
        <f>B8</f>
        <v>622576</v>
      </c>
      <c r="I8" s="283" t="s">
        <v>393</v>
      </c>
      <c r="J8" s="44" t="s">
        <v>590</v>
      </c>
      <c r="K8" s="76">
        <v>826892</v>
      </c>
      <c r="L8" s="313"/>
      <c r="M8" s="313"/>
      <c r="N8" s="48">
        <v>90899</v>
      </c>
      <c r="O8" s="76">
        <v>600152</v>
      </c>
      <c r="P8" s="48">
        <v>135841</v>
      </c>
      <c r="Q8" s="76">
        <f>K8</f>
        <v>826892</v>
      </c>
      <c r="R8" s="315" t="s">
        <v>591</v>
      </c>
    </row>
    <row r="9" spans="1:18" ht="12.75">
      <c r="A9" s="314" t="s">
        <v>168</v>
      </c>
      <c r="B9" s="313">
        <v>0</v>
      </c>
      <c r="C9" s="313"/>
      <c r="D9" s="48">
        <v>0</v>
      </c>
      <c r="E9" s="313">
        <v>0</v>
      </c>
      <c r="F9" s="48">
        <v>0</v>
      </c>
      <c r="G9" s="313">
        <v>0</v>
      </c>
      <c r="H9" s="48">
        <f aca="true" t="shared" si="0" ref="H9:H15">B9</f>
        <v>0</v>
      </c>
      <c r="I9" s="315" t="s">
        <v>429</v>
      </c>
      <c r="J9" s="44" t="s">
        <v>169</v>
      </c>
      <c r="K9" s="313">
        <v>153461</v>
      </c>
      <c r="L9" s="313"/>
      <c r="M9" s="313"/>
      <c r="N9" s="48">
        <v>16432</v>
      </c>
      <c r="O9" s="313">
        <v>113332</v>
      </c>
      <c r="P9" s="48">
        <v>23697</v>
      </c>
      <c r="Q9" s="313">
        <f>K9</f>
        <v>153461</v>
      </c>
      <c r="R9" s="319" t="s">
        <v>593</v>
      </c>
    </row>
    <row r="10" spans="1:18" ht="12.75">
      <c r="A10" s="314" t="s">
        <v>170</v>
      </c>
      <c r="B10" s="313">
        <v>186019</v>
      </c>
      <c r="C10" s="313"/>
      <c r="D10" s="48"/>
      <c r="E10" s="313">
        <v>0</v>
      </c>
      <c r="F10" s="48">
        <v>45520</v>
      </c>
      <c r="G10" s="313">
        <v>140499</v>
      </c>
      <c r="H10" s="48">
        <f t="shared" si="0"/>
        <v>186019</v>
      </c>
      <c r="I10" s="315" t="s">
        <v>432</v>
      </c>
      <c r="J10" s="44" t="s">
        <v>171</v>
      </c>
      <c r="K10" s="313">
        <v>5000</v>
      </c>
      <c r="L10" s="313"/>
      <c r="M10" s="313">
        <v>0</v>
      </c>
      <c r="N10" s="48">
        <v>0</v>
      </c>
      <c r="O10" s="313">
        <v>0</v>
      </c>
      <c r="P10" s="313">
        <v>5000</v>
      </c>
      <c r="Q10" s="313">
        <f aca="true" t="shared" si="1" ref="Q10:Q18">K10</f>
        <v>5000</v>
      </c>
      <c r="R10" s="319" t="s">
        <v>597</v>
      </c>
    </row>
    <row r="11" spans="1:18" ht="12.75">
      <c r="A11" s="314" t="s">
        <v>445</v>
      </c>
      <c r="B11" s="48">
        <v>736000</v>
      </c>
      <c r="C11" s="313">
        <v>0</v>
      </c>
      <c r="D11" s="48">
        <v>686000</v>
      </c>
      <c r="E11" s="313">
        <v>0</v>
      </c>
      <c r="F11" s="48">
        <v>736000</v>
      </c>
      <c r="G11" s="313">
        <v>0</v>
      </c>
      <c r="H11" s="48">
        <f t="shared" si="0"/>
        <v>736000</v>
      </c>
      <c r="I11" s="315" t="s">
        <v>446</v>
      </c>
      <c r="J11" s="44" t="s">
        <v>172</v>
      </c>
      <c r="K11" s="313">
        <v>774404</v>
      </c>
      <c r="L11" s="313"/>
      <c r="M11" s="313"/>
      <c r="N11" s="48">
        <v>0</v>
      </c>
      <c r="O11" s="313">
        <v>402615</v>
      </c>
      <c r="P11" s="313">
        <v>371789</v>
      </c>
      <c r="Q11" s="313">
        <f t="shared" si="1"/>
        <v>774404</v>
      </c>
      <c r="R11" s="319" t="s">
        <v>595</v>
      </c>
    </row>
    <row r="12" spans="1:18" ht="12.75">
      <c r="A12" s="314" t="s">
        <v>456</v>
      </c>
      <c r="B12" s="48">
        <v>42000</v>
      </c>
      <c r="C12" s="313">
        <v>0</v>
      </c>
      <c r="D12" s="48">
        <v>42000</v>
      </c>
      <c r="E12" s="313">
        <v>0</v>
      </c>
      <c r="F12" s="48">
        <v>42000</v>
      </c>
      <c r="G12" s="313">
        <v>0</v>
      </c>
      <c r="H12" s="48">
        <f t="shared" si="0"/>
        <v>42000</v>
      </c>
      <c r="I12" s="315" t="s">
        <v>457</v>
      </c>
      <c r="J12" s="44" t="s">
        <v>602</v>
      </c>
      <c r="K12" s="313">
        <v>36738</v>
      </c>
      <c r="L12" s="313"/>
      <c r="M12" s="313"/>
      <c r="N12" s="48">
        <v>0</v>
      </c>
      <c r="O12" s="313">
        <v>36738</v>
      </c>
      <c r="P12" s="313">
        <v>0</v>
      </c>
      <c r="Q12" s="313">
        <f t="shared" si="1"/>
        <v>36738</v>
      </c>
      <c r="R12" s="319" t="s">
        <v>603</v>
      </c>
    </row>
    <row r="13" spans="1:18" ht="12.75">
      <c r="A13" s="314" t="s">
        <v>463</v>
      </c>
      <c r="B13" s="48">
        <v>5150</v>
      </c>
      <c r="C13" s="313">
        <v>0</v>
      </c>
      <c r="D13" s="48">
        <v>5150</v>
      </c>
      <c r="E13" s="313"/>
      <c r="F13" s="48">
        <v>5150</v>
      </c>
      <c r="G13" s="313">
        <v>0</v>
      </c>
      <c r="H13" s="48">
        <f t="shared" si="0"/>
        <v>5150</v>
      </c>
      <c r="I13" s="315" t="s">
        <v>446</v>
      </c>
      <c r="J13" s="44" t="s">
        <v>23</v>
      </c>
      <c r="K13" s="313">
        <v>0</v>
      </c>
      <c r="L13" s="313"/>
      <c r="M13" s="313"/>
      <c r="N13" s="48">
        <v>0</v>
      </c>
      <c r="O13" s="313">
        <v>0</v>
      </c>
      <c r="P13" s="313">
        <v>0</v>
      </c>
      <c r="Q13" s="313">
        <f t="shared" si="1"/>
        <v>0</v>
      </c>
      <c r="R13" s="319" t="s">
        <v>24</v>
      </c>
    </row>
    <row r="14" spans="1:18" ht="12.75">
      <c r="A14" s="314" t="s">
        <v>474</v>
      </c>
      <c r="B14" s="313">
        <v>362500</v>
      </c>
      <c r="C14" s="313"/>
      <c r="D14" s="48"/>
      <c r="E14" s="313">
        <v>0</v>
      </c>
      <c r="F14" s="48">
        <v>158177</v>
      </c>
      <c r="G14" s="313">
        <v>204323</v>
      </c>
      <c r="H14" s="48">
        <f t="shared" si="0"/>
        <v>362500</v>
      </c>
      <c r="I14" s="315" t="s">
        <v>475</v>
      </c>
      <c r="J14" s="44" t="s">
        <v>173</v>
      </c>
      <c r="K14" s="313">
        <v>0</v>
      </c>
      <c r="L14" s="313"/>
      <c r="M14" s="313">
        <v>0</v>
      </c>
      <c r="N14" s="48">
        <v>0</v>
      </c>
      <c r="O14" s="313">
        <v>0</v>
      </c>
      <c r="P14" s="313">
        <v>0</v>
      </c>
      <c r="Q14" s="313">
        <f t="shared" si="1"/>
        <v>0</v>
      </c>
      <c r="R14" s="319" t="s">
        <v>27</v>
      </c>
    </row>
    <row r="15" spans="1:18" ht="12.75">
      <c r="A15" s="314" t="s">
        <v>174</v>
      </c>
      <c r="B15" s="313"/>
      <c r="C15" s="313"/>
      <c r="D15" s="48"/>
      <c r="E15" s="313">
        <v>0</v>
      </c>
      <c r="F15" s="48"/>
      <c r="G15" s="313"/>
      <c r="H15" s="48">
        <f t="shared" si="0"/>
        <v>0</v>
      </c>
      <c r="I15" s="315" t="s">
        <v>491</v>
      </c>
      <c r="J15" s="44" t="s">
        <v>175</v>
      </c>
      <c r="K15" s="313">
        <v>303370</v>
      </c>
      <c r="L15" s="313"/>
      <c r="M15" s="313"/>
      <c r="N15" s="48">
        <v>0</v>
      </c>
      <c r="O15" s="313">
        <v>303370</v>
      </c>
      <c r="P15" s="313">
        <v>0</v>
      </c>
      <c r="Q15" s="313">
        <f t="shared" si="1"/>
        <v>303370</v>
      </c>
      <c r="R15" s="319" t="s">
        <v>30</v>
      </c>
    </row>
    <row r="16" spans="1:18" ht="12.75">
      <c r="A16" s="314"/>
      <c r="B16" s="313"/>
      <c r="C16" s="313"/>
      <c r="D16" s="48"/>
      <c r="E16" s="313"/>
      <c r="F16" s="48"/>
      <c r="G16" s="313"/>
      <c r="H16" s="48"/>
      <c r="I16" s="315"/>
      <c r="J16" s="44" t="s">
        <v>176</v>
      </c>
      <c r="K16" s="313">
        <v>0</v>
      </c>
      <c r="L16" s="313"/>
      <c r="M16" s="313">
        <v>0</v>
      </c>
      <c r="N16" s="48">
        <v>0</v>
      </c>
      <c r="O16" s="313">
        <v>0</v>
      </c>
      <c r="P16" s="313">
        <v>0</v>
      </c>
      <c r="Q16" s="313">
        <f t="shared" si="1"/>
        <v>0</v>
      </c>
      <c r="R16" s="319" t="s">
        <v>33</v>
      </c>
    </row>
    <row r="17" spans="1:18" ht="12.75">
      <c r="A17" s="314"/>
      <c r="B17" s="313"/>
      <c r="C17" s="313"/>
      <c r="D17" s="48"/>
      <c r="E17" s="313"/>
      <c r="F17" s="48"/>
      <c r="G17" s="313"/>
      <c r="H17" s="48"/>
      <c r="I17" s="315"/>
      <c r="J17" s="44" t="s">
        <v>226</v>
      </c>
      <c r="K17" s="313">
        <v>440392</v>
      </c>
      <c r="L17" s="313"/>
      <c r="M17" s="313"/>
      <c r="N17" s="48">
        <v>0</v>
      </c>
      <c r="O17" s="313">
        <v>175780</v>
      </c>
      <c r="P17" s="313">
        <v>264612</v>
      </c>
      <c r="Q17" s="313">
        <f t="shared" si="1"/>
        <v>440392</v>
      </c>
      <c r="R17" s="319" t="s">
        <v>36</v>
      </c>
    </row>
    <row r="18" spans="1:18" ht="12.75">
      <c r="A18" s="314"/>
      <c r="B18" s="313"/>
      <c r="C18" s="313"/>
      <c r="D18" s="48"/>
      <c r="E18" s="313"/>
      <c r="F18" s="48"/>
      <c r="G18" s="313"/>
      <c r="H18" s="48"/>
      <c r="I18" s="315"/>
      <c r="J18" s="44" t="s">
        <v>227</v>
      </c>
      <c r="K18" s="313">
        <v>69031</v>
      </c>
      <c r="L18" s="313"/>
      <c r="M18" s="313"/>
      <c r="N18" s="48">
        <v>0</v>
      </c>
      <c r="O18" s="313">
        <v>69031</v>
      </c>
      <c r="P18" s="48">
        <v>0</v>
      </c>
      <c r="Q18" s="313">
        <f t="shared" si="1"/>
        <v>69031</v>
      </c>
      <c r="R18" s="315" t="s">
        <v>39</v>
      </c>
    </row>
    <row r="19" spans="1:18" ht="12.75">
      <c r="A19" s="314"/>
      <c r="B19" s="313"/>
      <c r="C19" s="313"/>
      <c r="D19" s="48"/>
      <c r="E19" s="313"/>
      <c r="F19" s="48"/>
      <c r="G19" s="313"/>
      <c r="H19" s="48"/>
      <c r="I19" s="315"/>
      <c r="K19" s="313"/>
      <c r="L19" s="313"/>
      <c r="M19" s="313"/>
      <c r="N19" s="48"/>
      <c r="O19" s="313"/>
      <c r="P19" s="48"/>
      <c r="Q19" s="313"/>
      <c r="R19" s="315"/>
    </row>
    <row r="20" spans="1:18" s="168" customFormat="1" ht="12.75">
      <c r="A20" s="223" t="s">
        <v>165</v>
      </c>
      <c r="B20" s="224">
        <f aca="true" t="shared" si="2" ref="B20:H20">SUM(B8:B18)</f>
        <v>1954245</v>
      </c>
      <c r="C20" s="224">
        <f t="shared" si="2"/>
        <v>0</v>
      </c>
      <c r="D20" s="50">
        <f t="shared" si="2"/>
        <v>733150</v>
      </c>
      <c r="E20" s="316">
        <f t="shared" si="2"/>
        <v>0</v>
      </c>
      <c r="F20" s="316">
        <f t="shared" si="2"/>
        <v>1609423</v>
      </c>
      <c r="G20" s="316">
        <f t="shared" si="2"/>
        <v>344822</v>
      </c>
      <c r="H20" s="224">
        <f t="shared" si="2"/>
        <v>1954245</v>
      </c>
      <c r="I20" s="234"/>
      <c r="J20" s="49" t="s">
        <v>167</v>
      </c>
      <c r="K20" s="224">
        <f aca="true" t="shared" si="3" ref="K20:Q20">SUM(K8:K18)</f>
        <v>2609288</v>
      </c>
      <c r="L20" s="224">
        <f t="shared" si="3"/>
        <v>0</v>
      </c>
      <c r="M20" s="224">
        <f t="shared" si="3"/>
        <v>0</v>
      </c>
      <c r="N20" s="50">
        <f t="shared" si="3"/>
        <v>107331</v>
      </c>
      <c r="O20" s="224">
        <f t="shared" si="3"/>
        <v>1701018</v>
      </c>
      <c r="P20" s="50">
        <f t="shared" si="3"/>
        <v>800939</v>
      </c>
      <c r="Q20" s="224">
        <f t="shared" si="3"/>
        <v>2609288</v>
      </c>
      <c r="R20" s="234"/>
    </row>
    <row r="21" spans="1:18" ht="12.75">
      <c r="A21" s="314"/>
      <c r="B21" s="313"/>
      <c r="C21" s="313"/>
      <c r="D21" s="48"/>
      <c r="E21" s="313"/>
      <c r="F21" s="48"/>
      <c r="G21" s="313"/>
      <c r="H21" s="48"/>
      <c r="I21" s="315"/>
      <c r="K21" s="313"/>
      <c r="L21" s="313"/>
      <c r="M21" s="313"/>
      <c r="N21" s="48"/>
      <c r="O21" s="313"/>
      <c r="P21" s="48"/>
      <c r="Q21" s="313"/>
      <c r="R21" s="315"/>
    </row>
    <row r="22" spans="1:18" ht="12.75">
      <c r="A22" s="317" t="s">
        <v>482</v>
      </c>
      <c r="B22" s="313"/>
      <c r="C22" s="313"/>
      <c r="D22" s="48"/>
      <c r="E22" s="313"/>
      <c r="F22" s="48"/>
      <c r="G22" s="313"/>
      <c r="H22" s="48"/>
      <c r="I22" s="315"/>
      <c r="J22" s="46" t="s">
        <v>47</v>
      </c>
      <c r="K22" s="313"/>
      <c r="L22" s="313"/>
      <c r="M22" s="313"/>
      <c r="N22" s="48"/>
      <c r="O22" s="313"/>
      <c r="P22" s="48"/>
      <c r="Q22" s="313"/>
      <c r="R22" s="315"/>
    </row>
    <row r="23" spans="1:18" ht="12.75">
      <c r="A23" s="314" t="s">
        <v>228</v>
      </c>
      <c r="B23" s="313">
        <v>0</v>
      </c>
      <c r="C23" s="313"/>
      <c r="D23" s="48">
        <v>0</v>
      </c>
      <c r="E23" s="313">
        <v>0</v>
      </c>
      <c r="F23" s="48">
        <v>0</v>
      </c>
      <c r="G23" s="313">
        <v>0</v>
      </c>
      <c r="H23" s="48">
        <f>B23</f>
        <v>0</v>
      </c>
      <c r="I23" s="315" t="s">
        <v>438</v>
      </c>
      <c r="K23" s="313"/>
      <c r="L23" s="313"/>
      <c r="M23" s="313"/>
      <c r="N23" s="48"/>
      <c r="O23" s="313"/>
      <c r="P23" s="48"/>
      <c r="Q23" s="313"/>
      <c r="R23" s="315"/>
    </row>
    <row r="24" spans="1:18" ht="12.75">
      <c r="A24" s="314" t="s">
        <v>229</v>
      </c>
      <c r="B24" s="313">
        <v>0</v>
      </c>
      <c r="C24" s="313"/>
      <c r="D24" s="48">
        <v>0</v>
      </c>
      <c r="E24" s="313">
        <v>0</v>
      </c>
      <c r="F24" s="48">
        <v>0</v>
      </c>
      <c r="G24" s="313">
        <v>0</v>
      </c>
      <c r="H24" s="48">
        <f aca="true" t="shared" si="4" ref="H24:H30">B24</f>
        <v>0</v>
      </c>
      <c r="I24" s="315" t="s">
        <v>440</v>
      </c>
      <c r="K24" s="313"/>
      <c r="L24" s="313"/>
      <c r="M24" s="313"/>
      <c r="N24" s="48"/>
      <c r="O24" s="313"/>
      <c r="P24" s="48"/>
      <c r="Q24" s="313"/>
      <c r="R24" s="315"/>
    </row>
    <row r="25" spans="1:18" ht="12.75">
      <c r="A25" s="314" t="s">
        <v>230</v>
      </c>
      <c r="B25" s="313">
        <v>176942</v>
      </c>
      <c r="C25" s="313"/>
      <c r="D25" s="48">
        <v>0</v>
      </c>
      <c r="E25" s="313">
        <v>0</v>
      </c>
      <c r="F25" s="48">
        <v>0</v>
      </c>
      <c r="G25" s="313">
        <v>176942</v>
      </c>
      <c r="H25" s="48">
        <f t="shared" si="4"/>
        <v>176942</v>
      </c>
      <c r="I25" s="315" t="s">
        <v>442</v>
      </c>
      <c r="J25" s="44" t="s">
        <v>231</v>
      </c>
      <c r="K25" s="313">
        <v>544584</v>
      </c>
      <c r="L25" s="313"/>
      <c r="M25" s="313"/>
      <c r="N25" s="48">
        <v>0</v>
      </c>
      <c r="O25" s="313">
        <v>544584</v>
      </c>
      <c r="P25" s="48">
        <v>0</v>
      </c>
      <c r="Q25" s="313">
        <f>K25</f>
        <v>544584</v>
      </c>
      <c r="R25" s="315" t="s">
        <v>39</v>
      </c>
    </row>
    <row r="26" spans="1:18" ht="12.75">
      <c r="A26" s="314" t="s">
        <v>224</v>
      </c>
      <c r="B26" s="313">
        <v>26000</v>
      </c>
      <c r="C26" s="313"/>
      <c r="D26" s="48"/>
      <c r="E26" s="313">
        <v>0</v>
      </c>
      <c r="F26" s="48">
        <v>26000</v>
      </c>
      <c r="G26" s="313">
        <v>0</v>
      </c>
      <c r="H26" s="48">
        <f t="shared" si="4"/>
        <v>26000</v>
      </c>
      <c r="I26" s="315" t="s">
        <v>446</v>
      </c>
      <c r="J26" s="44" t="s">
        <v>49</v>
      </c>
      <c r="K26" s="313">
        <v>762283</v>
      </c>
      <c r="L26" s="313"/>
      <c r="M26" s="313"/>
      <c r="N26" s="48">
        <v>0</v>
      </c>
      <c r="O26" s="313">
        <v>39058</v>
      </c>
      <c r="P26" s="48">
        <v>723225</v>
      </c>
      <c r="Q26" s="313">
        <f>K26</f>
        <v>762283</v>
      </c>
      <c r="R26" s="315" t="s">
        <v>50</v>
      </c>
    </row>
    <row r="27" spans="1:18" ht="12.75">
      <c r="A27" s="314" t="s">
        <v>232</v>
      </c>
      <c r="B27" s="313">
        <v>0</v>
      </c>
      <c r="C27" s="313"/>
      <c r="D27" s="48">
        <v>0</v>
      </c>
      <c r="E27" s="313">
        <v>0</v>
      </c>
      <c r="F27" s="48">
        <v>0</v>
      </c>
      <c r="G27" s="313">
        <v>0</v>
      </c>
      <c r="H27" s="48">
        <f t="shared" si="4"/>
        <v>0</v>
      </c>
      <c r="I27" s="315" t="s">
        <v>479</v>
      </c>
      <c r="J27" s="44" t="s">
        <v>56</v>
      </c>
      <c r="K27" s="313">
        <v>673042</v>
      </c>
      <c r="L27" s="313"/>
      <c r="M27" s="313"/>
      <c r="N27" s="48">
        <v>0</v>
      </c>
      <c r="O27" s="313">
        <v>72162</v>
      </c>
      <c r="P27" s="48">
        <v>600880</v>
      </c>
      <c r="Q27" s="313">
        <f>K27</f>
        <v>673042</v>
      </c>
      <c r="R27" s="315" t="s">
        <v>57</v>
      </c>
    </row>
    <row r="28" spans="1:18" ht="12.75">
      <c r="A28" s="314" t="s">
        <v>482</v>
      </c>
      <c r="B28" s="313">
        <v>84618</v>
      </c>
      <c r="C28" s="313"/>
      <c r="D28" s="48"/>
      <c r="E28" s="313">
        <v>0</v>
      </c>
      <c r="F28" s="48">
        <v>0</v>
      </c>
      <c r="G28" s="313">
        <v>84618</v>
      </c>
      <c r="H28" s="48">
        <f t="shared" si="4"/>
        <v>84618</v>
      </c>
      <c r="I28" s="315" t="s">
        <v>483</v>
      </c>
      <c r="J28" s="44" t="s">
        <v>60</v>
      </c>
      <c r="K28" s="313">
        <v>270722</v>
      </c>
      <c r="L28" s="313"/>
      <c r="M28" s="313"/>
      <c r="N28" s="48">
        <v>0</v>
      </c>
      <c r="O28" s="313">
        <v>0</v>
      </c>
      <c r="P28" s="48">
        <v>270722</v>
      </c>
      <c r="Q28" s="313">
        <f>K28</f>
        <v>270722</v>
      </c>
      <c r="R28" s="315" t="s">
        <v>69</v>
      </c>
    </row>
    <row r="29" spans="1:18" ht="12.75">
      <c r="A29" s="314" t="s">
        <v>233</v>
      </c>
      <c r="B29" s="313">
        <v>700</v>
      </c>
      <c r="C29" s="313"/>
      <c r="D29" s="48"/>
      <c r="E29" s="313">
        <v>0</v>
      </c>
      <c r="F29" s="48">
        <v>0</v>
      </c>
      <c r="G29" s="313">
        <v>700</v>
      </c>
      <c r="H29" s="48">
        <f t="shared" si="4"/>
        <v>700</v>
      </c>
      <c r="I29" s="315" t="s">
        <v>500</v>
      </c>
      <c r="K29" s="313"/>
      <c r="L29" s="313"/>
      <c r="M29" s="313"/>
      <c r="N29" s="48"/>
      <c r="O29" s="313"/>
      <c r="P29" s="48"/>
      <c r="Q29" s="313"/>
      <c r="R29" s="315"/>
    </row>
    <row r="30" spans="1:18" ht="12.75">
      <c r="A30" s="314" t="s">
        <v>234</v>
      </c>
      <c r="B30" s="313">
        <v>170</v>
      </c>
      <c r="C30" s="313"/>
      <c r="D30" s="48"/>
      <c r="E30" s="313">
        <v>0</v>
      </c>
      <c r="F30" s="48">
        <v>0</v>
      </c>
      <c r="G30" s="313">
        <v>170</v>
      </c>
      <c r="H30" s="48">
        <f t="shared" si="4"/>
        <v>170</v>
      </c>
      <c r="I30" s="315" t="s">
        <v>504</v>
      </c>
      <c r="K30" s="313"/>
      <c r="L30" s="313"/>
      <c r="M30" s="313"/>
      <c r="N30" s="48"/>
      <c r="O30" s="313"/>
      <c r="P30" s="48"/>
      <c r="Q30" s="313"/>
      <c r="R30" s="315"/>
    </row>
    <row r="31" spans="1:18" ht="12.75">
      <c r="A31" s="314"/>
      <c r="B31" s="313"/>
      <c r="C31" s="313"/>
      <c r="D31" s="48"/>
      <c r="E31" s="313"/>
      <c r="F31" s="48"/>
      <c r="G31" s="313"/>
      <c r="H31" s="48"/>
      <c r="I31" s="315"/>
      <c r="K31" s="313"/>
      <c r="L31" s="313"/>
      <c r="M31" s="313"/>
      <c r="N31" s="48"/>
      <c r="O31" s="313"/>
      <c r="P31" s="48"/>
      <c r="Q31" s="313"/>
      <c r="R31" s="315"/>
    </row>
    <row r="32" spans="1:18" s="168" customFormat="1" ht="12.75">
      <c r="A32" s="223" t="s">
        <v>235</v>
      </c>
      <c r="B32" s="224">
        <f aca="true" t="shared" si="5" ref="B32:H32">SUM(B23:B31)</f>
        <v>288430</v>
      </c>
      <c r="C32" s="224">
        <f t="shared" si="5"/>
        <v>0</v>
      </c>
      <c r="D32" s="318">
        <f t="shared" si="5"/>
        <v>0</v>
      </c>
      <c r="E32" s="224">
        <f t="shared" si="5"/>
        <v>0</v>
      </c>
      <c r="F32" s="224">
        <f t="shared" si="5"/>
        <v>26000</v>
      </c>
      <c r="G32" s="224">
        <f t="shared" si="5"/>
        <v>262430</v>
      </c>
      <c r="H32" s="50">
        <f t="shared" si="5"/>
        <v>288430</v>
      </c>
      <c r="I32" s="234"/>
      <c r="J32" s="49" t="s">
        <v>236</v>
      </c>
      <c r="K32" s="224">
        <f aca="true" t="shared" si="6" ref="K32:Q32">SUM(K25:K31)</f>
        <v>2250631</v>
      </c>
      <c r="L32" s="224">
        <f t="shared" si="6"/>
        <v>0</v>
      </c>
      <c r="M32" s="224">
        <f t="shared" si="6"/>
        <v>0</v>
      </c>
      <c r="N32" s="318">
        <f t="shared" si="6"/>
        <v>0</v>
      </c>
      <c r="O32" s="224">
        <f t="shared" si="6"/>
        <v>655804</v>
      </c>
      <c r="P32" s="224">
        <f t="shared" si="6"/>
        <v>1594827</v>
      </c>
      <c r="Q32" s="224">
        <f t="shared" si="6"/>
        <v>2250631</v>
      </c>
      <c r="R32" s="234"/>
    </row>
    <row r="33" spans="1:18" s="168" customFormat="1" ht="12.75">
      <c r="A33" s="223" t="s">
        <v>237</v>
      </c>
      <c r="B33" s="224">
        <f aca="true" t="shared" si="7" ref="B33:H33">SUM(B20+B32)</f>
        <v>2242675</v>
      </c>
      <c r="C33" s="224">
        <f t="shared" si="7"/>
        <v>0</v>
      </c>
      <c r="D33" s="318">
        <f t="shared" si="7"/>
        <v>733150</v>
      </c>
      <c r="E33" s="224">
        <f t="shared" si="7"/>
        <v>0</v>
      </c>
      <c r="F33" s="224">
        <f t="shared" si="7"/>
        <v>1635423</v>
      </c>
      <c r="G33" s="224">
        <f t="shared" si="7"/>
        <v>607252</v>
      </c>
      <c r="H33" s="50">
        <f t="shared" si="7"/>
        <v>2242675</v>
      </c>
      <c r="I33" s="234"/>
      <c r="J33" s="49" t="s">
        <v>238</v>
      </c>
      <c r="K33" s="224">
        <f aca="true" t="shared" si="8" ref="K33:Q33">SUM(K20+K32)</f>
        <v>4859919</v>
      </c>
      <c r="L33" s="224">
        <f t="shared" si="8"/>
        <v>0</v>
      </c>
      <c r="M33" s="224">
        <f t="shared" si="8"/>
        <v>0</v>
      </c>
      <c r="N33" s="320">
        <f t="shared" si="8"/>
        <v>107331</v>
      </c>
      <c r="O33" s="224">
        <f t="shared" si="8"/>
        <v>2356822</v>
      </c>
      <c r="P33" s="224">
        <f t="shared" si="8"/>
        <v>2395766</v>
      </c>
      <c r="Q33" s="224">
        <f t="shared" si="8"/>
        <v>4859919</v>
      </c>
      <c r="R33" s="234"/>
    </row>
    <row r="34" spans="1:18" ht="12.75">
      <c r="A34" s="314"/>
      <c r="B34" s="313"/>
      <c r="C34" s="313"/>
      <c r="D34" s="48"/>
      <c r="E34" s="313"/>
      <c r="F34" s="48"/>
      <c r="G34" s="313"/>
      <c r="H34" s="48"/>
      <c r="I34" s="315"/>
      <c r="K34" s="313"/>
      <c r="L34" s="313"/>
      <c r="M34" s="313"/>
      <c r="N34" s="321"/>
      <c r="O34" s="313"/>
      <c r="P34" s="48"/>
      <c r="Q34" s="313"/>
      <c r="R34" s="315"/>
    </row>
    <row r="35" spans="1:18" ht="12.75">
      <c r="A35" s="317" t="s">
        <v>529</v>
      </c>
      <c r="B35" s="313"/>
      <c r="C35" s="313"/>
      <c r="D35" s="48"/>
      <c r="E35" s="313"/>
      <c r="F35" s="48"/>
      <c r="G35" s="313"/>
      <c r="H35" s="48"/>
      <c r="I35" s="315"/>
      <c r="J35" s="46" t="s">
        <v>239</v>
      </c>
      <c r="K35" s="313"/>
      <c r="L35" s="313"/>
      <c r="M35" s="313"/>
      <c r="N35" s="48"/>
      <c r="O35" s="313"/>
      <c r="P35" s="48"/>
      <c r="Q35" s="313"/>
      <c r="R35" s="315"/>
    </row>
    <row r="36" spans="1:18" ht="12.75">
      <c r="A36" s="317" t="s">
        <v>474</v>
      </c>
      <c r="B36" s="313"/>
      <c r="C36" s="313"/>
      <c r="D36" s="48"/>
      <c r="E36" s="313"/>
      <c r="F36" s="48"/>
      <c r="G36" s="313"/>
      <c r="H36" s="48"/>
      <c r="I36" s="315"/>
      <c r="K36" s="313"/>
      <c r="L36" s="313"/>
      <c r="M36" s="313"/>
      <c r="N36" s="48"/>
      <c r="O36" s="313"/>
      <c r="P36" s="48"/>
      <c r="Q36" s="313"/>
      <c r="R36" s="315"/>
    </row>
    <row r="37" spans="1:18" ht="12.75">
      <c r="A37" s="314" t="s">
        <v>540</v>
      </c>
      <c r="B37" s="313">
        <v>634867</v>
      </c>
      <c r="C37" s="313"/>
      <c r="D37" s="48">
        <v>0</v>
      </c>
      <c r="E37" s="313">
        <v>0</v>
      </c>
      <c r="F37" s="48">
        <v>634867</v>
      </c>
      <c r="G37" s="313">
        <v>0</v>
      </c>
      <c r="H37" s="48">
        <f>B37</f>
        <v>634867</v>
      </c>
      <c r="I37" s="315" t="s">
        <v>541</v>
      </c>
      <c r="K37" s="313"/>
      <c r="L37" s="313"/>
      <c r="M37" s="313"/>
      <c r="N37" s="48"/>
      <c r="O37" s="313"/>
      <c r="P37" s="48"/>
      <c r="Q37" s="313"/>
      <c r="R37" s="315"/>
    </row>
    <row r="38" spans="1:18" s="168" customFormat="1" ht="12.75">
      <c r="A38" s="223" t="s">
        <v>240</v>
      </c>
      <c r="B38" s="224">
        <f aca="true" t="shared" si="9" ref="B38:H38">SUM(B37)</f>
        <v>634867</v>
      </c>
      <c r="C38" s="224">
        <f t="shared" si="9"/>
        <v>0</v>
      </c>
      <c r="D38" s="50">
        <f t="shared" si="9"/>
        <v>0</v>
      </c>
      <c r="E38" s="224">
        <f t="shared" si="9"/>
        <v>0</v>
      </c>
      <c r="F38" s="224">
        <f t="shared" si="9"/>
        <v>634867</v>
      </c>
      <c r="G38" s="224">
        <f t="shared" si="9"/>
        <v>0</v>
      </c>
      <c r="H38" s="50">
        <f t="shared" si="9"/>
        <v>634867</v>
      </c>
      <c r="I38" s="234"/>
      <c r="J38" s="49" t="s">
        <v>241</v>
      </c>
      <c r="K38" s="224">
        <f aca="true" t="shared" si="10" ref="K38:Q38">SUM(K37)</f>
        <v>0</v>
      </c>
      <c r="L38" s="224"/>
      <c r="M38" s="224">
        <f t="shared" si="10"/>
        <v>0</v>
      </c>
      <c r="N38" s="318">
        <f t="shared" si="10"/>
        <v>0</v>
      </c>
      <c r="O38" s="224">
        <f t="shared" si="10"/>
        <v>0</v>
      </c>
      <c r="P38" s="50">
        <f t="shared" si="10"/>
        <v>0</v>
      </c>
      <c r="Q38" s="224">
        <f t="shared" si="10"/>
        <v>0</v>
      </c>
      <c r="R38" s="234"/>
    </row>
    <row r="39" spans="1:18" ht="12.75">
      <c r="A39" s="314"/>
      <c r="B39" s="313"/>
      <c r="C39" s="313"/>
      <c r="D39" s="48"/>
      <c r="E39" s="313"/>
      <c r="F39" s="48"/>
      <c r="G39" s="313"/>
      <c r="H39" s="48"/>
      <c r="I39" s="315"/>
      <c r="K39" s="313"/>
      <c r="L39" s="313"/>
      <c r="M39" s="313"/>
      <c r="N39" s="48"/>
      <c r="O39" s="313"/>
      <c r="P39" s="48"/>
      <c r="Q39" s="313"/>
      <c r="R39" s="315"/>
    </row>
    <row r="40" spans="1:18" ht="12.75">
      <c r="A40" s="317" t="s">
        <v>482</v>
      </c>
      <c r="B40" s="313"/>
      <c r="C40" s="313"/>
      <c r="D40" s="48"/>
      <c r="E40" s="313"/>
      <c r="F40" s="48"/>
      <c r="G40" s="313"/>
      <c r="H40" s="48"/>
      <c r="I40" s="315"/>
      <c r="K40" s="313"/>
      <c r="L40" s="313"/>
      <c r="M40" s="313"/>
      <c r="N40" s="48"/>
      <c r="O40" s="313"/>
      <c r="P40" s="48"/>
      <c r="Q40" s="313"/>
      <c r="R40" s="315"/>
    </row>
    <row r="41" spans="1:18" ht="12.75">
      <c r="A41" s="314"/>
      <c r="B41" s="313"/>
      <c r="C41" s="313"/>
      <c r="D41" s="48"/>
      <c r="E41" s="313"/>
      <c r="F41" s="48"/>
      <c r="G41" s="313"/>
      <c r="H41" s="48"/>
      <c r="I41" s="315"/>
      <c r="K41" s="313"/>
      <c r="L41" s="313"/>
      <c r="M41" s="313"/>
      <c r="N41" s="48"/>
      <c r="O41" s="313"/>
      <c r="P41" s="48"/>
      <c r="Q41" s="313"/>
      <c r="R41" s="315"/>
    </row>
    <row r="42" spans="1:18" ht="12.75">
      <c r="A42" s="314" t="s">
        <v>242</v>
      </c>
      <c r="B42" s="313">
        <v>0</v>
      </c>
      <c r="C42" s="313"/>
      <c r="D42" s="48"/>
      <c r="E42" s="313">
        <v>0</v>
      </c>
      <c r="F42" s="48">
        <v>0</v>
      </c>
      <c r="G42" s="313">
        <v>0</v>
      </c>
      <c r="H42" s="48">
        <f>B42</f>
        <v>0</v>
      </c>
      <c r="I42" s="315" t="s">
        <v>243</v>
      </c>
      <c r="J42" s="44" t="s">
        <v>244</v>
      </c>
      <c r="K42" s="313">
        <v>44902</v>
      </c>
      <c r="L42" s="313"/>
      <c r="M42" s="313"/>
      <c r="N42" s="48">
        <v>0</v>
      </c>
      <c r="O42" s="313">
        <v>44902</v>
      </c>
      <c r="P42" s="48">
        <v>0</v>
      </c>
      <c r="Q42" s="313">
        <f>K42</f>
        <v>44902</v>
      </c>
      <c r="R42" s="315" t="s">
        <v>81</v>
      </c>
    </row>
    <row r="43" spans="1:18" ht="12.75">
      <c r="A43" s="314" t="s">
        <v>540</v>
      </c>
      <c r="B43" s="313">
        <v>2052022</v>
      </c>
      <c r="C43" s="313"/>
      <c r="D43" s="48"/>
      <c r="E43" s="313">
        <v>0</v>
      </c>
      <c r="F43" s="48">
        <v>2052022</v>
      </c>
      <c r="G43" s="313"/>
      <c r="H43" s="48">
        <f>B43</f>
        <v>2052022</v>
      </c>
      <c r="I43" s="315" t="s">
        <v>541</v>
      </c>
      <c r="J43" s="44" t="s">
        <v>245</v>
      </c>
      <c r="K43" s="75">
        <v>24743</v>
      </c>
      <c r="L43" s="75"/>
      <c r="M43" s="313"/>
      <c r="N43" s="48">
        <v>0</v>
      </c>
      <c r="O43" s="75">
        <v>24743</v>
      </c>
      <c r="P43" s="48">
        <v>0</v>
      </c>
      <c r="Q43" s="313">
        <f>K43</f>
        <v>24743</v>
      </c>
      <c r="R43" s="315" t="s">
        <v>81</v>
      </c>
    </row>
    <row r="44" spans="1:18" s="168" customFormat="1" ht="12.75">
      <c r="A44" s="223" t="s">
        <v>246</v>
      </c>
      <c r="B44" s="224">
        <f aca="true" t="shared" si="11" ref="B44:H44">SUM(B42:B43)</f>
        <v>2052022</v>
      </c>
      <c r="C44" s="224">
        <f t="shared" si="11"/>
        <v>0</v>
      </c>
      <c r="D44" s="318">
        <f t="shared" si="11"/>
        <v>0</v>
      </c>
      <c r="E44" s="224">
        <f t="shared" si="11"/>
        <v>0</v>
      </c>
      <c r="F44" s="224">
        <f t="shared" si="11"/>
        <v>2052022</v>
      </c>
      <c r="G44" s="224">
        <f t="shared" si="11"/>
        <v>0</v>
      </c>
      <c r="H44" s="50">
        <f t="shared" si="11"/>
        <v>2052022</v>
      </c>
      <c r="I44" s="234"/>
      <c r="J44" s="322" t="s">
        <v>247</v>
      </c>
      <c r="K44" s="224">
        <f aca="true" t="shared" si="12" ref="K44:Q44">SUM(K42:K43)</f>
        <v>69645</v>
      </c>
      <c r="L44" s="224">
        <f t="shared" si="12"/>
        <v>0</v>
      </c>
      <c r="M44" s="224">
        <f t="shared" si="12"/>
        <v>0</v>
      </c>
      <c r="N44" s="318">
        <f t="shared" si="12"/>
        <v>0</v>
      </c>
      <c r="O44" s="224">
        <f t="shared" si="12"/>
        <v>69645</v>
      </c>
      <c r="P44" s="224">
        <f t="shared" si="12"/>
        <v>0</v>
      </c>
      <c r="Q44" s="224">
        <f t="shared" si="12"/>
        <v>69645</v>
      </c>
      <c r="R44" s="234"/>
    </row>
    <row r="45" spans="1:18" s="168" customFormat="1" ht="12.75">
      <c r="A45" s="223" t="s">
        <v>248</v>
      </c>
      <c r="B45" s="224">
        <f aca="true" t="shared" si="13" ref="B45:H45">SUM(B38+B44)</f>
        <v>2686889</v>
      </c>
      <c r="C45" s="224">
        <f t="shared" si="13"/>
        <v>0</v>
      </c>
      <c r="D45" s="318">
        <f t="shared" si="13"/>
        <v>0</v>
      </c>
      <c r="E45" s="224">
        <f t="shared" si="13"/>
        <v>0</v>
      </c>
      <c r="F45" s="224">
        <f t="shared" si="13"/>
        <v>2686889</v>
      </c>
      <c r="G45" s="224">
        <f t="shared" si="13"/>
        <v>0</v>
      </c>
      <c r="H45" s="50">
        <f t="shared" si="13"/>
        <v>2686889</v>
      </c>
      <c r="I45" s="234"/>
      <c r="J45" s="322" t="s">
        <v>249</v>
      </c>
      <c r="K45" s="224">
        <f aca="true" t="shared" si="14" ref="K45:Q45">SUM(K38+K44)</f>
        <v>69645</v>
      </c>
      <c r="L45" s="224">
        <f t="shared" si="14"/>
        <v>0</v>
      </c>
      <c r="M45" s="224">
        <f t="shared" si="14"/>
        <v>0</v>
      </c>
      <c r="N45" s="318">
        <f t="shared" si="14"/>
        <v>0</v>
      </c>
      <c r="O45" s="224">
        <f t="shared" si="14"/>
        <v>69645</v>
      </c>
      <c r="P45" s="224">
        <f t="shared" si="14"/>
        <v>0</v>
      </c>
      <c r="Q45" s="224">
        <f t="shared" si="14"/>
        <v>69645</v>
      </c>
      <c r="R45" s="234"/>
    </row>
    <row r="46" spans="1:18" s="168" customFormat="1" ht="12.75">
      <c r="A46" s="223" t="s">
        <v>250</v>
      </c>
      <c r="B46" s="224">
        <f aca="true" t="shared" si="15" ref="B46:H46">SUM(B33+B45)</f>
        <v>4929564</v>
      </c>
      <c r="C46" s="224">
        <f t="shared" si="15"/>
        <v>0</v>
      </c>
      <c r="D46" s="50">
        <f t="shared" si="15"/>
        <v>733150</v>
      </c>
      <c r="E46" s="316">
        <f t="shared" si="15"/>
        <v>0</v>
      </c>
      <c r="F46" s="316">
        <f t="shared" si="15"/>
        <v>4322312</v>
      </c>
      <c r="G46" s="316">
        <f t="shared" si="15"/>
        <v>607252</v>
      </c>
      <c r="H46" s="316">
        <f t="shared" si="15"/>
        <v>4929564</v>
      </c>
      <c r="I46" s="223"/>
      <c r="J46" s="223" t="s">
        <v>251</v>
      </c>
      <c r="K46" s="224">
        <f aca="true" t="shared" si="16" ref="K46:Q46">SUM(K33+K45)</f>
        <v>4929564</v>
      </c>
      <c r="L46" s="224">
        <f t="shared" si="16"/>
        <v>0</v>
      </c>
      <c r="M46" s="224">
        <f t="shared" si="16"/>
        <v>0</v>
      </c>
      <c r="N46" s="318">
        <f t="shared" si="16"/>
        <v>107331</v>
      </c>
      <c r="O46" s="224">
        <f t="shared" si="16"/>
        <v>2426467</v>
      </c>
      <c r="P46" s="224">
        <f t="shared" si="16"/>
        <v>2395766</v>
      </c>
      <c r="Q46" s="224">
        <f t="shared" si="16"/>
        <v>4929564</v>
      </c>
      <c r="R46" s="223"/>
    </row>
  </sheetData>
  <sheetProtection/>
  <mergeCells count="3">
    <mergeCell ref="A1:R1"/>
    <mergeCell ref="A3:R3"/>
    <mergeCell ref="J5:R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view="pageBreakPreview" zoomScale="75" zoomScaleSheetLayoutView="75" zoomScalePageLayoutView="0" workbookViewId="0" topLeftCell="A7">
      <selection activeCell="H2" sqref="H2:L2"/>
    </sheetView>
  </sheetViews>
  <sheetFormatPr defaultColWidth="9.140625" defaultRowHeight="12.75"/>
  <cols>
    <col min="1" max="4" width="9.140625" style="44" customWidth="1"/>
    <col min="5" max="5" width="49.140625" style="44" customWidth="1"/>
    <col min="6" max="6" width="11.140625" style="44" customWidth="1"/>
    <col min="7" max="7" width="10.421875" style="44" hidden="1" customWidth="1"/>
    <col min="8" max="8" width="12.140625" style="44" customWidth="1"/>
    <col min="9" max="10" width="10.421875" style="44" bestFit="1" customWidth="1"/>
    <col min="11" max="11" width="11.57421875" style="44" bestFit="1" customWidth="1"/>
    <col min="12" max="12" width="9.140625" style="218" customWidth="1"/>
    <col min="13" max="13" width="10.421875" style="48" bestFit="1" customWidth="1"/>
    <col min="14" max="16384" width="9.140625" style="44" customWidth="1"/>
  </cols>
  <sheetData>
    <row r="1" spans="1:12" ht="12.75">
      <c r="A1" s="43"/>
      <c r="B1" s="44" t="s">
        <v>524</v>
      </c>
      <c r="L1" s="215"/>
    </row>
    <row r="2" spans="1:12" ht="12.75">
      <c r="A2" s="43"/>
      <c r="H2" s="366" t="s">
        <v>931</v>
      </c>
      <c r="I2" s="366"/>
      <c r="J2" s="366"/>
      <c r="K2" s="366"/>
      <c r="L2" s="366"/>
    </row>
    <row r="3" spans="1:12" ht="12.75">
      <c r="A3" s="43"/>
      <c r="L3" s="215"/>
    </row>
    <row r="4" spans="1:12" ht="12.75">
      <c r="A4" s="418" t="s">
        <v>776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1:12" ht="12.75">
      <c r="A5" s="43"/>
      <c r="L5" s="215"/>
    </row>
    <row r="6" spans="1:12" ht="12.75">
      <c r="A6" s="43"/>
      <c r="L6" s="215"/>
    </row>
    <row r="7" spans="1:12" ht="12.75">
      <c r="A7" s="43"/>
      <c r="J7" s="419" t="s">
        <v>352</v>
      </c>
      <c r="K7" s="419"/>
      <c r="L7" s="419"/>
    </row>
    <row r="8" spans="1:12" ht="12.75">
      <c r="A8" s="417" t="s">
        <v>380</v>
      </c>
      <c r="B8" s="417"/>
      <c r="C8" s="417"/>
      <c r="D8" s="417"/>
      <c r="E8" s="417"/>
      <c r="F8" s="45" t="s">
        <v>381</v>
      </c>
      <c r="G8" s="45" t="s">
        <v>519</v>
      </c>
      <c r="H8" s="45" t="s">
        <v>382</v>
      </c>
      <c r="I8" s="45" t="s">
        <v>383</v>
      </c>
      <c r="J8" s="45" t="s">
        <v>384</v>
      </c>
      <c r="K8" s="45" t="s">
        <v>385</v>
      </c>
      <c r="L8" s="45" t="s">
        <v>386</v>
      </c>
    </row>
    <row r="9" spans="1:12" ht="12.75">
      <c r="A9" s="131"/>
      <c r="B9" s="46" t="s">
        <v>252</v>
      </c>
      <c r="L9" s="252"/>
    </row>
    <row r="10" spans="1:13" s="254" customFormat="1" ht="26.25">
      <c r="A10" s="132"/>
      <c r="B10" s="132"/>
      <c r="C10" s="132"/>
      <c r="D10" s="132"/>
      <c r="E10" s="132"/>
      <c r="F10" s="132" t="s">
        <v>740</v>
      </c>
      <c r="G10" s="132" t="s">
        <v>520</v>
      </c>
      <c r="H10" s="132" t="s">
        <v>166</v>
      </c>
      <c r="I10" s="132" t="s">
        <v>366</v>
      </c>
      <c r="J10" s="132" t="s">
        <v>367</v>
      </c>
      <c r="K10" s="132" t="s">
        <v>640</v>
      </c>
      <c r="L10" s="132" t="s">
        <v>368</v>
      </c>
      <c r="M10" s="253"/>
    </row>
    <row r="11" spans="1:12" ht="12.75">
      <c r="A11" s="43"/>
      <c r="L11" s="215"/>
    </row>
    <row r="12" spans="1:12" ht="12.75">
      <c r="A12" s="43" t="s">
        <v>389</v>
      </c>
      <c r="C12" s="44" t="s">
        <v>390</v>
      </c>
      <c r="L12" s="215" t="s">
        <v>391</v>
      </c>
    </row>
    <row r="13" spans="1:13" ht="12.75">
      <c r="A13" s="43"/>
      <c r="B13" s="44" t="s">
        <v>387</v>
      </c>
      <c r="C13" s="44" t="s">
        <v>253</v>
      </c>
      <c r="F13" s="48">
        <v>622576</v>
      </c>
      <c r="G13" s="48"/>
      <c r="H13" s="48">
        <v>0</v>
      </c>
      <c r="I13" s="48">
        <v>622576</v>
      </c>
      <c r="J13" s="48">
        <v>0</v>
      </c>
      <c r="K13" s="48">
        <f>F13+G13</f>
        <v>622576</v>
      </c>
      <c r="L13" s="215" t="s">
        <v>393</v>
      </c>
      <c r="M13" s="48">
        <f>SUM(H13:J13)</f>
        <v>622576</v>
      </c>
    </row>
    <row r="14" spans="1:13" ht="12.75">
      <c r="A14" s="43"/>
      <c r="B14" s="44" t="s">
        <v>427</v>
      </c>
      <c r="C14" s="44" t="s">
        <v>254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f>F14+G14</f>
        <v>0</v>
      </c>
      <c r="L14" s="215" t="s">
        <v>429</v>
      </c>
      <c r="M14" s="48">
        <f aca="true" t="shared" si="0" ref="M14:M79">SUM(H14:J14)</f>
        <v>0</v>
      </c>
    </row>
    <row r="15" spans="1:13" ht="12.75">
      <c r="A15" s="43"/>
      <c r="B15" s="44" t="s">
        <v>430</v>
      </c>
      <c r="C15" s="44" t="s">
        <v>255</v>
      </c>
      <c r="F15" s="48">
        <v>186019</v>
      </c>
      <c r="G15" s="48"/>
      <c r="H15" s="48">
        <v>0</v>
      </c>
      <c r="I15" s="48">
        <v>45520</v>
      </c>
      <c r="J15" s="48">
        <v>140499</v>
      </c>
      <c r="K15" s="48">
        <f>F15+G15</f>
        <v>186019</v>
      </c>
      <c r="L15" s="215" t="s">
        <v>432</v>
      </c>
      <c r="M15" s="48">
        <f t="shared" si="0"/>
        <v>186019</v>
      </c>
    </row>
    <row r="16" spans="1:13" s="168" customFormat="1" ht="12.75">
      <c r="A16" s="49" t="s">
        <v>389</v>
      </c>
      <c r="B16" s="49"/>
      <c r="C16" s="49" t="s">
        <v>522</v>
      </c>
      <c r="D16" s="49"/>
      <c r="E16" s="49"/>
      <c r="F16" s="50">
        <f aca="true" t="shared" si="1" ref="F16:K16">SUM(F13:F15)</f>
        <v>808595</v>
      </c>
      <c r="G16" s="50">
        <f t="shared" si="1"/>
        <v>0</v>
      </c>
      <c r="H16" s="50">
        <f t="shared" si="1"/>
        <v>0</v>
      </c>
      <c r="I16" s="50">
        <f t="shared" si="1"/>
        <v>668096</v>
      </c>
      <c r="J16" s="50">
        <f t="shared" si="1"/>
        <v>140499</v>
      </c>
      <c r="K16" s="50">
        <f t="shared" si="1"/>
        <v>808595</v>
      </c>
      <c r="L16" s="255" t="s">
        <v>391</v>
      </c>
      <c r="M16" s="256">
        <f t="shared" si="0"/>
        <v>808595</v>
      </c>
    </row>
    <row r="17" spans="1:13" ht="12.75">
      <c r="A17" s="43" t="s">
        <v>434</v>
      </c>
      <c r="C17" s="44" t="s">
        <v>435</v>
      </c>
      <c r="F17" s="48"/>
      <c r="G17" s="48"/>
      <c r="H17" s="48"/>
      <c r="I17" s="48"/>
      <c r="J17" s="48"/>
      <c r="K17" s="48"/>
      <c r="L17" s="215" t="s">
        <v>256</v>
      </c>
      <c r="M17" s="48">
        <f t="shared" si="0"/>
        <v>0</v>
      </c>
    </row>
    <row r="18" spans="1:13" ht="12.75">
      <c r="A18" s="43"/>
      <c r="B18" s="44" t="s">
        <v>387</v>
      </c>
      <c r="D18" s="44" t="s">
        <v>437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f>F18+G18</f>
        <v>0</v>
      </c>
      <c r="L18" s="215" t="s">
        <v>438</v>
      </c>
      <c r="M18" s="48">
        <f t="shared" si="0"/>
        <v>0</v>
      </c>
    </row>
    <row r="19" spans="1:13" ht="12.75">
      <c r="A19" s="43"/>
      <c r="B19" s="44" t="s">
        <v>427</v>
      </c>
      <c r="D19" s="44" t="s">
        <v>257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f>F19+G19</f>
        <v>0</v>
      </c>
      <c r="L19" s="215" t="s">
        <v>440</v>
      </c>
      <c r="M19" s="48">
        <f t="shared" si="0"/>
        <v>0</v>
      </c>
    </row>
    <row r="20" spans="1:13" ht="12.75">
      <c r="A20" s="43"/>
      <c r="B20" s="44" t="s">
        <v>430</v>
      </c>
      <c r="D20" s="44" t="s">
        <v>258</v>
      </c>
      <c r="F20" s="48">
        <v>176942</v>
      </c>
      <c r="G20" s="48">
        <v>0</v>
      </c>
      <c r="H20" s="48">
        <v>0</v>
      </c>
      <c r="I20" s="48">
        <v>176942</v>
      </c>
      <c r="J20" s="48">
        <v>0</v>
      </c>
      <c r="K20" s="48">
        <f>F20+G20</f>
        <v>176942</v>
      </c>
      <c r="L20" s="215" t="s">
        <v>442</v>
      </c>
      <c r="M20" s="48">
        <f t="shared" si="0"/>
        <v>176942</v>
      </c>
    </row>
    <row r="21" spans="1:13" s="168" customFormat="1" ht="12.75">
      <c r="A21" s="49" t="s">
        <v>434</v>
      </c>
      <c r="B21" s="49"/>
      <c r="C21" s="49" t="s">
        <v>523</v>
      </c>
      <c r="D21" s="49"/>
      <c r="E21" s="49"/>
      <c r="F21" s="50">
        <f aca="true" t="shared" si="2" ref="F21:K21">SUM(F17:F20)</f>
        <v>176942</v>
      </c>
      <c r="G21" s="50">
        <f t="shared" si="2"/>
        <v>0</v>
      </c>
      <c r="H21" s="50">
        <f t="shared" si="2"/>
        <v>0</v>
      </c>
      <c r="I21" s="50">
        <f t="shared" si="2"/>
        <v>176942</v>
      </c>
      <c r="J21" s="50">
        <f t="shared" si="2"/>
        <v>0</v>
      </c>
      <c r="K21" s="50">
        <f t="shared" si="2"/>
        <v>176942</v>
      </c>
      <c r="L21" s="255" t="s">
        <v>436</v>
      </c>
      <c r="M21" s="256">
        <f t="shared" si="0"/>
        <v>176942</v>
      </c>
    </row>
    <row r="22" spans="1:13" ht="12.75">
      <c r="A22" s="43" t="s">
        <v>444</v>
      </c>
      <c r="C22" s="44" t="s">
        <v>445</v>
      </c>
      <c r="F22" s="48"/>
      <c r="G22" s="48"/>
      <c r="H22" s="48"/>
      <c r="I22" s="48"/>
      <c r="J22" s="48"/>
      <c r="K22" s="48"/>
      <c r="L22" s="215" t="s">
        <v>446</v>
      </c>
      <c r="M22" s="48">
        <f t="shared" si="0"/>
        <v>0</v>
      </c>
    </row>
    <row r="23" spans="1:13" ht="12.75">
      <c r="A23" s="43"/>
      <c r="B23" s="44" t="s">
        <v>387</v>
      </c>
      <c r="D23" s="44" t="s">
        <v>447</v>
      </c>
      <c r="F23" s="48">
        <v>130000</v>
      </c>
      <c r="G23" s="48"/>
      <c r="H23" s="48">
        <v>0</v>
      </c>
      <c r="I23" s="48">
        <v>130000</v>
      </c>
      <c r="J23" s="48">
        <v>0</v>
      </c>
      <c r="K23" s="48">
        <f>F23+G23</f>
        <v>130000</v>
      </c>
      <c r="L23" s="215" t="s">
        <v>448</v>
      </c>
      <c r="M23" s="48">
        <f t="shared" si="0"/>
        <v>130000</v>
      </c>
    </row>
    <row r="24" spans="1:13" ht="12.75">
      <c r="A24" s="43"/>
      <c r="B24" s="44" t="s">
        <v>427</v>
      </c>
      <c r="D24" s="44" t="s">
        <v>450</v>
      </c>
      <c r="F24" s="48">
        <v>674000</v>
      </c>
      <c r="G24" s="48"/>
      <c r="H24" s="48">
        <v>0</v>
      </c>
      <c r="I24" s="48">
        <v>674000</v>
      </c>
      <c r="J24" s="48">
        <v>0</v>
      </c>
      <c r="K24" s="48">
        <f>F24+G24</f>
        <v>674000</v>
      </c>
      <c r="L24" s="215" t="s">
        <v>451</v>
      </c>
      <c r="M24" s="48">
        <f t="shared" si="0"/>
        <v>674000</v>
      </c>
    </row>
    <row r="25" spans="1:13" ht="12.75">
      <c r="A25" s="43"/>
      <c r="B25" s="44" t="s">
        <v>430</v>
      </c>
      <c r="D25" s="44" t="s">
        <v>463</v>
      </c>
      <c r="F25" s="48">
        <v>5150</v>
      </c>
      <c r="G25" s="48"/>
      <c r="H25" s="48">
        <v>0</v>
      </c>
      <c r="I25" s="48">
        <v>5150</v>
      </c>
      <c r="J25" s="48">
        <v>0</v>
      </c>
      <c r="K25" s="48">
        <f>F25+G25</f>
        <v>5150</v>
      </c>
      <c r="L25" s="215" t="s">
        <v>464</v>
      </c>
      <c r="M25" s="48">
        <f t="shared" si="0"/>
        <v>5150</v>
      </c>
    </row>
    <row r="26" spans="1:13" s="168" customFormat="1" ht="12.75">
      <c r="A26" s="49" t="s">
        <v>444</v>
      </c>
      <c r="B26" s="49"/>
      <c r="C26" s="49" t="s">
        <v>472</v>
      </c>
      <c r="D26" s="49"/>
      <c r="E26" s="49"/>
      <c r="F26" s="50">
        <f aca="true" t="shared" si="3" ref="F26:K26">SUM(F23:F25)</f>
        <v>809150</v>
      </c>
      <c r="G26" s="50">
        <f t="shared" si="3"/>
        <v>0</v>
      </c>
      <c r="H26" s="50">
        <f t="shared" si="3"/>
        <v>0</v>
      </c>
      <c r="I26" s="50">
        <f t="shared" si="3"/>
        <v>809150</v>
      </c>
      <c r="J26" s="50">
        <f t="shared" si="3"/>
        <v>0</v>
      </c>
      <c r="K26" s="50">
        <f t="shared" si="3"/>
        <v>809150</v>
      </c>
      <c r="L26" s="255" t="s">
        <v>446</v>
      </c>
      <c r="M26" s="256">
        <f t="shared" si="0"/>
        <v>809150</v>
      </c>
    </row>
    <row r="27" spans="1:13" ht="12.75">
      <c r="A27" s="43" t="s">
        <v>473</v>
      </c>
      <c r="C27" s="44" t="s">
        <v>474</v>
      </c>
      <c r="F27" s="48"/>
      <c r="G27" s="48"/>
      <c r="H27" s="48"/>
      <c r="I27" s="48"/>
      <c r="J27" s="48"/>
      <c r="K27" s="48"/>
      <c r="L27" s="215" t="s">
        <v>475</v>
      </c>
      <c r="M27" s="48">
        <f t="shared" si="0"/>
        <v>0</v>
      </c>
    </row>
    <row r="28" spans="1:13" ht="12.75">
      <c r="A28" s="43"/>
      <c r="B28" s="44" t="s">
        <v>387</v>
      </c>
      <c r="D28" s="44" t="s">
        <v>476</v>
      </c>
      <c r="F28" s="48">
        <v>256798</v>
      </c>
      <c r="G28" s="48"/>
      <c r="H28" s="48">
        <v>0</v>
      </c>
      <c r="I28" s="48">
        <v>52475</v>
      </c>
      <c r="J28" s="48">
        <v>204323</v>
      </c>
      <c r="K28" s="48">
        <f>F28+G28</f>
        <v>256798</v>
      </c>
      <c r="L28" s="215" t="s">
        <v>475</v>
      </c>
      <c r="M28" s="48">
        <f t="shared" si="0"/>
        <v>256798</v>
      </c>
    </row>
    <row r="29" spans="1:13" ht="12.75">
      <c r="A29" s="43"/>
      <c r="B29" s="44" t="s">
        <v>427</v>
      </c>
      <c r="D29" s="44" t="s">
        <v>477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f>F29+G29</f>
        <v>0</v>
      </c>
      <c r="L29" s="215" t="s">
        <v>475</v>
      </c>
      <c r="M29" s="48">
        <f t="shared" si="0"/>
        <v>0</v>
      </c>
    </row>
    <row r="30" spans="1:13" ht="12.75">
      <c r="A30" s="43"/>
      <c r="B30" s="44" t="s">
        <v>430</v>
      </c>
      <c r="D30" s="44" t="s">
        <v>478</v>
      </c>
      <c r="F30" s="48">
        <v>105702</v>
      </c>
      <c r="G30" s="48">
        <v>0</v>
      </c>
      <c r="H30" s="48">
        <v>0</v>
      </c>
      <c r="I30" s="48">
        <v>105702</v>
      </c>
      <c r="J30" s="48">
        <v>0</v>
      </c>
      <c r="K30" s="48">
        <f>F30+G30</f>
        <v>105702</v>
      </c>
      <c r="L30" s="215" t="s">
        <v>475</v>
      </c>
      <c r="M30" s="48">
        <f t="shared" si="0"/>
        <v>105702</v>
      </c>
    </row>
    <row r="31" spans="1:13" s="168" customFormat="1" ht="12.75">
      <c r="A31" s="49" t="s">
        <v>473</v>
      </c>
      <c r="B31" s="49"/>
      <c r="C31" s="49" t="s">
        <v>480</v>
      </c>
      <c r="D31" s="49"/>
      <c r="E31" s="49"/>
      <c r="F31" s="50">
        <f aca="true" t="shared" si="4" ref="F31:K31">SUM(F28:F30)</f>
        <v>362500</v>
      </c>
      <c r="G31" s="50">
        <f t="shared" si="4"/>
        <v>0</v>
      </c>
      <c r="H31" s="50">
        <f t="shared" si="4"/>
        <v>0</v>
      </c>
      <c r="I31" s="50">
        <f t="shared" si="4"/>
        <v>158177</v>
      </c>
      <c r="J31" s="50">
        <f t="shared" si="4"/>
        <v>204323</v>
      </c>
      <c r="K31" s="50">
        <f t="shared" si="4"/>
        <v>362500</v>
      </c>
      <c r="L31" s="255" t="s">
        <v>475</v>
      </c>
      <c r="M31" s="256">
        <f t="shared" si="0"/>
        <v>362500</v>
      </c>
    </row>
    <row r="32" spans="1:13" ht="12.75">
      <c r="A32" s="43" t="s">
        <v>481</v>
      </c>
      <c r="C32" s="44" t="s">
        <v>482</v>
      </c>
      <c r="F32" s="48"/>
      <c r="G32" s="48"/>
      <c r="H32" s="48"/>
      <c r="I32" s="48"/>
      <c r="J32" s="48"/>
      <c r="K32" s="48"/>
      <c r="L32" s="215" t="s">
        <v>483</v>
      </c>
      <c r="M32" s="48">
        <f t="shared" si="0"/>
        <v>0</v>
      </c>
    </row>
    <row r="33" spans="1:13" ht="12.75">
      <c r="A33" s="43"/>
      <c r="B33" s="44" t="s">
        <v>387</v>
      </c>
      <c r="D33" s="44" t="s">
        <v>484</v>
      </c>
      <c r="F33" s="48">
        <v>84618</v>
      </c>
      <c r="G33" s="48"/>
      <c r="H33" s="48">
        <v>0</v>
      </c>
      <c r="I33" s="48">
        <v>0</v>
      </c>
      <c r="J33" s="48">
        <v>84618</v>
      </c>
      <c r="K33" s="48">
        <f>F33+G33</f>
        <v>84618</v>
      </c>
      <c r="L33" s="215" t="s">
        <v>485</v>
      </c>
      <c r="M33" s="48">
        <f t="shared" si="0"/>
        <v>84618</v>
      </c>
    </row>
    <row r="34" spans="1:13" ht="12.75">
      <c r="A34" s="43"/>
      <c r="B34" s="44" t="s">
        <v>427</v>
      </c>
      <c r="D34" s="44" t="s">
        <v>486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f>F34+G34</f>
        <v>0</v>
      </c>
      <c r="L34" s="215" t="s">
        <v>487</v>
      </c>
      <c r="M34" s="48">
        <f t="shared" si="0"/>
        <v>0</v>
      </c>
    </row>
    <row r="35" spans="1:13" s="168" customFormat="1" ht="12.75">
      <c r="A35" s="49" t="s">
        <v>481</v>
      </c>
      <c r="B35" s="49"/>
      <c r="C35" s="49" t="s">
        <v>488</v>
      </c>
      <c r="D35" s="49"/>
      <c r="E35" s="49"/>
      <c r="F35" s="50">
        <f aca="true" t="shared" si="5" ref="F35:K35">SUM(F33:F34)</f>
        <v>84618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84618</v>
      </c>
      <c r="K35" s="50">
        <f t="shared" si="5"/>
        <v>84618</v>
      </c>
      <c r="L35" s="255" t="s">
        <v>483</v>
      </c>
      <c r="M35" s="256">
        <f t="shared" si="0"/>
        <v>84618</v>
      </c>
    </row>
    <row r="36" spans="1:13" ht="12.75">
      <c r="A36" s="43" t="s">
        <v>489</v>
      </c>
      <c r="C36" s="44" t="s">
        <v>490</v>
      </c>
      <c r="F36" s="48"/>
      <c r="G36" s="48"/>
      <c r="H36" s="48"/>
      <c r="I36" s="48"/>
      <c r="J36" s="48"/>
      <c r="K36" s="48"/>
      <c r="L36" s="215"/>
      <c r="M36" s="48">
        <f t="shared" si="0"/>
        <v>0</v>
      </c>
    </row>
    <row r="37" spans="1:13" ht="12.75">
      <c r="A37" s="43"/>
      <c r="B37" s="44" t="s">
        <v>387</v>
      </c>
      <c r="D37" s="44" t="s">
        <v>490</v>
      </c>
      <c r="F37" s="48">
        <v>0</v>
      </c>
      <c r="G37" s="48"/>
      <c r="H37" s="48">
        <v>0</v>
      </c>
      <c r="I37" s="48">
        <v>0</v>
      </c>
      <c r="J37" s="48">
        <v>0</v>
      </c>
      <c r="K37" s="48">
        <f>F37+G37</f>
        <v>0</v>
      </c>
      <c r="L37" s="215" t="s">
        <v>492</v>
      </c>
      <c r="M37" s="48">
        <f t="shared" si="0"/>
        <v>0</v>
      </c>
    </row>
    <row r="38" spans="1:13" ht="12.75">
      <c r="A38" s="43"/>
      <c r="B38" s="44" t="s">
        <v>427</v>
      </c>
      <c r="D38" s="44" t="s">
        <v>493</v>
      </c>
      <c r="F38" s="48">
        <v>0</v>
      </c>
      <c r="G38" s="48"/>
      <c r="H38" s="48">
        <v>0</v>
      </c>
      <c r="I38" s="48">
        <v>0</v>
      </c>
      <c r="J38" s="48">
        <v>0</v>
      </c>
      <c r="K38" s="48">
        <f>F38+G38</f>
        <v>0</v>
      </c>
      <c r="L38" s="215" t="s">
        <v>494</v>
      </c>
      <c r="M38" s="48">
        <f t="shared" si="0"/>
        <v>0</v>
      </c>
    </row>
    <row r="39" spans="1:13" s="168" customFormat="1" ht="12.75">
      <c r="A39" s="49" t="s">
        <v>489</v>
      </c>
      <c r="B39" s="49"/>
      <c r="C39" s="49" t="s">
        <v>495</v>
      </c>
      <c r="D39" s="49"/>
      <c r="E39" s="49"/>
      <c r="F39" s="50">
        <f aca="true" t="shared" si="6" ref="F39:K39">SUM(F37:F38)</f>
        <v>0</v>
      </c>
      <c r="G39" s="50">
        <f t="shared" si="6"/>
        <v>0</v>
      </c>
      <c r="H39" s="50">
        <f t="shared" si="6"/>
        <v>0</v>
      </c>
      <c r="I39" s="50">
        <f t="shared" si="6"/>
        <v>0</v>
      </c>
      <c r="J39" s="50">
        <f t="shared" si="6"/>
        <v>0</v>
      </c>
      <c r="K39" s="50">
        <f t="shared" si="6"/>
        <v>0</v>
      </c>
      <c r="L39" s="255" t="s">
        <v>494</v>
      </c>
      <c r="M39" s="256">
        <f t="shared" si="0"/>
        <v>0</v>
      </c>
    </row>
    <row r="40" spans="1:13" ht="12.75">
      <c r="A40" s="43" t="s">
        <v>496</v>
      </c>
      <c r="C40" s="44" t="s">
        <v>497</v>
      </c>
      <c r="F40" s="48"/>
      <c r="G40" s="48"/>
      <c r="H40" s="48"/>
      <c r="I40" s="48"/>
      <c r="J40" s="48"/>
      <c r="K40" s="48"/>
      <c r="L40" s="215" t="s">
        <v>500</v>
      </c>
      <c r="M40" s="48">
        <f t="shared" si="0"/>
        <v>0</v>
      </c>
    </row>
    <row r="41" spans="1:13" ht="12.75">
      <c r="A41" s="43"/>
      <c r="B41" s="44" t="s">
        <v>387</v>
      </c>
      <c r="D41" s="44" t="s">
        <v>259</v>
      </c>
      <c r="F41" s="48">
        <v>700</v>
      </c>
      <c r="G41" s="48"/>
      <c r="H41" s="48">
        <v>0</v>
      </c>
      <c r="I41" s="48">
        <v>0</v>
      </c>
      <c r="J41" s="48">
        <v>700</v>
      </c>
      <c r="K41" s="48">
        <f>F41+G41</f>
        <v>700</v>
      </c>
      <c r="L41" s="215" t="s">
        <v>500</v>
      </c>
      <c r="M41" s="48">
        <f t="shared" si="0"/>
        <v>700</v>
      </c>
    </row>
    <row r="42" spans="1:13" ht="12.75">
      <c r="A42" s="43"/>
      <c r="B42" s="44" t="s">
        <v>427</v>
      </c>
      <c r="D42" s="44" t="s">
        <v>503</v>
      </c>
      <c r="F42" s="48">
        <v>170</v>
      </c>
      <c r="G42" s="48"/>
      <c r="H42" s="48">
        <v>0</v>
      </c>
      <c r="I42" s="48">
        <v>0</v>
      </c>
      <c r="J42" s="48">
        <v>170</v>
      </c>
      <c r="K42" s="48">
        <f>F42+G42</f>
        <v>170</v>
      </c>
      <c r="L42" s="215" t="s">
        <v>504</v>
      </c>
      <c r="M42" s="48">
        <f t="shared" si="0"/>
        <v>170</v>
      </c>
    </row>
    <row r="43" spans="1:13" s="168" customFormat="1" ht="12.75">
      <c r="A43" s="49" t="s">
        <v>496</v>
      </c>
      <c r="B43" s="49"/>
      <c r="C43" s="49" t="s">
        <v>506</v>
      </c>
      <c r="D43" s="49"/>
      <c r="E43" s="49"/>
      <c r="F43" s="50">
        <f aca="true" t="shared" si="7" ref="F43:K43">SUM(F41:F42)</f>
        <v>870</v>
      </c>
      <c r="G43" s="50">
        <f t="shared" si="7"/>
        <v>0</v>
      </c>
      <c r="H43" s="50">
        <f t="shared" si="7"/>
        <v>0</v>
      </c>
      <c r="I43" s="50">
        <f t="shared" si="7"/>
        <v>0</v>
      </c>
      <c r="J43" s="50">
        <f t="shared" si="7"/>
        <v>870</v>
      </c>
      <c r="K43" s="50">
        <f t="shared" si="7"/>
        <v>870</v>
      </c>
      <c r="L43" s="255" t="s">
        <v>500</v>
      </c>
      <c r="M43" s="256">
        <f t="shared" si="0"/>
        <v>870</v>
      </c>
    </row>
    <row r="44" spans="1:13" ht="12.75">
      <c r="A44" s="43" t="s">
        <v>528</v>
      </c>
      <c r="C44" s="44" t="s">
        <v>529</v>
      </c>
      <c r="F44" s="48"/>
      <c r="G44" s="48"/>
      <c r="H44" s="48"/>
      <c r="I44" s="48"/>
      <c r="J44" s="48"/>
      <c r="K44" s="48"/>
      <c r="L44" s="215" t="s">
        <v>530</v>
      </c>
      <c r="M44" s="48">
        <f t="shared" si="0"/>
        <v>0</v>
      </c>
    </row>
    <row r="45" spans="1:13" ht="12.75">
      <c r="A45" s="43"/>
      <c r="B45" s="44" t="s">
        <v>387</v>
      </c>
      <c r="D45" s="44" t="s">
        <v>531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f>F45+G45</f>
        <v>0</v>
      </c>
      <c r="L45" s="215" t="s">
        <v>533</v>
      </c>
      <c r="M45" s="48">
        <f t="shared" si="0"/>
        <v>0</v>
      </c>
    </row>
    <row r="46" spans="1:13" ht="12.75">
      <c r="A46" s="43"/>
      <c r="B46" s="44" t="s">
        <v>427</v>
      </c>
      <c r="D46" s="44" t="s">
        <v>539</v>
      </c>
      <c r="F46" s="48">
        <v>2686889</v>
      </c>
      <c r="G46" s="48">
        <v>0</v>
      </c>
      <c r="H46" s="48">
        <v>0</v>
      </c>
      <c r="I46" s="48">
        <v>2686889</v>
      </c>
      <c r="J46" s="48">
        <v>0</v>
      </c>
      <c r="K46" s="48">
        <f>F46+G46</f>
        <v>2686889</v>
      </c>
      <c r="L46" s="215" t="s">
        <v>541</v>
      </c>
      <c r="M46" s="48">
        <f t="shared" si="0"/>
        <v>2686889</v>
      </c>
    </row>
    <row r="47" spans="1:13" s="168" customFormat="1" ht="12.75">
      <c r="A47" s="49" t="s">
        <v>528</v>
      </c>
      <c r="B47" s="49"/>
      <c r="C47" s="49" t="s">
        <v>260</v>
      </c>
      <c r="D47" s="49"/>
      <c r="E47" s="49"/>
      <c r="F47" s="50">
        <f aca="true" t="shared" si="8" ref="F47:K47">SUM(F45:F46)</f>
        <v>2686889</v>
      </c>
      <c r="G47" s="50">
        <f t="shared" si="8"/>
        <v>0</v>
      </c>
      <c r="H47" s="50">
        <f t="shared" si="8"/>
        <v>0</v>
      </c>
      <c r="I47" s="50">
        <f t="shared" si="8"/>
        <v>2686889</v>
      </c>
      <c r="J47" s="50">
        <f t="shared" si="8"/>
        <v>0</v>
      </c>
      <c r="K47" s="50">
        <f t="shared" si="8"/>
        <v>2686889</v>
      </c>
      <c r="L47" s="255" t="s">
        <v>530</v>
      </c>
      <c r="M47" s="256">
        <f t="shared" si="0"/>
        <v>2686889</v>
      </c>
    </row>
    <row r="48" spans="1:13" s="168" customFormat="1" ht="12.75">
      <c r="A48" s="49"/>
      <c r="B48" s="49"/>
      <c r="C48" s="49" t="s">
        <v>261</v>
      </c>
      <c r="D48" s="49"/>
      <c r="E48" s="49"/>
      <c r="F48" s="50">
        <f aca="true" t="shared" si="9" ref="F48:K48">SUM(F16,F21,F26,F31,F35,F39,F43,F47)</f>
        <v>4929564</v>
      </c>
      <c r="G48" s="50">
        <f t="shared" si="9"/>
        <v>0</v>
      </c>
      <c r="H48" s="50">
        <f t="shared" si="9"/>
        <v>0</v>
      </c>
      <c r="I48" s="50">
        <f t="shared" si="9"/>
        <v>4499254</v>
      </c>
      <c r="J48" s="50">
        <f t="shared" si="9"/>
        <v>430310</v>
      </c>
      <c r="K48" s="50">
        <f t="shared" si="9"/>
        <v>4929564</v>
      </c>
      <c r="L48" s="255"/>
      <c r="M48" s="256">
        <f t="shared" si="0"/>
        <v>4929564</v>
      </c>
    </row>
    <row r="49" spans="1:13" ht="12.75">
      <c r="A49" s="43"/>
      <c r="F49" s="48"/>
      <c r="G49" s="48"/>
      <c r="H49" s="48"/>
      <c r="I49" s="48"/>
      <c r="J49" s="48"/>
      <c r="K49" s="48"/>
      <c r="L49" s="215"/>
      <c r="M49" s="48">
        <f t="shared" si="0"/>
        <v>0</v>
      </c>
    </row>
    <row r="50" spans="1:13" ht="12.75">
      <c r="A50" s="43"/>
      <c r="F50" s="48"/>
      <c r="G50" s="48"/>
      <c r="H50" s="48"/>
      <c r="I50" s="48"/>
      <c r="J50" s="48"/>
      <c r="K50" s="48"/>
      <c r="L50" s="215"/>
      <c r="M50" s="48">
        <f t="shared" si="0"/>
        <v>0</v>
      </c>
    </row>
    <row r="51" spans="1:13" ht="12.75">
      <c r="A51" s="43"/>
      <c r="B51" s="46" t="s">
        <v>262</v>
      </c>
      <c r="F51" s="48"/>
      <c r="G51" s="48"/>
      <c r="H51" s="48"/>
      <c r="I51" s="48"/>
      <c r="J51" s="48"/>
      <c r="K51" s="48"/>
      <c r="L51" s="215"/>
      <c r="M51" s="48">
        <f t="shared" si="0"/>
        <v>0</v>
      </c>
    </row>
    <row r="52" spans="1:13" ht="12.75">
      <c r="A52" s="43"/>
      <c r="F52" s="48"/>
      <c r="G52" s="48"/>
      <c r="H52" s="48"/>
      <c r="I52" s="48"/>
      <c r="J52" s="48"/>
      <c r="K52" s="48"/>
      <c r="L52" s="215"/>
      <c r="M52" s="48">
        <f t="shared" si="0"/>
        <v>0</v>
      </c>
    </row>
    <row r="53" spans="1:13" s="168" customFormat="1" ht="12.75">
      <c r="A53" s="49" t="s">
        <v>387</v>
      </c>
      <c r="B53" s="49"/>
      <c r="C53" s="49"/>
      <c r="D53" s="49" t="s">
        <v>263</v>
      </c>
      <c r="E53" s="49"/>
      <c r="F53" s="50"/>
      <c r="G53" s="50"/>
      <c r="H53" s="50"/>
      <c r="I53" s="50"/>
      <c r="J53" s="50"/>
      <c r="K53" s="50"/>
      <c r="L53" s="255"/>
      <c r="M53" s="256">
        <f t="shared" si="0"/>
        <v>0</v>
      </c>
    </row>
    <row r="54" spans="1:13" ht="12.75">
      <c r="A54" s="43"/>
      <c r="B54" s="44" t="s">
        <v>394</v>
      </c>
      <c r="D54" s="44" t="s">
        <v>590</v>
      </c>
      <c r="F54" s="48">
        <v>826892</v>
      </c>
      <c r="G54" s="48"/>
      <c r="H54" s="48">
        <v>90899</v>
      </c>
      <c r="I54" s="48">
        <v>600152</v>
      </c>
      <c r="J54" s="48">
        <v>135841</v>
      </c>
      <c r="K54" s="48">
        <f>F54+G54</f>
        <v>826892</v>
      </c>
      <c r="L54" s="215" t="s">
        <v>591</v>
      </c>
      <c r="M54" s="48">
        <f t="shared" si="0"/>
        <v>826892</v>
      </c>
    </row>
    <row r="55" spans="1:13" ht="12.75">
      <c r="A55" s="43"/>
      <c r="B55" s="44" t="s">
        <v>409</v>
      </c>
      <c r="D55" s="44" t="s">
        <v>592</v>
      </c>
      <c r="F55" s="48">
        <v>153461</v>
      </c>
      <c r="G55" s="48"/>
      <c r="H55" s="48">
        <v>16432</v>
      </c>
      <c r="I55" s="48">
        <v>113332</v>
      </c>
      <c r="J55" s="48">
        <v>23697</v>
      </c>
      <c r="K55" s="48">
        <f>F55+G55</f>
        <v>153461</v>
      </c>
      <c r="L55" s="215" t="s">
        <v>593</v>
      </c>
      <c r="M55" s="48">
        <f t="shared" si="0"/>
        <v>153461</v>
      </c>
    </row>
    <row r="56" spans="1:13" ht="12.75">
      <c r="A56" s="43"/>
      <c r="B56" s="44" t="s">
        <v>422</v>
      </c>
      <c r="D56" s="44" t="s">
        <v>594</v>
      </c>
      <c r="F56" s="48"/>
      <c r="G56" s="48"/>
      <c r="H56" s="48"/>
      <c r="I56" s="48"/>
      <c r="J56" s="48"/>
      <c r="K56" s="48"/>
      <c r="L56" s="215" t="s">
        <v>595</v>
      </c>
      <c r="M56" s="48">
        <f t="shared" si="0"/>
        <v>0</v>
      </c>
    </row>
    <row r="57" spans="1:13" ht="12.75">
      <c r="A57" s="43"/>
      <c r="C57" s="44" t="s">
        <v>425</v>
      </c>
      <c r="D57" s="44" t="s">
        <v>264</v>
      </c>
      <c r="F57" s="48">
        <v>5000</v>
      </c>
      <c r="G57" s="48"/>
      <c r="H57" s="48">
        <v>0</v>
      </c>
      <c r="I57" s="48">
        <v>5000</v>
      </c>
      <c r="J57" s="48">
        <v>0</v>
      </c>
      <c r="K57" s="48">
        <f>F57+G57</f>
        <v>5000</v>
      </c>
      <c r="L57" s="215" t="s">
        <v>597</v>
      </c>
      <c r="M57" s="48">
        <f t="shared" si="0"/>
        <v>5000</v>
      </c>
    </row>
    <row r="58" spans="1:13" ht="12.75">
      <c r="A58" s="43"/>
      <c r="C58" s="44" t="s">
        <v>598</v>
      </c>
      <c r="D58" s="44" t="s">
        <v>265</v>
      </c>
      <c r="F58" s="48">
        <v>774404</v>
      </c>
      <c r="G58" s="48"/>
      <c r="H58" s="48">
        <v>0</v>
      </c>
      <c r="I58" s="48">
        <v>402615</v>
      </c>
      <c r="J58" s="48">
        <v>371789</v>
      </c>
      <c r="K58" s="48">
        <f>F58+G58</f>
        <v>774404</v>
      </c>
      <c r="L58" s="215" t="s">
        <v>266</v>
      </c>
      <c r="M58" s="48">
        <f t="shared" si="0"/>
        <v>774404</v>
      </c>
    </row>
    <row r="59" spans="1:13" ht="12.75">
      <c r="A59" s="51"/>
      <c r="B59" s="51" t="s">
        <v>422</v>
      </c>
      <c r="C59" s="51"/>
      <c r="D59" s="51" t="s">
        <v>600</v>
      </c>
      <c r="E59" s="51"/>
      <c r="F59" s="52">
        <f aca="true" t="shared" si="10" ref="F59:K59">SUM(F57:F58)</f>
        <v>779404</v>
      </c>
      <c r="G59" s="52">
        <f t="shared" si="10"/>
        <v>0</v>
      </c>
      <c r="H59" s="52">
        <f t="shared" si="10"/>
        <v>0</v>
      </c>
      <c r="I59" s="52">
        <f t="shared" si="10"/>
        <v>407615</v>
      </c>
      <c r="J59" s="52">
        <f t="shared" si="10"/>
        <v>371789</v>
      </c>
      <c r="K59" s="52">
        <f t="shared" si="10"/>
        <v>779404</v>
      </c>
      <c r="L59" s="257" t="s">
        <v>595</v>
      </c>
      <c r="M59" s="48">
        <f t="shared" si="0"/>
        <v>779404</v>
      </c>
    </row>
    <row r="60" spans="1:13" ht="12.75">
      <c r="A60" s="51"/>
      <c r="B60" s="51" t="s">
        <v>601</v>
      </c>
      <c r="C60" s="51"/>
      <c r="D60" s="51" t="s">
        <v>602</v>
      </c>
      <c r="E60" s="51"/>
      <c r="F60" s="52">
        <v>36738</v>
      </c>
      <c r="G60" s="52"/>
      <c r="H60" s="52">
        <v>0</v>
      </c>
      <c r="I60" s="52">
        <v>36738</v>
      </c>
      <c r="J60" s="52">
        <v>0</v>
      </c>
      <c r="K60" s="52">
        <f>F60+G60</f>
        <v>36738</v>
      </c>
      <c r="L60" s="257" t="s">
        <v>603</v>
      </c>
      <c r="M60" s="48">
        <f t="shared" si="0"/>
        <v>36738</v>
      </c>
    </row>
    <row r="61" spans="1:13" ht="12.75">
      <c r="A61" s="43"/>
      <c r="B61" s="44" t="s">
        <v>604</v>
      </c>
      <c r="D61" s="44" t="s">
        <v>20</v>
      </c>
      <c r="F61" s="48"/>
      <c r="G61" s="48"/>
      <c r="H61" s="48"/>
      <c r="I61" s="48"/>
      <c r="J61" s="48"/>
      <c r="K61" s="48"/>
      <c r="L61" s="215"/>
      <c r="M61" s="48">
        <f t="shared" si="0"/>
        <v>0</v>
      </c>
    </row>
    <row r="62" spans="1:13" ht="12.75">
      <c r="A62" s="43"/>
      <c r="C62" s="44" t="s">
        <v>22</v>
      </c>
      <c r="D62" s="44" t="s">
        <v>267</v>
      </c>
      <c r="F62" s="48">
        <v>0</v>
      </c>
      <c r="G62" s="48"/>
      <c r="H62" s="48">
        <v>0</v>
      </c>
      <c r="I62" s="48">
        <v>0</v>
      </c>
      <c r="J62" s="48">
        <v>0</v>
      </c>
      <c r="K62" s="48">
        <f aca="true" t="shared" si="11" ref="K62:K67">F62+G62</f>
        <v>0</v>
      </c>
      <c r="L62" s="215" t="s">
        <v>24</v>
      </c>
      <c r="M62" s="48">
        <f t="shared" si="0"/>
        <v>0</v>
      </c>
    </row>
    <row r="63" spans="1:13" ht="12.75">
      <c r="A63" s="43"/>
      <c r="C63" s="44" t="s">
        <v>25</v>
      </c>
      <c r="D63" s="44" t="s">
        <v>268</v>
      </c>
      <c r="F63" s="48">
        <v>0</v>
      </c>
      <c r="G63" s="48"/>
      <c r="H63" s="48">
        <v>0</v>
      </c>
      <c r="I63" s="48">
        <v>0</v>
      </c>
      <c r="J63" s="48">
        <v>0</v>
      </c>
      <c r="K63" s="48">
        <f t="shared" si="11"/>
        <v>0</v>
      </c>
      <c r="L63" s="215" t="s">
        <v>27</v>
      </c>
      <c r="M63" s="48">
        <f t="shared" si="0"/>
        <v>0</v>
      </c>
    </row>
    <row r="64" spans="1:13" ht="12.75">
      <c r="A64" s="43"/>
      <c r="C64" s="44" t="s">
        <v>28</v>
      </c>
      <c r="D64" s="44" t="s">
        <v>269</v>
      </c>
      <c r="F64" s="48">
        <v>303370</v>
      </c>
      <c r="G64" s="48"/>
      <c r="H64" s="48">
        <v>0</v>
      </c>
      <c r="I64" s="48">
        <v>303370</v>
      </c>
      <c r="J64" s="48">
        <v>0</v>
      </c>
      <c r="K64" s="48">
        <f t="shared" si="11"/>
        <v>303370</v>
      </c>
      <c r="L64" s="215" t="s">
        <v>30</v>
      </c>
      <c r="M64" s="48">
        <f t="shared" si="0"/>
        <v>303370</v>
      </c>
    </row>
    <row r="65" spans="1:13" ht="12.75">
      <c r="A65" s="43"/>
      <c r="C65" s="44" t="s">
        <v>31</v>
      </c>
      <c r="D65" s="44" t="s">
        <v>270</v>
      </c>
      <c r="F65" s="48">
        <v>0</v>
      </c>
      <c r="G65" s="48"/>
      <c r="H65" s="48">
        <v>0</v>
      </c>
      <c r="I65" s="48">
        <v>0</v>
      </c>
      <c r="J65" s="48">
        <v>0</v>
      </c>
      <c r="K65" s="48">
        <f t="shared" si="11"/>
        <v>0</v>
      </c>
      <c r="L65" s="215" t="s">
        <v>33</v>
      </c>
      <c r="M65" s="48">
        <f t="shared" si="0"/>
        <v>0</v>
      </c>
    </row>
    <row r="66" spans="1:13" ht="12.75">
      <c r="A66" s="43"/>
      <c r="C66" s="44" t="s">
        <v>34</v>
      </c>
      <c r="D66" s="44" t="s">
        <v>271</v>
      </c>
      <c r="F66" s="48">
        <v>440392</v>
      </c>
      <c r="G66" s="48"/>
      <c r="H66" s="48">
        <v>0</v>
      </c>
      <c r="I66" s="48">
        <v>175780</v>
      </c>
      <c r="J66" s="48">
        <v>264612</v>
      </c>
      <c r="K66" s="48">
        <f t="shared" si="11"/>
        <v>440392</v>
      </c>
      <c r="L66" s="215" t="s">
        <v>36</v>
      </c>
      <c r="M66" s="48">
        <f t="shared" si="0"/>
        <v>440392</v>
      </c>
    </row>
    <row r="67" spans="1:13" ht="12.75">
      <c r="A67" s="43"/>
      <c r="C67" s="44" t="s">
        <v>37</v>
      </c>
      <c r="D67" s="44" t="s">
        <v>272</v>
      </c>
      <c r="F67" s="48">
        <v>69031</v>
      </c>
      <c r="G67" s="48"/>
      <c r="H67" s="48">
        <v>0</v>
      </c>
      <c r="I67" s="48">
        <v>69031</v>
      </c>
      <c r="J67" s="48">
        <v>0</v>
      </c>
      <c r="K67" s="48">
        <f t="shared" si="11"/>
        <v>69031</v>
      </c>
      <c r="L67" s="215" t="s">
        <v>39</v>
      </c>
      <c r="M67" s="48">
        <f t="shared" si="0"/>
        <v>69031</v>
      </c>
    </row>
    <row r="68" spans="1:13" ht="12.75">
      <c r="A68" s="51"/>
      <c r="B68" s="51" t="s">
        <v>604</v>
      </c>
      <c r="C68" s="51"/>
      <c r="D68" s="51" t="s">
        <v>40</v>
      </c>
      <c r="E68" s="51"/>
      <c r="F68" s="52">
        <f aca="true" t="shared" si="12" ref="F68:K68">SUM(F62:F67)</f>
        <v>812793</v>
      </c>
      <c r="G68" s="52">
        <f t="shared" si="12"/>
        <v>0</v>
      </c>
      <c r="H68" s="52">
        <f t="shared" si="12"/>
        <v>0</v>
      </c>
      <c r="I68" s="52">
        <f t="shared" si="12"/>
        <v>548181</v>
      </c>
      <c r="J68" s="52">
        <f t="shared" si="12"/>
        <v>264612</v>
      </c>
      <c r="K68" s="52">
        <f t="shared" si="12"/>
        <v>812793</v>
      </c>
      <c r="L68" s="257" t="s">
        <v>21</v>
      </c>
      <c r="M68" s="48">
        <f t="shared" si="0"/>
        <v>812793</v>
      </c>
    </row>
    <row r="69" spans="1:13" s="168" customFormat="1" ht="12.75">
      <c r="A69" s="133" t="s">
        <v>387</v>
      </c>
      <c r="B69" s="133"/>
      <c r="C69" s="133"/>
      <c r="D69" s="133" t="s">
        <v>45</v>
      </c>
      <c r="E69" s="133"/>
      <c r="F69" s="53">
        <f aca="true" t="shared" si="13" ref="F69:K69">SUM(F54,F55,F59,F60,F68)</f>
        <v>2609288</v>
      </c>
      <c r="G69" s="53">
        <f t="shared" si="13"/>
        <v>0</v>
      </c>
      <c r="H69" s="53">
        <f t="shared" si="13"/>
        <v>107331</v>
      </c>
      <c r="I69" s="53">
        <f t="shared" si="13"/>
        <v>1706018</v>
      </c>
      <c r="J69" s="53">
        <f t="shared" si="13"/>
        <v>795939</v>
      </c>
      <c r="K69" s="53">
        <f t="shared" si="13"/>
        <v>2609288</v>
      </c>
      <c r="L69" s="258"/>
      <c r="M69" s="256">
        <f t="shared" si="0"/>
        <v>2609288</v>
      </c>
    </row>
    <row r="70" spans="1:13" ht="12.75">
      <c r="A70" s="43"/>
      <c r="F70" s="48"/>
      <c r="G70" s="48"/>
      <c r="H70" s="48"/>
      <c r="I70" s="48"/>
      <c r="J70" s="48"/>
      <c r="K70" s="48"/>
      <c r="L70" s="215"/>
      <c r="M70" s="48">
        <f t="shared" si="0"/>
        <v>0</v>
      </c>
    </row>
    <row r="71" spans="1:13" s="168" customFormat="1" ht="12.75">
      <c r="A71" s="49" t="s">
        <v>427</v>
      </c>
      <c r="B71" s="49"/>
      <c r="C71" s="49"/>
      <c r="D71" s="49" t="s">
        <v>273</v>
      </c>
      <c r="E71" s="49"/>
      <c r="F71" s="50"/>
      <c r="G71" s="50"/>
      <c r="H71" s="50"/>
      <c r="I71" s="50"/>
      <c r="J71" s="50"/>
      <c r="K71" s="50"/>
      <c r="L71" s="255"/>
      <c r="M71" s="256">
        <f t="shared" si="0"/>
        <v>0</v>
      </c>
    </row>
    <row r="72" spans="1:13" ht="12.75">
      <c r="A72" s="43"/>
      <c r="B72" s="44" t="s">
        <v>452</v>
      </c>
      <c r="D72" s="44" t="s">
        <v>274</v>
      </c>
      <c r="F72" s="48">
        <v>544584</v>
      </c>
      <c r="G72" s="48"/>
      <c r="H72" s="48">
        <v>0</v>
      </c>
      <c r="I72" s="48">
        <v>544584</v>
      </c>
      <c r="J72" s="48">
        <v>0</v>
      </c>
      <c r="K72" s="48">
        <f>F72+G72</f>
        <v>544584</v>
      </c>
      <c r="L72" s="215" t="s">
        <v>39</v>
      </c>
      <c r="M72" s="48">
        <f t="shared" si="0"/>
        <v>544584</v>
      </c>
    </row>
    <row r="73" spans="1:13" ht="12.75">
      <c r="A73" s="43"/>
      <c r="B73" s="44" t="s">
        <v>455</v>
      </c>
      <c r="D73" s="44" t="s">
        <v>275</v>
      </c>
      <c r="F73" s="48">
        <v>762283</v>
      </c>
      <c r="G73" s="48"/>
      <c r="H73" s="48">
        <v>0</v>
      </c>
      <c r="I73" s="48">
        <v>39058</v>
      </c>
      <c r="J73" s="48">
        <v>723225</v>
      </c>
      <c r="K73" s="48">
        <f>F73+G73</f>
        <v>762283</v>
      </c>
      <c r="L73" s="215" t="s">
        <v>50</v>
      </c>
      <c r="M73" s="48">
        <f t="shared" si="0"/>
        <v>762283</v>
      </c>
    </row>
    <row r="74" spans="1:13" ht="12.75">
      <c r="A74" s="43"/>
      <c r="B74" s="44" t="s">
        <v>458</v>
      </c>
      <c r="D74" s="44" t="s">
        <v>276</v>
      </c>
      <c r="F74" s="48">
        <v>673042</v>
      </c>
      <c r="G74" s="48"/>
      <c r="H74" s="48">
        <v>0</v>
      </c>
      <c r="I74" s="48">
        <v>72162</v>
      </c>
      <c r="J74" s="48">
        <v>600880</v>
      </c>
      <c r="K74" s="48">
        <f>F74+G74</f>
        <v>673042</v>
      </c>
      <c r="L74" s="215" t="s">
        <v>57</v>
      </c>
      <c r="M74" s="48">
        <f t="shared" si="0"/>
        <v>673042</v>
      </c>
    </row>
    <row r="75" spans="1:13" ht="12.75">
      <c r="A75" s="43"/>
      <c r="B75" s="44" t="s">
        <v>461</v>
      </c>
      <c r="D75" s="44" t="s">
        <v>277</v>
      </c>
      <c r="F75" s="48">
        <v>270722</v>
      </c>
      <c r="G75" s="48"/>
      <c r="H75" s="48">
        <v>0</v>
      </c>
      <c r="I75" s="48">
        <v>4</v>
      </c>
      <c r="J75" s="48">
        <v>270718</v>
      </c>
      <c r="K75" s="48">
        <f>F75+G75</f>
        <v>270722</v>
      </c>
      <c r="L75" s="215" t="s">
        <v>69</v>
      </c>
      <c r="M75" s="48">
        <f t="shared" si="0"/>
        <v>270722</v>
      </c>
    </row>
    <row r="76" spans="1:13" s="168" customFormat="1" ht="12.75">
      <c r="A76" s="49" t="s">
        <v>427</v>
      </c>
      <c r="B76" s="49"/>
      <c r="C76" s="49"/>
      <c r="D76" s="49" t="s">
        <v>278</v>
      </c>
      <c r="E76" s="49"/>
      <c r="F76" s="50">
        <f aca="true" t="shared" si="14" ref="F76:K76">SUM(F72:F75)</f>
        <v>2250631</v>
      </c>
      <c r="G76" s="50">
        <f t="shared" si="14"/>
        <v>0</v>
      </c>
      <c r="H76" s="50">
        <f t="shared" si="14"/>
        <v>0</v>
      </c>
      <c r="I76" s="50">
        <f t="shared" si="14"/>
        <v>655808</v>
      </c>
      <c r="J76" s="50">
        <f t="shared" si="14"/>
        <v>1594823</v>
      </c>
      <c r="K76" s="50">
        <f t="shared" si="14"/>
        <v>2250631</v>
      </c>
      <c r="L76" s="255"/>
      <c r="M76" s="256">
        <f t="shared" si="0"/>
        <v>2250631</v>
      </c>
    </row>
    <row r="77" spans="1:13" ht="12.75">
      <c r="A77" s="43"/>
      <c r="F77" s="48"/>
      <c r="G77" s="48"/>
      <c r="H77" s="48"/>
      <c r="I77" s="48"/>
      <c r="J77" s="48"/>
      <c r="K77" s="48"/>
      <c r="L77" s="215"/>
      <c r="M77" s="48">
        <f t="shared" si="0"/>
        <v>0</v>
      </c>
    </row>
    <row r="78" spans="1:13" s="168" customFormat="1" ht="12.75">
      <c r="A78" s="49" t="s">
        <v>430</v>
      </c>
      <c r="B78" s="49"/>
      <c r="C78" s="49"/>
      <c r="D78" s="49" t="s">
        <v>279</v>
      </c>
      <c r="E78" s="49"/>
      <c r="F78" s="50"/>
      <c r="G78" s="50"/>
      <c r="H78" s="50"/>
      <c r="I78" s="50"/>
      <c r="J78" s="50"/>
      <c r="K78" s="50"/>
      <c r="L78" s="255" t="s">
        <v>81</v>
      </c>
      <c r="M78" s="256">
        <f t="shared" si="0"/>
        <v>0</v>
      </c>
    </row>
    <row r="79" spans="1:13" ht="12.75">
      <c r="A79" s="43"/>
      <c r="B79" s="44" t="s">
        <v>465</v>
      </c>
      <c r="D79" s="44" t="s">
        <v>280</v>
      </c>
      <c r="F79" s="48">
        <v>44902</v>
      </c>
      <c r="G79" s="48"/>
      <c r="H79" s="48">
        <v>0</v>
      </c>
      <c r="I79" s="48">
        <v>44902</v>
      </c>
      <c r="J79" s="48">
        <v>0</v>
      </c>
      <c r="K79" s="48">
        <f>F79+G79</f>
        <v>44902</v>
      </c>
      <c r="L79" s="215" t="s">
        <v>81</v>
      </c>
      <c r="M79" s="48">
        <f t="shared" si="0"/>
        <v>44902</v>
      </c>
    </row>
    <row r="80" spans="1:12" ht="12.75">
      <c r="A80" s="43"/>
      <c r="B80" s="44" t="s">
        <v>467</v>
      </c>
      <c r="D80" s="44" t="s">
        <v>281</v>
      </c>
      <c r="F80" s="48">
        <v>24743</v>
      </c>
      <c r="G80" s="48"/>
      <c r="H80" s="48">
        <v>0</v>
      </c>
      <c r="I80" s="48">
        <v>24743</v>
      </c>
      <c r="J80" s="48">
        <v>0</v>
      </c>
      <c r="K80" s="48">
        <f>F80+G80</f>
        <v>24743</v>
      </c>
      <c r="L80" s="215" t="s">
        <v>81</v>
      </c>
    </row>
    <row r="81" spans="1:13" s="168" customFormat="1" ht="12.75">
      <c r="A81" s="49" t="s">
        <v>430</v>
      </c>
      <c r="B81" s="49"/>
      <c r="C81" s="49"/>
      <c r="D81" s="49" t="s">
        <v>282</v>
      </c>
      <c r="E81" s="49"/>
      <c r="F81" s="50">
        <f aca="true" t="shared" si="15" ref="F81:K81">SUM(F79:F80)</f>
        <v>69645</v>
      </c>
      <c r="G81" s="50">
        <f t="shared" si="15"/>
        <v>0</v>
      </c>
      <c r="H81" s="50">
        <f t="shared" si="15"/>
        <v>0</v>
      </c>
      <c r="I81" s="50">
        <f t="shared" si="15"/>
        <v>69645</v>
      </c>
      <c r="J81" s="50">
        <f t="shared" si="15"/>
        <v>0</v>
      </c>
      <c r="K81" s="50">
        <f t="shared" si="15"/>
        <v>69645</v>
      </c>
      <c r="L81" s="255" t="s">
        <v>81</v>
      </c>
      <c r="M81" s="256">
        <f aca="true" t="shared" si="16" ref="M81:M88">SUM(H81:J81)</f>
        <v>69645</v>
      </c>
    </row>
    <row r="82" spans="1:13" ht="12.75">
      <c r="A82" s="43"/>
      <c r="F82" s="48"/>
      <c r="G82" s="48"/>
      <c r="H82" s="48"/>
      <c r="I82" s="48"/>
      <c r="J82" s="48"/>
      <c r="K82" s="48"/>
      <c r="L82" s="215"/>
      <c r="M82" s="48">
        <f t="shared" si="16"/>
        <v>0</v>
      </c>
    </row>
    <row r="83" spans="1:13" s="168" customFormat="1" ht="12.75">
      <c r="A83" s="49"/>
      <c r="B83" s="49" t="s">
        <v>133</v>
      </c>
      <c r="C83" s="49"/>
      <c r="D83" s="49"/>
      <c r="E83" s="49"/>
      <c r="F83" s="50">
        <f aca="true" t="shared" si="17" ref="F83:K83">SUM(F81,F69,F76)</f>
        <v>4929564</v>
      </c>
      <c r="G83" s="50">
        <f t="shared" si="17"/>
        <v>0</v>
      </c>
      <c r="H83" s="50">
        <f t="shared" si="17"/>
        <v>107331</v>
      </c>
      <c r="I83" s="50">
        <f t="shared" si="17"/>
        <v>2431471</v>
      </c>
      <c r="J83" s="50">
        <f t="shared" si="17"/>
        <v>2390762</v>
      </c>
      <c r="K83" s="50">
        <f t="shared" si="17"/>
        <v>4929564</v>
      </c>
      <c r="L83" s="255"/>
      <c r="M83" s="256">
        <f t="shared" si="16"/>
        <v>4929564</v>
      </c>
    </row>
    <row r="84" spans="1:13" ht="12.75">
      <c r="A84" s="43"/>
      <c r="F84" s="48"/>
      <c r="G84" s="48"/>
      <c r="H84" s="48"/>
      <c r="I84" s="48"/>
      <c r="J84" s="48"/>
      <c r="K84" s="48"/>
      <c r="L84" s="215"/>
      <c r="M84" s="48">
        <f t="shared" si="16"/>
        <v>0</v>
      </c>
    </row>
    <row r="85" spans="1:13" ht="12.75">
      <c r="A85" s="43"/>
      <c r="F85" s="48"/>
      <c r="G85" s="48"/>
      <c r="H85" s="48"/>
      <c r="I85" s="48"/>
      <c r="J85" s="48"/>
      <c r="K85" s="48"/>
      <c r="L85" s="215"/>
      <c r="M85" s="48">
        <f t="shared" si="16"/>
        <v>0</v>
      </c>
    </row>
    <row r="86" spans="1:13" s="168" customFormat="1" ht="12.75">
      <c r="A86" s="49"/>
      <c r="B86" s="49" t="s">
        <v>546</v>
      </c>
      <c r="C86" s="49"/>
      <c r="D86" s="49"/>
      <c r="E86" s="49"/>
      <c r="F86" s="50">
        <f aca="true" t="shared" si="18" ref="F86:K86">SUM(F48)</f>
        <v>4929564</v>
      </c>
      <c r="G86" s="50">
        <f t="shared" si="18"/>
        <v>0</v>
      </c>
      <c r="H86" s="50">
        <f t="shared" si="18"/>
        <v>0</v>
      </c>
      <c r="I86" s="50">
        <f t="shared" si="18"/>
        <v>4499254</v>
      </c>
      <c r="J86" s="50">
        <f t="shared" si="18"/>
        <v>430310</v>
      </c>
      <c r="K86" s="50">
        <f t="shared" si="18"/>
        <v>4929564</v>
      </c>
      <c r="L86" s="255"/>
      <c r="M86" s="256">
        <f t="shared" si="16"/>
        <v>4929564</v>
      </c>
    </row>
    <row r="87" spans="1:13" s="168" customFormat="1" ht="12.75">
      <c r="A87" s="49"/>
      <c r="B87" s="49" t="s">
        <v>84</v>
      </c>
      <c r="C87" s="49"/>
      <c r="D87" s="49"/>
      <c r="E87" s="49"/>
      <c r="F87" s="50">
        <f aca="true" t="shared" si="19" ref="F87:K87">SUM(F83)</f>
        <v>4929564</v>
      </c>
      <c r="G87" s="50">
        <f t="shared" si="19"/>
        <v>0</v>
      </c>
      <c r="H87" s="50">
        <f t="shared" si="19"/>
        <v>107331</v>
      </c>
      <c r="I87" s="50">
        <f t="shared" si="19"/>
        <v>2431471</v>
      </c>
      <c r="J87" s="50">
        <f t="shared" si="19"/>
        <v>2390762</v>
      </c>
      <c r="K87" s="50">
        <f t="shared" si="19"/>
        <v>4929564</v>
      </c>
      <c r="L87" s="255"/>
      <c r="M87" s="256">
        <f t="shared" si="16"/>
        <v>4929564</v>
      </c>
    </row>
    <row r="88" spans="1:13" ht="12.75">
      <c r="A88" s="43"/>
      <c r="L88" s="215"/>
      <c r="M88" s="48">
        <f t="shared" si="16"/>
        <v>0</v>
      </c>
    </row>
  </sheetData>
  <sheetProtection/>
  <mergeCells count="4">
    <mergeCell ref="A8:E8"/>
    <mergeCell ref="A4:L4"/>
    <mergeCell ref="J7:L7"/>
    <mergeCell ref="H2:L2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view="pageBreakPreview" zoomScale="75" zoomScaleSheetLayoutView="75" zoomScalePageLayoutView="0" workbookViewId="0" topLeftCell="A1">
      <selection activeCell="E1" sqref="E1:J1"/>
    </sheetView>
  </sheetViews>
  <sheetFormatPr defaultColWidth="9.140625" defaultRowHeight="12.75"/>
  <cols>
    <col min="1" max="1" width="5.7109375" style="44" customWidth="1"/>
    <col min="2" max="2" width="4.57421875" style="44" customWidth="1"/>
    <col min="3" max="3" width="7.57421875" style="44" customWidth="1"/>
    <col min="4" max="4" width="8.421875" style="44" customWidth="1"/>
    <col min="5" max="5" width="55.7109375" style="44" customWidth="1"/>
    <col min="6" max="7" width="10.421875" style="44" bestFit="1" customWidth="1"/>
    <col min="8" max="9" width="10.421875" style="44" customWidth="1"/>
    <col min="10" max="10" width="9.140625" style="218" customWidth="1"/>
    <col min="11" max="16384" width="9.140625" style="44" customWidth="1"/>
  </cols>
  <sheetData>
    <row r="1" spans="1:10" ht="12.75">
      <c r="A1" s="43"/>
      <c r="E1" s="366" t="s">
        <v>932</v>
      </c>
      <c r="F1" s="366"/>
      <c r="G1" s="366"/>
      <c r="H1" s="366"/>
      <c r="I1" s="366"/>
      <c r="J1" s="366"/>
    </row>
    <row r="2" spans="1:10" ht="12.75">
      <c r="A2" s="43"/>
      <c r="J2" s="215"/>
    </row>
    <row r="3" spans="1:10" ht="12.75">
      <c r="A3" s="418" t="s">
        <v>919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0" ht="12.75">
      <c r="A4" s="43"/>
      <c r="J4" s="215"/>
    </row>
    <row r="5" spans="1:10" ht="12.75">
      <c r="A5" s="43"/>
      <c r="J5" s="215"/>
    </row>
    <row r="6" spans="1:10" ht="12.75">
      <c r="A6" s="43"/>
      <c r="F6" s="419" t="s">
        <v>352</v>
      </c>
      <c r="G6" s="419"/>
      <c r="H6" s="419"/>
      <c r="I6" s="419"/>
      <c r="J6" s="419"/>
    </row>
    <row r="7" spans="1:10" s="167" customFormat="1" ht="12.75">
      <c r="A7" s="420" t="s">
        <v>380</v>
      </c>
      <c r="B7" s="417"/>
      <c r="C7" s="417"/>
      <c r="D7" s="417"/>
      <c r="E7" s="417"/>
      <c r="F7" s="417"/>
      <c r="G7" s="417"/>
      <c r="H7" s="45"/>
      <c r="I7" s="45"/>
      <c r="J7" s="45" t="s">
        <v>386</v>
      </c>
    </row>
    <row r="8" spans="1:10" ht="12.75">
      <c r="A8" s="43"/>
      <c r="B8" s="46" t="s">
        <v>252</v>
      </c>
      <c r="J8" s="252"/>
    </row>
    <row r="9" spans="1:10" s="167" customFormat="1" ht="12.75">
      <c r="A9" s="47"/>
      <c r="B9" s="47"/>
      <c r="C9" s="47"/>
      <c r="D9" s="47"/>
      <c r="E9" s="47"/>
      <c r="F9" s="132" t="s">
        <v>808</v>
      </c>
      <c r="G9" s="47" t="s">
        <v>145</v>
      </c>
      <c r="H9" s="47" t="s">
        <v>146</v>
      </c>
      <c r="I9" s="47" t="s">
        <v>147</v>
      </c>
      <c r="J9" s="47" t="s">
        <v>368</v>
      </c>
    </row>
    <row r="10" spans="1:10" ht="12.75">
      <c r="A10" s="43"/>
      <c r="J10" s="215"/>
    </row>
    <row r="11" spans="1:10" ht="12.75">
      <c r="A11" s="43" t="s">
        <v>389</v>
      </c>
      <c r="C11" s="44" t="s">
        <v>390</v>
      </c>
      <c r="J11" s="215" t="s">
        <v>391</v>
      </c>
    </row>
    <row r="12" spans="1:10" ht="12.75">
      <c r="A12" s="43"/>
      <c r="B12" s="44" t="s">
        <v>387</v>
      </c>
      <c r="C12" s="44" t="s">
        <v>253</v>
      </c>
      <c r="F12" s="48">
        <v>622576</v>
      </c>
      <c r="G12" s="48">
        <v>618576</v>
      </c>
      <c r="H12" s="48">
        <v>618576</v>
      </c>
      <c r="I12" s="48">
        <v>618576</v>
      </c>
      <c r="J12" s="215" t="s">
        <v>393</v>
      </c>
    </row>
    <row r="13" spans="1:10" ht="12.75">
      <c r="A13" s="43"/>
      <c r="B13" s="44" t="s">
        <v>427</v>
      </c>
      <c r="C13" s="44" t="s">
        <v>283</v>
      </c>
      <c r="F13" s="48">
        <v>0</v>
      </c>
      <c r="G13" s="48">
        <v>0</v>
      </c>
      <c r="H13" s="48">
        <v>0</v>
      </c>
      <c r="I13" s="48">
        <v>0</v>
      </c>
      <c r="J13" s="215" t="s">
        <v>429</v>
      </c>
    </row>
    <row r="14" spans="1:10" ht="12.75">
      <c r="A14" s="43"/>
      <c r="B14" s="44" t="s">
        <v>430</v>
      </c>
      <c r="C14" s="44" t="s">
        <v>255</v>
      </c>
      <c r="F14" s="48">
        <v>186019</v>
      </c>
      <c r="G14" s="48">
        <v>10985</v>
      </c>
      <c r="H14" s="48">
        <v>10985</v>
      </c>
      <c r="I14" s="48">
        <v>10985</v>
      </c>
      <c r="J14" s="215" t="s">
        <v>432</v>
      </c>
    </row>
    <row r="15" spans="1:10" s="168" customFormat="1" ht="12.75">
      <c r="A15" s="49" t="s">
        <v>389</v>
      </c>
      <c r="B15" s="49"/>
      <c r="C15" s="49" t="s">
        <v>522</v>
      </c>
      <c r="D15" s="49"/>
      <c r="E15" s="49"/>
      <c r="F15" s="50">
        <f>SUM(F12:F14)</f>
        <v>808595</v>
      </c>
      <c r="G15" s="50">
        <f>SUM(G12:G14)</f>
        <v>629561</v>
      </c>
      <c r="H15" s="50">
        <f>SUM(H12:H14)</f>
        <v>629561</v>
      </c>
      <c r="I15" s="50">
        <f>SUM(I12:I14)</f>
        <v>629561</v>
      </c>
      <c r="J15" s="255" t="s">
        <v>391</v>
      </c>
    </row>
    <row r="16" spans="1:10" ht="12.75">
      <c r="A16" s="43" t="s">
        <v>434</v>
      </c>
      <c r="C16" s="44" t="s">
        <v>435</v>
      </c>
      <c r="F16" s="48"/>
      <c r="G16" s="48"/>
      <c r="H16" s="48"/>
      <c r="I16" s="48"/>
      <c r="J16" s="215" t="s">
        <v>256</v>
      </c>
    </row>
    <row r="17" spans="1:10" ht="12.75">
      <c r="A17" s="43"/>
      <c r="B17" s="44" t="s">
        <v>387</v>
      </c>
      <c r="D17" s="44" t="s">
        <v>284</v>
      </c>
      <c r="F17" s="48">
        <v>0</v>
      </c>
      <c r="G17" s="48">
        <v>0</v>
      </c>
      <c r="H17" s="48">
        <v>0</v>
      </c>
      <c r="I17" s="48">
        <v>0</v>
      </c>
      <c r="J17" s="215" t="s">
        <v>438</v>
      </c>
    </row>
    <row r="18" spans="1:10" ht="12.75">
      <c r="A18" s="43"/>
      <c r="B18" s="44" t="s">
        <v>427</v>
      </c>
      <c r="D18" s="44" t="s">
        <v>285</v>
      </c>
      <c r="F18" s="48">
        <v>0</v>
      </c>
      <c r="G18" s="48">
        <v>0</v>
      </c>
      <c r="H18" s="48">
        <v>0</v>
      </c>
      <c r="I18" s="48">
        <v>0</v>
      </c>
      <c r="J18" s="215" t="s">
        <v>440</v>
      </c>
    </row>
    <row r="19" spans="1:10" ht="12.75">
      <c r="A19" s="43"/>
      <c r="B19" s="44" t="s">
        <v>430</v>
      </c>
      <c r="D19" s="44" t="s">
        <v>441</v>
      </c>
      <c r="F19" s="48">
        <v>176942</v>
      </c>
      <c r="G19" s="48">
        <v>0</v>
      </c>
      <c r="H19" s="48">
        <v>0</v>
      </c>
      <c r="I19" s="48">
        <v>0</v>
      </c>
      <c r="J19" s="215" t="s">
        <v>442</v>
      </c>
    </row>
    <row r="20" spans="1:10" s="168" customFormat="1" ht="12.75">
      <c r="A20" s="49" t="s">
        <v>434</v>
      </c>
      <c r="B20" s="49"/>
      <c r="C20" s="49" t="s">
        <v>523</v>
      </c>
      <c r="D20" s="49"/>
      <c r="E20" s="49"/>
      <c r="F20" s="50">
        <f>SUM(F16:F19)</f>
        <v>176942</v>
      </c>
      <c r="G20" s="50">
        <f>SUM(G17:G19)</f>
        <v>0</v>
      </c>
      <c r="H20" s="50">
        <f>SUM(H17:H19)</f>
        <v>0</v>
      </c>
      <c r="I20" s="50">
        <f>SUM(I17:I19)</f>
        <v>0</v>
      </c>
      <c r="J20" s="255" t="s">
        <v>436</v>
      </c>
    </row>
    <row r="21" spans="1:10" ht="12.75">
      <c r="A21" s="43" t="s">
        <v>444</v>
      </c>
      <c r="C21" s="44" t="s">
        <v>445</v>
      </c>
      <c r="F21" s="48"/>
      <c r="G21" s="48"/>
      <c r="H21" s="48"/>
      <c r="I21" s="48"/>
      <c r="J21" s="215" t="s">
        <v>446</v>
      </c>
    </row>
    <row r="22" spans="1:10" ht="12.75">
      <c r="A22" s="43"/>
      <c r="B22" s="44" t="s">
        <v>387</v>
      </c>
      <c r="D22" s="44" t="s">
        <v>447</v>
      </c>
      <c r="F22" s="48">
        <v>130000</v>
      </c>
      <c r="G22" s="48">
        <v>130000</v>
      </c>
      <c r="H22" s="48">
        <v>130000</v>
      </c>
      <c r="I22" s="48">
        <v>130000</v>
      </c>
      <c r="J22" s="215" t="s">
        <v>448</v>
      </c>
    </row>
    <row r="23" spans="1:10" ht="12.75">
      <c r="A23" s="43"/>
      <c r="B23" s="44" t="s">
        <v>427</v>
      </c>
      <c r="D23" s="44" t="s">
        <v>450</v>
      </c>
      <c r="F23" s="48">
        <v>674000</v>
      </c>
      <c r="G23" s="48">
        <v>674000</v>
      </c>
      <c r="H23" s="48">
        <v>674000</v>
      </c>
      <c r="I23" s="48">
        <v>674000</v>
      </c>
      <c r="J23" s="215" t="s">
        <v>451</v>
      </c>
    </row>
    <row r="24" spans="1:10" ht="12.75">
      <c r="A24" s="43"/>
      <c r="B24" s="44" t="s">
        <v>430</v>
      </c>
      <c r="D24" s="44" t="s">
        <v>463</v>
      </c>
      <c r="F24" s="48">
        <v>5150</v>
      </c>
      <c r="G24" s="48">
        <v>5100</v>
      </c>
      <c r="H24" s="48">
        <v>5100</v>
      </c>
      <c r="I24" s="48">
        <v>5100</v>
      </c>
      <c r="J24" s="215" t="s">
        <v>464</v>
      </c>
    </row>
    <row r="25" spans="1:10" s="168" customFormat="1" ht="12.75">
      <c r="A25" s="49" t="s">
        <v>444</v>
      </c>
      <c r="B25" s="49"/>
      <c r="C25" s="49" t="s">
        <v>472</v>
      </c>
      <c r="D25" s="49"/>
      <c r="E25" s="49"/>
      <c r="F25" s="50">
        <f>SUM(F22:F24)</f>
        <v>809150</v>
      </c>
      <c r="G25" s="50">
        <f>SUM(G22:G24)</f>
        <v>809100</v>
      </c>
      <c r="H25" s="50">
        <f>SUM(H22:H24)</f>
        <v>809100</v>
      </c>
      <c r="I25" s="50">
        <f>SUM(I22:I24)</f>
        <v>809100</v>
      </c>
      <c r="J25" s="255" t="s">
        <v>446</v>
      </c>
    </row>
    <row r="26" spans="1:10" ht="12.75">
      <c r="A26" s="43" t="s">
        <v>473</v>
      </c>
      <c r="C26" s="44" t="s">
        <v>474</v>
      </c>
      <c r="F26" s="48"/>
      <c r="G26" s="48"/>
      <c r="H26" s="48"/>
      <c r="I26" s="48"/>
      <c r="J26" s="215" t="s">
        <v>475</v>
      </c>
    </row>
    <row r="27" spans="1:10" ht="12.75">
      <c r="A27" s="43"/>
      <c r="B27" s="44" t="s">
        <v>387</v>
      </c>
      <c r="D27" s="44" t="s">
        <v>476</v>
      </c>
      <c r="F27" s="48">
        <v>256798</v>
      </c>
      <c r="G27" s="48">
        <v>269638</v>
      </c>
      <c r="H27" s="48">
        <v>283120</v>
      </c>
      <c r="I27" s="48">
        <v>297276</v>
      </c>
      <c r="J27" s="215" t="s">
        <v>475</v>
      </c>
    </row>
    <row r="28" spans="1:10" ht="12.75">
      <c r="A28" s="43"/>
      <c r="B28" s="44" t="s">
        <v>427</v>
      </c>
      <c r="D28" s="44" t="s">
        <v>477</v>
      </c>
      <c r="F28" s="48">
        <v>0</v>
      </c>
      <c r="G28" s="48">
        <v>0</v>
      </c>
      <c r="H28" s="48">
        <v>0</v>
      </c>
      <c r="I28" s="48">
        <v>0</v>
      </c>
      <c r="J28" s="215" t="s">
        <v>475</v>
      </c>
    </row>
    <row r="29" spans="1:10" ht="12.75">
      <c r="A29" s="43"/>
      <c r="B29" s="44" t="s">
        <v>430</v>
      </c>
      <c r="D29" s="44" t="s">
        <v>478</v>
      </c>
      <c r="F29" s="48">
        <v>105702</v>
      </c>
      <c r="G29" s="48">
        <v>106972</v>
      </c>
      <c r="H29" s="48">
        <v>106972</v>
      </c>
      <c r="I29" s="48">
        <v>106972</v>
      </c>
      <c r="J29" s="215" t="s">
        <v>479</v>
      </c>
    </row>
    <row r="30" spans="1:10" s="168" customFormat="1" ht="12.75">
      <c r="A30" s="49" t="s">
        <v>473</v>
      </c>
      <c r="B30" s="49"/>
      <c r="C30" s="49" t="s">
        <v>480</v>
      </c>
      <c r="D30" s="49"/>
      <c r="E30" s="49"/>
      <c r="F30" s="50">
        <f>SUM(F27:F29)</f>
        <v>362500</v>
      </c>
      <c r="G30" s="50">
        <f>SUM(G27:G29)</f>
        <v>376610</v>
      </c>
      <c r="H30" s="50">
        <f>SUM(H27:H29)</f>
        <v>390092</v>
      </c>
      <c r="I30" s="50">
        <f>SUM(I27:I29)</f>
        <v>404248</v>
      </c>
      <c r="J30" s="255" t="s">
        <v>475</v>
      </c>
    </row>
    <row r="31" spans="1:10" ht="12.75">
      <c r="A31" s="43" t="s">
        <v>481</v>
      </c>
      <c r="C31" s="44" t="s">
        <v>482</v>
      </c>
      <c r="F31" s="48"/>
      <c r="G31" s="48"/>
      <c r="H31" s="48"/>
      <c r="I31" s="48"/>
      <c r="J31" s="215" t="s">
        <v>483</v>
      </c>
    </row>
    <row r="32" spans="1:10" ht="12.75">
      <c r="A32" s="43"/>
      <c r="B32" s="44" t="s">
        <v>387</v>
      </c>
      <c r="D32" s="44" t="s">
        <v>484</v>
      </c>
      <c r="F32" s="48">
        <v>84618</v>
      </c>
      <c r="G32" s="48">
        <v>50000</v>
      </c>
      <c r="H32" s="48">
        <v>50000</v>
      </c>
      <c r="I32" s="48">
        <v>50000</v>
      </c>
      <c r="J32" s="215" t="s">
        <v>485</v>
      </c>
    </row>
    <row r="33" spans="1:10" ht="12.75">
      <c r="A33" s="43"/>
      <c r="B33" s="44" t="s">
        <v>427</v>
      </c>
      <c r="D33" s="44" t="s">
        <v>486</v>
      </c>
      <c r="F33" s="48">
        <v>0</v>
      </c>
      <c r="G33" s="48">
        <v>0</v>
      </c>
      <c r="H33" s="48">
        <v>0</v>
      </c>
      <c r="I33" s="48">
        <v>0</v>
      </c>
      <c r="J33" s="215" t="s">
        <v>487</v>
      </c>
    </row>
    <row r="34" spans="1:10" s="168" customFormat="1" ht="12.75">
      <c r="A34" s="49" t="s">
        <v>481</v>
      </c>
      <c r="B34" s="49"/>
      <c r="C34" s="49" t="s">
        <v>488</v>
      </c>
      <c r="D34" s="49"/>
      <c r="E34" s="49"/>
      <c r="F34" s="50">
        <f>SUM(F32:F33)</f>
        <v>84618</v>
      </c>
      <c r="G34" s="50">
        <f>SUM(G32:G33)</f>
        <v>50000</v>
      </c>
      <c r="H34" s="50">
        <f>SUM(H32:H33)</f>
        <v>50000</v>
      </c>
      <c r="I34" s="50">
        <f>SUM(I32:I33)</f>
        <v>50000</v>
      </c>
      <c r="J34" s="255" t="s">
        <v>483</v>
      </c>
    </row>
    <row r="35" spans="1:10" ht="12.75">
      <c r="A35" s="43" t="s">
        <v>489</v>
      </c>
      <c r="C35" s="44" t="s">
        <v>490</v>
      </c>
      <c r="F35" s="48"/>
      <c r="G35" s="48"/>
      <c r="H35" s="48"/>
      <c r="I35" s="48"/>
      <c r="J35" s="215"/>
    </row>
    <row r="36" spans="1:10" ht="12.75">
      <c r="A36" s="43"/>
      <c r="B36" s="44" t="s">
        <v>387</v>
      </c>
      <c r="D36" s="44" t="s">
        <v>583</v>
      </c>
      <c r="F36" s="48">
        <v>0</v>
      </c>
      <c r="G36" s="48">
        <v>0</v>
      </c>
      <c r="H36" s="48">
        <v>0</v>
      </c>
      <c r="I36" s="48">
        <v>0</v>
      </c>
      <c r="J36" s="215" t="s">
        <v>492</v>
      </c>
    </row>
    <row r="37" spans="1:10" ht="12.75">
      <c r="A37" s="43"/>
      <c r="B37" s="44" t="s">
        <v>427</v>
      </c>
      <c r="D37" s="44" t="s">
        <v>493</v>
      </c>
      <c r="F37" s="48">
        <v>0</v>
      </c>
      <c r="G37" s="48">
        <v>0</v>
      </c>
      <c r="H37" s="48">
        <v>0</v>
      </c>
      <c r="I37" s="48">
        <v>0</v>
      </c>
      <c r="J37" s="215" t="s">
        <v>494</v>
      </c>
    </row>
    <row r="38" spans="1:10" s="168" customFormat="1" ht="12.75">
      <c r="A38" s="49" t="s">
        <v>489</v>
      </c>
      <c r="B38" s="49"/>
      <c r="C38" s="49" t="s">
        <v>495</v>
      </c>
      <c r="D38" s="49"/>
      <c r="E38" s="49"/>
      <c r="F38" s="50">
        <f>SUM(F36:F37)</f>
        <v>0</v>
      </c>
      <c r="G38" s="50">
        <f>SUM(G36:G37)</f>
        <v>0</v>
      </c>
      <c r="H38" s="50">
        <f>SUM(H36:H37)</f>
        <v>0</v>
      </c>
      <c r="I38" s="50">
        <f>SUM(I36:I37)</f>
        <v>0</v>
      </c>
      <c r="J38" s="255" t="s">
        <v>491</v>
      </c>
    </row>
    <row r="39" spans="1:10" ht="12.75">
      <c r="A39" s="43" t="s">
        <v>496</v>
      </c>
      <c r="C39" s="44" t="s">
        <v>497</v>
      </c>
      <c r="F39" s="48"/>
      <c r="G39" s="48"/>
      <c r="H39" s="48"/>
      <c r="I39" s="48"/>
      <c r="J39" s="215" t="s">
        <v>500</v>
      </c>
    </row>
    <row r="40" spans="1:10" ht="12.75">
      <c r="A40" s="43"/>
      <c r="B40" s="44" t="s">
        <v>387</v>
      </c>
      <c r="D40" s="44" t="s">
        <v>259</v>
      </c>
      <c r="F40" s="48">
        <v>700</v>
      </c>
      <c r="G40" s="48">
        <v>600</v>
      </c>
      <c r="H40" s="48">
        <v>600</v>
      </c>
      <c r="I40" s="48">
        <v>500</v>
      </c>
      <c r="J40" s="215" t="s">
        <v>500</v>
      </c>
    </row>
    <row r="41" spans="1:10" ht="12.75">
      <c r="A41" s="43"/>
      <c r="B41" s="44" t="s">
        <v>427</v>
      </c>
      <c r="D41" s="44" t="s">
        <v>503</v>
      </c>
      <c r="F41" s="48">
        <v>170</v>
      </c>
      <c r="G41" s="48">
        <v>160</v>
      </c>
      <c r="H41" s="48">
        <v>160</v>
      </c>
      <c r="I41" s="48">
        <v>150</v>
      </c>
      <c r="J41" s="215" t="s">
        <v>504</v>
      </c>
    </row>
    <row r="42" spans="1:10" s="168" customFormat="1" ht="12.75">
      <c r="A42" s="49" t="s">
        <v>496</v>
      </c>
      <c r="B42" s="49"/>
      <c r="C42" s="49" t="s">
        <v>506</v>
      </c>
      <c r="D42" s="49"/>
      <c r="E42" s="49"/>
      <c r="F42" s="50">
        <f>SUM(F40:F41)</f>
        <v>870</v>
      </c>
      <c r="G42" s="50">
        <f>SUM(G40:G41)</f>
        <v>760</v>
      </c>
      <c r="H42" s="50">
        <f>SUM(H40:H41)</f>
        <v>760</v>
      </c>
      <c r="I42" s="50">
        <f>SUM(I40:I41)</f>
        <v>650</v>
      </c>
      <c r="J42" s="255" t="s">
        <v>498</v>
      </c>
    </row>
    <row r="43" spans="1:10" ht="12.75">
      <c r="A43" s="43" t="s">
        <v>528</v>
      </c>
      <c r="C43" s="44" t="s">
        <v>529</v>
      </c>
      <c r="F43" s="48"/>
      <c r="G43" s="48"/>
      <c r="H43" s="48"/>
      <c r="I43" s="48"/>
      <c r="J43" s="215" t="s">
        <v>530</v>
      </c>
    </row>
    <row r="44" spans="1:10" ht="12.75">
      <c r="A44" s="43"/>
      <c r="B44" s="44" t="s">
        <v>387</v>
      </c>
      <c r="D44" s="44" t="s">
        <v>531</v>
      </c>
      <c r="F44" s="48">
        <v>0</v>
      </c>
      <c r="G44" s="48">
        <v>0</v>
      </c>
      <c r="H44" s="48">
        <v>0</v>
      </c>
      <c r="I44" s="48">
        <v>0</v>
      </c>
      <c r="J44" s="215"/>
    </row>
    <row r="45" spans="1:10" ht="12.75">
      <c r="A45" s="43"/>
      <c r="B45" s="44" t="s">
        <v>427</v>
      </c>
      <c r="D45" s="44" t="s">
        <v>539</v>
      </c>
      <c r="F45" s="48">
        <v>2686889</v>
      </c>
      <c r="G45" s="48">
        <v>278513</v>
      </c>
      <c r="H45" s="48">
        <v>265031</v>
      </c>
      <c r="I45" s="48">
        <v>248083</v>
      </c>
      <c r="J45" s="215"/>
    </row>
    <row r="46" spans="1:10" s="168" customFormat="1" ht="12.75">
      <c r="A46" s="49" t="s">
        <v>528</v>
      </c>
      <c r="B46" s="49"/>
      <c r="C46" s="49" t="s">
        <v>260</v>
      </c>
      <c r="D46" s="49"/>
      <c r="E46" s="49"/>
      <c r="F46" s="50">
        <f>SUM(F44:F45)</f>
        <v>2686889</v>
      </c>
      <c r="G46" s="50">
        <f>SUM(G44:G45)</f>
        <v>278513</v>
      </c>
      <c r="H46" s="50">
        <f>SUM(H44:H45)</f>
        <v>265031</v>
      </c>
      <c r="I46" s="50">
        <f>SUM(I44:I45)</f>
        <v>248083</v>
      </c>
      <c r="J46" s="255" t="s">
        <v>530</v>
      </c>
    </row>
    <row r="47" spans="1:10" s="168" customFormat="1" ht="12.75">
      <c r="A47" s="49"/>
      <c r="B47" s="49"/>
      <c r="C47" s="49" t="s">
        <v>261</v>
      </c>
      <c r="D47" s="49"/>
      <c r="E47" s="49"/>
      <c r="F47" s="50">
        <f>SUM(F15,F20,F25,F30,F34,F38,F42,F46)</f>
        <v>4929564</v>
      </c>
      <c r="G47" s="50">
        <f>SUM(G15,G20,G25,G30,G34,G38,G42,G46)</f>
        <v>2144544</v>
      </c>
      <c r="H47" s="50">
        <f>SUM(H15,H20,H25,H30,H34,H38,H42,H46)</f>
        <v>2144544</v>
      </c>
      <c r="I47" s="50">
        <f>SUM(I15,I20,I25,I30,I34,I38,I42,I46)</f>
        <v>2141642</v>
      </c>
      <c r="J47" s="255"/>
    </row>
    <row r="48" spans="1:10" ht="12.75">
      <c r="A48" s="43"/>
      <c r="F48" s="48"/>
      <c r="G48" s="48"/>
      <c r="H48" s="48"/>
      <c r="I48" s="48"/>
      <c r="J48" s="215"/>
    </row>
    <row r="49" spans="1:10" ht="12.75">
      <c r="A49" s="43"/>
      <c r="F49" s="48"/>
      <c r="G49" s="48"/>
      <c r="H49" s="48"/>
      <c r="I49" s="48"/>
      <c r="J49" s="215"/>
    </row>
    <row r="50" spans="1:10" ht="12.75">
      <c r="A50" s="43"/>
      <c r="B50" s="46" t="s">
        <v>262</v>
      </c>
      <c r="F50" s="48"/>
      <c r="G50" s="48"/>
      <c r="H50" s="48"/>
      <c r="I50" s="48"/>
      <c r="J50" s="215"/>
    </row>
    <row r="51" spans="1:10" ht="12.75">
      <c r="A51" s="43"/>
      <c r="F51" s="48"/>
      <c r="G51" s="48"/>
      <c r="H51" s="48"/>
      <c r="I51" s="48"/>
      <c r="J51" s="215"/>
    </row>
    <row r="52" spans="1:10" s="168" customFormat="1" ht="12.75">
      <c r="A52" s="49" t="s">
        <v>387</v>
      </c>
      <c r="B52" s="49"/>
      <c r="C52" s="49"/>
      <c r="D52" s="49" t="s">
        <v>263</v>
      </c>
      <c r="E52" s="49"/>
      <c r="F52" s="50"/>
      <c r="G52" s="50"/>
      <c r="H52" s="50"/>
      <c r="I52" s="50"/>
      <c r="J52" s="255"/>
    </row>
    <row r="53" spans="1:10" ht="12.75">
      <c r="A53" s="43"/>
      <c r="B53" s="44" t="s">
        <v>394</v>
      </c>
      <c r="D53" s="44" t="s">
        <v>590</v>
      </c>
      <c r="F53" s="48">
        <v>826892</v>
      </c>
      <c r="G53" s="48">
        <v>800259</v>
      </c>
      <c r="H53" s="48">
        <v>800259</v>
      </c>
      <c r="I53" s="48">
        <v>800259</v>
      </c>
      <c r="J53" s="215" t="s">
        <v>591</v>
      </c>
    </row>
    <row r="54" spans="1:10" ht="12.75">
      <c r="A54" s="43"/>
      <c r="B54" s="44" t="s">
        <v>409</v>
      </c>
      <c r="D54" s="44" t="s">
        <v>592</v>
      </c>
      <c r="F54" s="48">
        <v>153461</v>
      </c>
      <c r="G54" s="48">
        <v>140045</v>
      </c>
      <c r="H54" s="48">
        <v>140045</v>
      </c>
      <c r="I54" s="48">
        <v>140045</v>
      </c>
      <c r="J54" s="215" t="s">
        <v>593</v>
      </c>
    </row>
    <row r="55" spans="1:10" ht="12.75">
      <c r="A55" s="43"/>
      <c r="B55" s="44" t="s">
        <v>422</v>
      </c>
      <c r="D55" s="44" t="s">
        <v>594</v>
      </c>
      <c r="F55" s="48"/>
      <c r="G55" s="48"/>
      <c r="H55" s="48"/>
      <c r="I55" s="48"/>
      <c r="J55" s="215" t="s">
        <v>595</v>
      </c>
    </row>
    <row r="56" spans="1:10" ht="12.75">
      <c r="A56" s="43"/>
      <c r="C56" s="44" t="s">
        <v>425</v>
      </c>
      <c r="D56" s="44" t="s">
        <v>264</v>
      </c>
      <c r="F56" s="48">
        <v>5000</v>
      </c>
      <c r="G56" s="48">
        <v>5000</v>
      </c>
      <c r="H56" s="48">
        <v>5000</v>
      </c>
      <c r="I56" s="48">
        <v>5000</v>
      </c>
      <c r="J56" s="215" t="s">
        <v>597</v>
      </c>
    </row>
    <row r="57" spans="1:10" ht="12.75">
      <c r="A57" s="43"/>
      <c r="C57" s="44" t="s">
        <v>598</v>
      </c>
      <c r="D57" s="44" t="s">
        <v>265</v>
      </c>
      <c r="F57" s="48">
        <v>774404</v>
      </c>
      <c r="G57" s="48">
        <v>420809</v>
      </c>
      <c r="H57" s="48">
        <v>420809</v>
      </c>
      <c r="I57" s="48">
        <v>420809</v>
      </c>
      <c r="J57" s="215" t="s">
        <v>266</v>
      </c>
    </row>
    <row r="58" spans="1:10" ht="12.75">
      <c r="A58" s="51"/>
      <c r="B58" s="51" t="s">
        <v>422</v>
      </c>
      <c r="C58" s="51"/>
      <c r="D58" s="51" t="s">
        <v>600</v>
      </c>
      <c r="E58" s="51"/>
      <c r="F58" s="52">
        <f>SUM(F56:F57)</f>
        <v>779404</v>
      </c>
      <c r="G58" s="52">
        <f>SUM(G56:G57)</f>
        <v>425809</v>
      </c>
      <c r="H58" s="52">
        <f>SUM(H56:H57)</f>
        <v>425809</v>
      </c>
      <c r="I58" s="52">
        <f>SUM(I56:I57)</f>
        <v>425809</v>
      </c>
      <c r="J58" s="257" t="s">
        <v>595</v>
      </c>
    </row>
    <row r="59" spans="1:10" ht="12.75">
      <c r="A59" s="43"/>
      <c r="B59" s="44" t="s">
        <v>601</v>
      </c>
      <c r="D59" s="44" t="s">
        <v>602</v>
      </c>
      <c r="F59" s="359">
        <v>36738</v>
      </c>
      <c r="G59" s="48">
        <v>35736</v>
      </c>
      <c r="H59" s="48">
        <v>35736</v>
      </c>
      <c r="I59" s="48">
        <v>35736</v>
      </c>
      <c r="J59" s="215" t="s">
        <v>603</v>
      </c>
    </row>
    <row r="60" spans="1:10" ht="12.75">
      <c r="A60" s="43"/>
      <c r="B60" s="44" t="s">
        <v>604</v>
      </c>
      <c r="D60" s="44" t="s">
        <v>20</v>
      </c>
      <c r="F60" s="48"/>
      <c r="G60" s="48"/>
      <c r="H60" s="48"/>
      <c r="I60" s="48"/>
      <c r="J60" s="215"/>
    </row>
    <row r="61" spans="1:10" ht="12.75">
      <c r="A61" s="43"/>
      <c r="C61" s="44" t="s">
        <v>22</v>
      </c>
      <c r="D61" s="44" t="s">
        <v>267</v>
      </c>
      <c r="F61" s="48">
        <v>0</v>
      </c>
      <c r="G61" s="48">
        <v>0</v>
      </c>
      <c r="H61" s="48">
        <v>0</v>
      </c>
      <c r="I61" s="48">
        <v>0</v>
      </c>
      <c r="J61" s="215" t="s">
        <v>24</v>
      </c>
    </row>
    <row r="62" spans="1:10" ht="12.75">
      <c r="A62" s="43"/>
      <c r="C62" s="44" t="s">
        <v>25</v>
      </c>
      <c r="D62" s="44" t="s">
        <v>286</v>
      </c>
      <c r="F62" s="48">
        <v>0</v>
      </c>
      <c r="G62" s="48">
        <v>0</v>
      </c>
      <c r="H62" s="48">
        <v>0</v>
      </c>
      <c r="I62" s="48">
        <v>0</v>
      </c>
      <c r="J62" s="215" t="s">
        <v>27</v>
      </c>
    </row>
    <row r="63" spans="1:10" ht="12.75">
      <c r="A63" s="43"/>
      <c r="C63" s="44" t="s">
        <v>28</v>
      </c>
      <c r="D63" s="44" t="s">
        <v>269</v>
      </c>
      <c r="F63" s="48">
        <v>303370</v>
      </c>
      <c r="G63" s="48">
        <v>303370</v>
      </c>
      <c r="H63" s="48">
        <v>303370</v>
      </c>
      <c r="I63" s="48">
        <v>303370</v>
      </c>
      <c r="J63" s="215" t="s">
        <v>30</v>
      </c>
    </row>
    <row r="64" spans="1:10" ht="12.75">
      <c r="A64" s="43"/>
      <c r="C64" s="44" t="s">
        <v>31</v>
      </c>
      <c r="D64" s="44" t="s">
        <v>287</v>
      </c>
      <c r="F64" s="48">
        <v>0</v>
      </c>
      <c r="G64" s="48">
        <v>0</v>
      </c>
      <c r="H64" s="48">
        <v>0</v>
      </c>
      <c r="I64" s="48">
        <v>0</v>
      </c>
      <c r="J64" s="215" t="s">
        <v>33</v>
      </c>
    </row>
    <row r="65" spans="1:10" ht="12.75">
      <c r="A65" s="43"/>
      <c r="C65" s="44" t="s">
        <v>34</v>
      </c>
      <c r="D65" s="44" t="s">
        <v>271</v>
      </c>
      <c r="F65" s="48">
        <v>440392</v>
      </c>
      <c r="G65" s="48">
        <v>389423</v>
      </c>
      <c r="H65" s="48">
        <v>389423</v>
      </c>
      <c r="I65" s="48">
        <v>389423</v>
      </c>
      <c r="J65" s="215" t="s">
        <v>36</v>
      </c>
    </row>
    <row r="66" spans="1:10" ht="12.75">
      <c r="A66" s="43"/>
      <c r="C66" s="44" t="s">
        <v>37</v>
      </c>
      <c r="D66" s="44" t="s">
        <v>272</v>
      </c>
      <c r="F66" s="48">
        <v>69031</v>
      </c>
      <c r="G66" s="48">
        <v>0</v>
      </c>
      <c r="H66" s="48">
        <v>0</v>
      </c>
      <c r="I66" s="48">
        <v>0</v>
      </c>
      <c r="J66" s="215" t="s">
        <v>39</v>
      </c>
    </row>
    <row r="67" spans="1:10" ht="12.75">
      <c r="A67" s="51"/>
      <c r="B67" s="51" t="s">
        <v>604</v>
      </c>
      <c r="C67" s="51"/>
      <c r="D67" s="51" t="s">
        <v>40</v>
      </c>
      <c r="E67" s="51"/>
      <c r="F67" s="52">
        <f>SUM(F61:F66)</f>
        <v>812793</v>
      </c>
      <c r="G67" s="52">
        <f>SUM(G61:G66)</f>
        <v>692793</v>
      </c>
      <c r="H67" s="52">
        <f>SUM(H61:H66)</f>
        <v>692793</v>
      </c>
      <c r="I67" s="52">
        <f>SUM(I61:I66)</f>
        <v>692793</v>
      </c>
      <c r="J67" s="257" t="s">
        <v>21</v>
      </c>
    </row>
    <row r="68" spans="1:10" s="168" customFormat="1" ht="12.75">
      <c r="A68" s="49" t="s">
        <v>387</v>
      </c>
      <c r="B68" s="49"/>
      <c r="C68" s="49"/>
      <c r="D68" s="49" t="s">
        <v>45</v>
      </c>
      <c r="E68" s="49"/>
      <c r="F68" s="53">
        <f>SUM(F53,F54,F58,F59,F67)</f>
        <v>2609288</v>
      </c>
      <c r="G68" s="50">
        <f>SUM(G53,G54,G58,G59,G67)</f>
        <v>2094642</v>
      </c>
      <c r="H68" s="50">
        <f>SUM(H53,H54,H58,H59,H67)</f>
        <v>2094642</v>
      </c>
      <c r="I68" s="50">
        <f>SUM(I53,I54,I58,I59,I67)</f>
        <v>2094642</v>
      </c>
      <c r="J68" s="255"/>
    </row>
    <row r="69" spans="1:10" ht="12.75">
      <c r="A69" s="43"/>
      <c r="F69" s="48"/>
      <c r="G69" s="48"/>
      <c r="H69" s="48"/>
      <c r="I69" s="48"/>
      <c r="J69" s="215"/>
    </row>
    <row r="70" spans="1:10" s="168" customFormat="1" ht="12.75">
      <c r="A70" s="49" t="s">
        <v>427</v>
      </c>
      <c r="B70" s="49"/>
      <c r="C70" s="49"/>
      <c r="D70" s="49" t="s">
        <v>273</v>
      </c>
      <c r="E70" s="49"/>
      <c r="F70" s="50"/>
      <c r="G70" s="50"/>
      <c r="H70" s="50"/>
      <c r="I70" s="50"/>
      <c r="J70" s="255"/>
    </row>
    <row r="71" spans="1:10" ht="12.75">
      <c r="A71" s="43"/>
      <c r="B71" s="44" t="s">
        <v>452</v>
      </c>
      <c r="D71" s="44" t="s">
        <v>274</v>
      </c>
      <c r="F71" s="48">
        <v>544584</v>
      </c>
      <c r="G71" s="48">
        <v>0</v>
      </c>
      <c r="H71" s="48">
        <v>0</v>
      </c>
      <c r="I71" s="48">
        <v>0</v>
      </c>
      <c r="J71" s="215" t="s">
        <v>39</v>
      </c>
    </row>
    <row r="72" spans="1:10" ht="12.75">
      <c r="A72" s="43"/>
      <c r="B72" s="44" t="s">
        <v>455</v>
      </c>
      <c r="D72" s="44" t="s">
        <v>275</v>
      </c>
      <c r="F72" s="48">
        <v>762283</v>
      </c>
      <c r="G72" s="48">
        <v>5000</v>
      </c>
      <c r="H72" s="48">
        <v>5000</v>
      </c>
      <c r="I72" s="48">
        <v>5000</v>
      </c>
      <c r="J72" s="215" t="s">
        <v>50</v>
      </c>
    </row>
    <row r="73" spans="1:10" ht="12.75">
      <c r="A73" s="43"/>
      <c r="B73" s="44" t="s">
        <v>458</v>
      </c>
      <c r="D73" s="44" t="s">
        <v>276</v>
      </c>
      <c r="F73" s="48">
        <v>673042</v>
      </c>
      <c r="G73" s="48">
        <v>0</v>
      </c>
      <c r="H73" s="48">
        <v>0</v>
      </c>
      <c r="I73" s="48">
        <v>0</v>
      </c>
      <c r="J73" s="215" t="s">
        <v>57</v>
      </c>
    </row>
    <row r="74" spans="1:10" ht="12.75">
      <c r="A74" s="43"/>
      <c r="B74" s="44" t="s">
        <v>461</v>
      </c>
      <c r="D74" s="44" t="s">
        <v>277</v>
      </c>
      <c r="F74" s="48">
        <v>270722</v>
      </c>
      <c r="G74" s="48">
        <v>0</v>
      </c>
      <c r="H74" s="48">
        <v>0</v>
      </c>
      <c r="I74" s="48">
        <v>0</v>
      </c>
      <c r="J74" s="215" t="s">
        <v>69</v>
      </c>
    </row>
    <row r="75" spans="1:10" s="168" customFormat="1" ht="12.75">
      <c r="A75" s="49" t="s">
        <v>427</v>
      </c>
      <c r="B75" s="49"/>
      <c r="C75" s="49"/>
      <c r="D75" s="49" t="s">
        <v>278</v>
      </c>
      <c r="E75" s="49"/>
      <c r="F75" s="50">
        <f>SUM(F71:F74)</f>
        <v>2250631</v>
      </c>
      <c r="G75" s="50">
        <f>SUM(G71:G74)</f>
        <v>5000</v>
      </c>
      <c r="H75" s="50">
        <f>SUM(H71:H74)</f>
        <v>5000</v>
      </c>
      <c r="I75" s="50">
        <f>SUM(I71:I74)</f>
        <v>5000</v>
      </c>
      <c r="J75" s="255"/>
    </row>
    <row r="76" spans="1:10" ht="12.75">
      <c r="A76" s="43"/>
      <c r="F76" s="48"/>
      <c r="G76" s="48"/>
      <c r="H76" s="48"/>
      <c r="I76" s="48"/>
      <c r="J76" s="215"/>
    </row>
    <row r="77" spans="1:10" s="168" customFormat="1" ht="12.75">
      <c r="A77" s="49" t="s">
        <v>430</v>
      </c>
      <c r="B77" s="49"/>
      <c r="C77" s="49"/>
      <c r="D77" s="49" t="s">
        <v>279</v>
      </c>
      <c r="E77" s="49"/>
      <c r="F77" s="50"/>
      <c r="G77" s="50"/>
      <c r="H77" s="50"/>
      <c r="I77" s="50"/>
      <c r="J77" s="255" t="s">
        <v>81</v>
      </c>
    </row>
    <row r="78" spans="1:10" ht="12.75">
      <c r="A78" s="43"/>
      <c r="B78" s="44" t="s">
        <v>465</v>
      </c>
      <c r="D78" s="44" t="s">
        <v>280</v>
      </c>
      <c r="F78" s="48">
        <v>44902</v>
      </c>
      <c r="G78" s="48">
        <v>44902</v>
      </c>
      <c r="H78" s="48">
        <v>44902</v>
      </c>
      <c r="I78" s="48">
        <v>42000</v>
      </c>
      <c r="J78" s="215" t="s">
        <v>81</v>
      </c>
    </row>
    <row r="79" spans="1:10" ht="12.75">
      <c r="A79" s="43"/>
      <c r="B79" s="44" t="s">
        <v>467</v>
      </c>
      <c r="D79" s="44" t="s">
        <v>281</v>
      </c>
      <c r="F79" s="48">
        <v>24743</v>
      </c>
      <c r="G79" s="48">
        <v>0</v>
      </c>
      <c r="H79" s="48">
        <v>0</v>
      </c>
      <c r="I79" s="48">
        <v>0</v>
      </c>
      <c r="J79" s="215" t="s">
        <v>81</v>
      </c>
    </row>
    <row r="80" spans="1:10" s="168" customFormat="1" ht="12.75">
      <c r="A80" s="49" t="s">
        <v>430</v>
      </c>
      <c r="B80" s="49"/>
      <c r="C80" s="49"/>
      <c r="D80" s="49" t="s">
        <v>282</v>
      </c>
      <c r="E80" s="49"/>
      <c r="F80" s="50">
        <f>SUM(F78:F79)</f>
        <v>69645</v>
      </c>
      <c r="G80" s="50">
        <f>SUM(G78:G79)</f>
        <v>44902</v>
      </c>
      <c r="H80" s="50">
        <f>SUM(H78:H79)</f>
        <v>44902</v>
      </c>
      <c r="I80" s="50">
        <f>SUM(I78:I79)</f>
        <v>42000</v>
      </c>
      <c r="J80" s="255" t="s">
        <v>81</v>
      </c>
    </row>
    <row r="81" spans="1:10" ht="12.75">
      <c r="A81" s="51"/>
      <c r="B81" s="51"/>
      <c r="C81" s="51"/>
      <c r="D81" s="51"/>
      <c r="E81" s="51"/>
      <c r="F81" s="48"/>
      <c r="G81" s="52"/>
      <c r="H81" s="52"/>
      <c r="I81" s="52"/>
      <c r="J81" s="257"/>
    </row>
    <row r="82" spans="1:10" s="168" customFormat="1" ht="12.75">
      <c r="A82" s="49"/>
      <c r="B82" s="49" t="s">
        <v>133</v>
      </c>
      <c r="C82" s="49"/>
      <c r="D82" s="49"/>
      <c r="E82" s="49"/>
      <c r="F82" s="50">
        <f>SUM(F80,F68,F75)</f>
        <v>4929564</v>
      </c>
      <c r="G82" s="50">
        <f>SUM(G75,G68,G80)</f>
        <v>2144544</v>
      </c>
      <c r="H82" s="50">
        <f>SUM(H75,H68,H80)</f>
        <v>2144544</v>
      </c>
      <c r="I82" s="50">
        <f>SUM(I75,I68,I80)</f>
        <v>2141642</v>
      </c>
      <c r="J82" s="255"/>
    </row>
    <row r="83" spans="1:10" ht="12.75">
      <c r="A83" s="43"/>
      <c r="F83" s="48"/>
      <c r="G83" s="48"/>
      <c r="H83" s="48"/>
      <c r="I83" s="48"/>
      <c r="J83" s="215"/>
    </row>
    <row r="84" spans="1:10" ht="12.75">
      <c r="A84" s="43"/>
      <c r="F84" s="48"/>
      <c r="G84" s="48"/>
      <c r="H84" s="48"/>
      <c r="I84" s="48"/>
      <c r="J84" s="215"/>
    </row>
    <row r="85" spans="1:10" s="168" customFormat="1" ht="12.75">
      <c r="A85" s="49"/>
      <c r="B85" s="49" t="s">
        <v>546</v>
      </c>
      <c r="C85" s="49"/>
      <c r="D85" s="49"/>
      <c r="E85" s="49"/>
      <c r="F85" s="50">
        <f>SUM(F47)</f>
        <v>4929564</v>
      </c>
      <c r="G85" s="50">
        <f>SUM(G47)</f>
        <v>2144544</v>
      </c>
      <c r="H85" s="50">
        <f>SUM(H47)</f>
        <v>2144544</v>
      </c>
      <c r="I85" s="50">
        <f>SUM(I47)</f>
        <v>2141642</v>
      </c>
      <c r="J85" s="255"/>
    </row>
    <row r="86" spans="1:10" s="168" customFormat="1" ht="12.75">
      <c r="A86" s="49"/>
      <c r="B86" s="49" t="s">
        <v>84</v>
      </c>
      <c r="C86" s="49"/>
      <c r="D86" s="49"/>
      <c r="E86" s="49"/>
      <c r="F86" s="50">
        <f>SUM(F82)</f>
        <v>4929564</v>
      </c>
      <c r="G86" s="50">
        <f>SUM(G82)</f>
        <v>2144544</v>
      </c>
      <c r="H86" s="50">
        <f>SUM(H82)</f>
        <v>2144544</v>
      </c>
      <c r="I86" s="50">
        <f>SUM(I82)</f>
        <v>2141642</v>
      </c>
      <c r="J86" s="255"/>
    </row>
    <row r="88" spans="7:9" ht="12.75">
      <c r="G88" s="48"/>
      <c r="H88" s="48"/>
      <c r="I88" s="48"/>
    </row>
    <row r="89" spans="7:9" ht="12.75">
      <c r="G89" s="48">
        <f>G86-G85</f>
        <v>0</v>
      </c>
      <c r="H89" s="48">
        <f>H86-H85</f>
        <v>0</v>
      </c>
      <c r="I89" s="48">
        <f>I86-I85</f>
        <v>0</v>
      </c>
    </row>
  </sheetData>
  <sheetProtection/>
  <mergeCells count="5">
    <mergeCell ref="A3:J3"/>
    <mergeCell ref="E1:J1"/>
    <mergeCell ref="F6:J6"/>
    <mergeCell ref="A7:E7"/>
    <mergeCell ref="F7:G7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="65" zoomScaleNormal="75" zoomScaleSheetLayoutView="65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" sqref="C1:F1"/>
    </sheetView>
  </sheetViews>
  <sheetFormatPr defaultColWidth="16.00390625" defaultRowHeight="12.75"/>
  <cols>
    <col min="1" max="1" width="16.00390625" style="134" customWidth="1"/>
    <col min="2" max="2" width="54.00390625" style="134" customWidth="1"/>
    <col min="3" max="3" width="23.28125" style="134" customWidth="1"/>
    <col min="4" max="4" width="18.7109375" style="134" customWidth="1"/>
    <col min="5" max="5" width="19.8515625" style="134" customWidth="1"/>
    <col min="6" max="16384" width="16.00390625" style="134" customWidth="1"/>
  </cols>
  <sheetData>
    <row r="1" spans="3:10" s="176" customFormat="1" ht="17.25" customHeight="1">
      <c r="C1" s="422" t="s">
        <v>933</v>
      </c>
      <c r="D1" s="422"/>
      <c r="E1" s="422"/>
      <c r="F1" s="422"/>
      <c r="G1" s="183"/>
      <c r="H1" s="183"/>
      <c r="I1" s="183"/>
      <c r="J1" s="183"/>
    </row>
    <row r="2" spans="1:9" s="176" customFormat="1" ht="15">
      <c r="A2" s="183"/>
      <c r="B2" s="422"/>
      <c r="C2" s="422"/>
      <c r="D2" s="422"/>
      <c r="E2" s="422"/>
      <c r="F2" s="422"/>
      <c r="G2" s="183"/>
      <c r="H2" s="183"/>
      <c r="I2" s="183"/>
    </row>
    <row r="3" spans="1:6" s="176" customFormat="1" ht="15">
      <c r="A3" s="423" t="s">
        <v>768</v>
      </c>
      <c r="B3" s="423"/>
      <c r="C3" s="423"/>
      <c r="D3" s="423"/>
      <c r="E3" s="423"/>
      <c r="F3" s="423"/>
    </row>
    <row r="4" spans="1:6" s="176" customFormat="1" ht="15">
      <c r="A4" s="184"/>
      <c r="B4" s="184"/>
      <c r="C4" s="184"/>
      <c r="D4" s="184"/>
      <c r="E4" s="184"/>
      <c r="F4" s="184"/>
    </row>
    <row r="5" spans="1:6" s="176" customFormat="1" ht="15">
      <c r="A5" s="184"/>
      <c r="B5" s="184"/>
      <c r="C5" s="184"/>
      <c r="D5" s="184"/>
      <c r="E5" s="184"/>
      <c r="F5" s="184"/>
    </row>
    <row r="6" spans="1:6" s="176" customFormat="1" ht="15">
      <c r="A6" s="424"/>
      <c r="B6" s="424"/>
      <c r="C6" s="424"/>
      <c r="D6" s="424"/>
      <c r="E6" s="424"/>
      <c r="F6" s="424"/>
    </row>
    <row r="7" spans="1:6" s="176" customFormat="1" ht="25.5" customHeight="1">
      <c r="A7" s="425" t="s">
        <v>548</v>
      </c>
      <c r="B7" s="426"/>
      <c r="C7" s="427" t="s">
        <v>642</v>
      </c>
      <c r="D7" s="427"/>
      <c r="E7" s="427"/>
      <c r="F7" s="427"/>
    </row>
    <row r="8" spans="1:6" s="176" customFormat="1" ht="15" customHeight="1">
      <c r="A8" s="185"/>
      <c r="B8" s="186" t="s">
        <v>380</v>
      </c>
      <c r="C8" s="430" t="s">
        <v>381</v>
      </c>
      <c r="D8" s="430"/>
      <c r="E8" s="430"/>
      <c r="F8" s="430"/>
    </row>
    <row r="9" spans="1:6" s="187" customFormat="1" ht="15" customHeight="1">
      <c r="A9" s="431"/>
      <c r="B9" s="431"/>
      <c r="C9" s="431" t="s">
        <v>643</v>
      </c>
      <c r="D9" s="432" t="s">
        <v>644</v>
      </c>
      <c r="E9" s="432"/>
      <c r="F9" s="433" t="s">
        <v>502</v>
      </c>
    </row>
    <row r="10" spans="1:6" s="187" customFormat="1" ht="21.75" customHeight="1">
      <c r="A10" s="431"/>
      <c r="B10" s="431"/>
      <c r="C10" s="431"/>
      <c r="D10" s="188" t="s">
        <v>366</v>
      </c>
      <c r="E10" s="189" t="s">
        <v>645</v>
      </c>
      <c r="F10" s="433"/>
    </row>
    <row r="11" spans="1:6" s="176" customFormat="1" ht="18.75" customHeight="1">
      <c r="A11" s="421" t="s">
        <v>646</v>
      </c>
      <c r="B11" s="421"/>
      <c r="C11" s="421"/>
      <c r="D11" s="421"/>
      <c r="E11" s="421"/>
      <c r="F11" s="190">
        <f>SUM(C12:E20)</f>
        <v>138</v>
      </c>
    </row>
    <row r="12" spans="1:6" s="176" customFormat="1" ht="18.75" customHeight="1">
      <c r="A12" s="191"/>
      <c r="B12" s="172" t="s">
        <v>647</v>
      </c>
      <c r="C12" s="172"/>
      <c r="D12" s="172">
        <v>1</v>
      </c>
      <c r="E12" s="192"/>
      <c r="F12" s="193"/>
    </row>
    <row r="13" spans="1:6" s="176" customFormat="1" ht="18.75" customHeight="1">
      <c r="A13" s="191"/>
      <c r="B13" s="172" t="s">
        <v>728</v>
      </c>
      <c r="C13" s="172"/>
      <c r="D13" s="172">
        <v>1</v>
      </c>
      <c r="E13" s="192"/>
      <c r="F13" s="193"/>
    </row>
    <row r="14" spans="1:6" s="176" customFormat="1" ht="18.75" customHeight="1">
      <c r="A14" s="191"/>
      <c r="B14" s="174" t="s">
        <v>649</v>
      </c>
      <c r="C14" s="174"/>
      <c r="D14" s="174">
        <v>10</v>
      </c>
      <c r="E14" s="177"/>
      <c r="F14" s="190"/>
    </row>
    <row r="15" spans="1:6" s="176" customFormat="1" ht="18.75" customHeight="1">
      <c r="A15" s="191"/>
      <c r="B15" s="174" t="s">
        <v>648</v>
      </c>
      <c r="C15" s="174"/>
      <c r="D15" s="174">
        <v>13</v>
      </c>
      <c r="E15" s="177"/>
      <c r="F15" s="190"/>
    </row>
    <row r="16" spans="1:6" s="176" customFormat="1" ht="18.75" customHeight="1">
      <c r="A16" s="191"/>
      <c r="B16" s="174" t="s">
        <v>650</v>
      </c>
      <c r="C16" s="174"/>
      <c r="D16" s="174">
        <v>0</v>
      </c>
      <c r="E16" s="177"/>
      <c r="F16" s="190"/>
    </row>
    <row r="17" spans="1:6" s="176" customFormat="1" ht="15">
      <c r="A17" s="194"/>
      <c r="B17" s="195" t="s">
        <v>651</v>
      </c>
      <c r="C17" s="174"/>
      <c r="D17" s="196">
        <v>3</v>
      </c>
      <c r="E17" s="177"/>
      <c r="F17" s="190"/>
    </row>
    <row r="18" spans="1:6" s="176" customFormat="1" ht="15">
      <c r="A18" s="194"/>
      <c r="B18" s="195" t="s">
        <v>726</v>
      </c>
      <c r="C18" s="174"/>
      <c r="D18" s="196"/>
      <c r="E18" s="174">
        <v>6</v>
      </c>
      <c r="F18" s="190"/>
    </row>
    <row r="19" spans="1:6" s="176" customFormat="1" ht="15">
      <c r="A19" s="194"/>
      <c r="B19" s="195" t="s">
        <v>727</v>
      </c>
      <c r="C19" s="174"/>
      <c r="D19" s="196"/>
      <c r="E19" s="174">
        <v>4</v>
      </c>
      <c r="F19" s="190"/>
    </row>
    <row r="20" spans="1:6" s="176" customFormat="1" ht="30">
      <c r="A20" s="194"/>
      <c r="B20" s="195" t="s">
        <v>781</v>
      </c>
      <c r="C20" s="174"/>
      <c r="D20" s="196">
        <v>100</v>
      </c>
      <c r="E20" s="177"/>
      <c r="F20" s="190"/>
    </row>
    <row r="21" spans="1:6" ht="15">
      <c r="A21" s="135"/>
      <c r="B21" s="136"/>
      <c r="C21" s="137"/>
      <c r="D21" s="138"/>
      <c r="E21" s="138"/>
      <c r="F21" s="139"/>
    </row>
    <row r="22" spans="1:6" s="176" customFormat="1" ht="15">
      <c r="A22" s="428" t="s">
        <v>652</v>
      </c>
      <c r="B22" s="428"/>
      <c r="C22" s="428"/>
      <c r="D22" s="428"/>
      <c r="E22" s="428"/>
      <c r="F22" s="177">
        <f>SUM(C23:E29)</f>
        <v>88.5</v>
      </c>
    </row>
    <row r="23" spans="1:6" s="176" customFormat="1" ht="15">
      <c r="A23" s="175"/>
      <c r="B23" s="172" t="s">
        <v>653</v>
      </c>
      <c r="C23" s="172">
        <v>15</v>
      </c>
      <c r="D23" s="172">
        <v>44.5</v>
      </c>
      <c r="E23" s="172"/>
      <c r="F23" s="172"/>
    </row>
    <row r="24" spans="1:6" s="176" customFormat="1" ht="15">
      <c r="A24" s="175"/>
      <c r="B24" s="174" t="s">
        <v>654</v>
      </c>
      <c r="C24" s="174"/>
      <c r="D24" s="174">
        <v>5</v>
      </c>
      <c r="E24" s="174"/>
      <c r="F24" s="174"/>
    </row>
    <row r="25" spans="1:6" s="176" customFormat="1" ht="15">
      <c r="A25" s="175"/>
      <c r="B25" s="174" t="s">
        <v>655</v>
      </c>
      <c r="C25" s="174"/>
      <c r="D25" s="174">
        <v>13</v>
      </c>
      <c r="E25" s="174"/>
      <c r="F25" s="174"/>
    </row>
    <row r="26" spans="1:6" s="176" customFormat="1" ht="15">
      <c r="A26" s="175"/>
      <c r="B26" s="173" t="s">
        <v>656</v>
      </c>
      <c r="C26" s="174"/>
      <c r="D26" s="174"/>
      <c r="E26" s="174">
        <v>5</v>
      </c>
      <c r="F26" s="174"/>
    </row>
    <row r="27" spans="1:6" s="176" customFormat="1" ht="15">
      <c r="A27" s="180"/>
      <c r="B27" s="182" t="s">
        <v>709</v>
      </c>
      <c r="C27" s="181"/>
      <c r="D27" s="173">
        <v>1</v>
      </c>
      <c r="E27" s="173"/>
      <c r="F27" s="173"/>
    </row>
    <row r="28" spans="1:6" s="176" customFormat="1" ht="15">
      <c r="A28" s="180"/>
      <c r="B28" s="182" t="s">
        <v>780</v>
      </c>
      <c r="C28" s="181"/>
      <c r="D28" s="173">
        <v>2</v>
      </c>
      <c r="E28" s="173"/>
      <c r="F28" s="173"/>
    </row>
    <row r="29" spans="1:6" s="176" customFormat="1" ht="15">
      <c r="A29" s="178"/>
      <c r="B29" s="179" t="s">
        <v>657</v>
      </c>
      <c r="C29" s="173"/>
      <c r="D29" s="173">
        <v>3</v>
      </c>
      <c r="E29" s="173"/>
      <c r="F29" s="173"/>
    </row>
    <row r="30" spans="1:6" ht="15">
      <c r="A30" s="140"/>
      <c r="B30" s="141"/>
      <c r="C30" s="141"/>
      <c r="D30" s="141"/>
      <c r="E30" s="141"/>
      <c r="F30" s="141"/>
    </row>
    <row r="31" spans="1:6" s="176" customFormat="1" ht="15">
      <c r="A31" s="428" t="s">
        <v>707</v>
      </c>
      <c r="B31" s="428"/>
      <c r="C31" s="428"/>
      <c r="D31" s="428"/>
      <c r="E31" s="428"/>
      <c r="F31" s="177">
        <f>SUM(C32:E37)</f>
        <v>42</v>
      </c>
    </row>
    <row r="32" spans="1:6" s="176" customFormat="1" ht="15">
      <c r="A32" s="175"/>
      <c r="B32" s="272" t="s">
        <v>658</v>
      </c>
      <c r="C32" s="272"/>
      <c r="D32" s="172">
        <v>7</v>
      </c>
      <c r="E32" s="172"/>
      <c r="F32" s="172"/>
    </row>
    <row r="33" spans="1:6" s="176" customFormat="1" ht="15">
      <c r="A33" s="175"/>
      <c r="B33" s="273" t="s">
        <v>659</v>
      </c>
      <c r="C33" s="273"/>
      <c r="D33" s="174">
        <v>6</v>
      </c>
      <c r="E33" s="174"/>
      <c r="F33" s="174"/>
    </row>
    <row r="34" spans="1:6" s="176" customFormat="1" ht="15">
      <c r="A34" s="175"/>
      <c r="B34" s="273" t="s">
        <v>660</v>
      </c>
      <c r="C34" s="273"/>
      <c r="D34" s="174">
        <v>0</v>
      </c>
      <c r="E34" s="174"/>
      <c r="F34" s="174"/>
    </row>
    <row r="35" spans="1:6" s="176" customFormat="1" ht="15">
      <c r="A35" s="175"/>
      <c r="B35" s="273" t="s">
        <v>661</v>
      </c>
      <c r="C35" s="273"/>
      <c r="D35" s="174">
        <v>17</v>
      </c>
      <c r="E35" s="174"/>
      <c r="F35" s="174"/>
    </row>
    <row r="36" spans="1:6" s="176" customFormat="1" ht="15">
      <c r="A36" s="175"/>
      <c r="B36" s="273" t="s">
        <v>662</v>
      </c>
      <c r="C36" s="273"/>
      <c r="D36" s="174">
        <v>8</v>
      </c>
      <c r="E36" s="174"/>
      <c r="F36" s="174"/>
    </row>
    <row r="37" spans="1:6" s="176" customFormat="1" ht="15">
      <c r="A37" s="178"/>
      <c r="B37" s="179" t="s">
        <v>657</v>
      </c>
      <c r="C37" s="274"/>
      <c r="D37" s="173">
        <v>4</v>
      </c>
      <c r="E37" s="173"/>
      <c r="F37" s="173"/>
    </row>
    <row r="38" spans="1:6" ht="15">
      <c r="A38" s="140"/>
      <c r="B38" s="143"/>
      <c r="C38" s="143"/>
      <c r="D38" s="141"/>
      <c r="E38" s="141"/>
      <c r="F38" s="141"/>
    </row>
    <row r="39" spans="1:6" s="176" customFormat="1" ht="15">
      <c r="A39" s="428" t="s">
        <v>514</v>
      </c>
      <c r="B39" s="428"/>
      <c r="C39" s="428"/>
      <c r="D39" s="428"/>
      <c r="E39" s="428"/>
      <c r="F39" s="177">
        <f>SUM(C40:E44)</f>
        <v>28</v>
      </c>
    </row>
    <row r="40" spans="1:6" s="176" customFormat="1" ht="15">
      <c r="A40" s="175"/>
      <c r="B40" s="272" t="s">
        <v>663</v>
      </c>
      <c r="C40" s="272"/>
      <c r="D40" s="172">
        <v>0</v>
      </c>
      <c r="E40" s="172">
        <v>6</v>
      </c>
      <c r="F40" s="172"/>
    </row>
    <row r="41" spans="1:6" s="176" customFormat="1" ht="15">
      <c r="A41" s="175"/>
      <c r="B41" s="272" t="s">
        <v>732</v>
      </c>
      <c r="C41" s="272"/>
      <c r="D41" s="172">
        <v>0</v>
      </c>
      <c r="E41" s="172">
        <v>1</v>
      </c>
      <c r="F41" s="172"/>
    </row>
    <row r="42" spans="1:6" s="176" customFormat="1" ht="15">
      <c r="A42" s="175"/>
      <c r="B42" s="273" t="s">
        <v>664</v>
      </c>
      <c r="C42" s="273"/>
      <c r="D42" s="174">
        <v>7</v>
      </c>
      <c r="E42" s="174">
        <v>0</v>
      </c>
      <c r="F42" s="174"/>
    </row>
    <row r="43" spans="1:6" s="176" customFormat="1" ht="15">
      <c r="A43" s="178"/>
      <c r="B43" s="274" t="s">
        <v>660</v>
      </c>
      <c r="C43" s="274"/>
      <c r="D43" s="173">
        <v>2</v>
      </c>
      <c r="E43" s="173">
        <v>7</v>
      </c>
      <c r="F43" s="173"/>
    </row>
    <row r="44" spans="1:6" s="176" customFormat="1" ht="15">
      <c r="A44" s="182"/>
      <c r="B44" s="179" t="s">
        <v>657</v>
      </c>
      <c r="C44" s="179"/>
      <c r="D44" s="182">
        <v>0</v>
      </c>
      <c r="E44" s="182">
        <v>5</v>
      </c>
      <c r="F44" s="182"/>
    </row>
    <row r="45" spans="1:6" ht="15">
      <c r="A45" s="144"/>
      <c r="B45" s="142"/>
      <c r="C45" s="142"/>
      <c r="D45" s="144"/>
      <c r="E45" s="144"/>
      <c r="F45" s="144"/>
    </row>
    <row r="46" spans="1:6" ht="15">
      <c r="A46" s="144"/>
      <c r="B46" s="142"/>
      <c r="C46" s="142"/>
      <c r="D46" s="144"/>
      <c r="E46" s="144"/>
      <c r="F46" s="144"/>
    </row>
    <row r="47" spans="1:6" s="176" customFormat="1" ht="15">
      <c r="A47" s="428" t="s">
        <v>517</v>
      </c>
      <c r="B47" s="428"/>
      <c r="C47" s="428"/>
      <c r="D47" s="428"/>
      <c r="E47" s="428"/>
      <c r="F47" s="275">
        <f>SUM(C48:E52)</f>
        <v>23</v>
      </c>
    </row>
    <row r="48" spans="1:6" s="176" customFormat="1" ht="15">
      <c r="A48" s="276"/>
      <c r="B48" s="179" t="s">
        <v>723</v>
      </c>
      <c r="C48" s="179"/>
      <c r="D48" s="182">
        <v>11</v>
      </c>
      <c r="E48" s="182"/>
      <c r="F48" s="182"/>
    </row>
    <row r="49" spans="1:6" s="176" customFormat="1" ht="15">
      <c r="A49" s="277"/>
      <c r="B49" s="179" t="s">
        <v>724</v>
      </c>
      <c r="C49" s="179"/>
      <c r="D49" s="182">
        <v>6</v>
      </c>
      <c r="E49" s="182"/>
      <c r="F49" s="182"/>
    </row>
    <row r="50" spans="1:6" s="176" customFormat="1" ht="15">
      <c r="A50" s="182"/>
      <c r="B50" s="179" t="s">
        <v>665</v>
      </c>
      <c r="C50" s="179"/>
      <c r="D50" s="182">
        <v>2</v>
      </c>
      <c r="E50" s="182"/>
      <c r="F50" s="182"/>
    </row>
    <row r="51" spans="1:6" s="176" customFormat="1" ht="15">
      <c r="A51" s="182"/>
      <c r="B51" s="179" t="s">
        <v>725</v>
      </c>
      <c r="C51" s="179"/>
      <c r="D51" s="182">
        <v>2</v>
      </c>
      <c r="E51" s="182"/>
      <c r="F51" s="182"/>
    </row>
    <row r="52" spans="1:6" s="176" customFormat="1" ht="15">
      <c r="A52" s="182"/>
      <c r="B52" s="179" t="s">
        <v>657</v>
      </c>
      <c r="C52" s="179"/>
      <c r="D52" s="182">
        <v>2</v>
      </c>
      <c r="E52" s="182"/>
      <c r="F52" s="182"/>
    </row>
    <row r="53" spans="1:6" s="176" customFormat="1" ht="15">
      <c r="A53" s="182"/>
      <c r="B53" s="179"/>
      <c r="C53" s="179"/>
      <c r="D53" s="182"/>
      <c r="E53" s="182"/>
      <c r="F53" s="182"/>
    </row>
    <row r="54" spans="1:6" s="187" customFormat="1" ht="15">
      <c r="A54" s="429" t="s">
        <v>666</v>
      </c>
      <c r="B54" s="429"/>
      <c r="C54" s="192">
        <f>SUM(C12:C53)</f>
        <v>15</v>
      </c>
      <c r="D54" s="192">
        <f>SUM(D12:D53)</f>
        <v>270.5</v>
      </c>
      <c r="E54" s="192">
        <f>SUM(E12:E53)</f>
        <v>34</v>
      </c>
      <c r="F54" s="192">
        <f>SUM(F11:F53)</f>
        <v>319.5</v>
      </c>
    </row>
  </sheetData>
  <sheetProtection selectLockedCells="1" selectUnlockedCells="1"/>
  <mergeCells count="17">
    <mergeCell ref="A22:E22"/>
    <mergeCell ref="A31:E31"/>
    <mergeCell ref="A39:E39"/>
    <mergeCell ref="A47:E47"/>
    <mergeCell ref="A54:B54"/>
    <mergeCell ref="C8:F8"/>
    <mergeCell ref="A9:B10"/>
    <mergeCell ref="C9:C10"/>
    <mergeCell ref="D9:E9"/>
    <mergeCell ref="F9:F10"/>
    <mergeCell ref="A11:E11"/>
    <mergeCell ref="C1:F1"/>
    <mergeCell ref="B2:F2"/>
    <mergeCell ref="A3:F3"/>
    <mergeCell ref="A6:F6"/>
    <mergeCell ref="A7:B7"/>
    <mergeCell ref="C7:F7"/>
  </mergeCells>
  <printOptions horizontalCentered="1"/>
  <pageMargins left="0.6692913385826772" right="0.7874015748031497" top="0.5118110236220472" bottom="0.35433070866141736" header="0.5118110236220472" footer="0.5118110236220472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I1" sqref="I1:O1"/>
    </sheetView>
  </sheetViews>
  <sheetFormatPr defaultColWidth="9.140625" defaultRowHeight="12.75"/>
  <cols>
    <col min="1" max="1" width="3.57421875" style="300" bestFit="1" customWidth="1"/>
    <col min="2" max="2" width="41.421875" style="300" bestFit="1" customWidth="1"/>
    <col min="3" max="6" width="9.140625" style="300" customWidth="1"/>
    <col min="7" max="7" width="9.140625" style="301" customWidth="1"/>
    <col min="8" max="10" width="9.140625" style="300" customWidth="1"/>
    <col min="11" max="11" width="10.421875" style="300" customWidth="1"/>
    <col min="12" max="12" width="9.140625" style="300" customWidth="1"/>
    <col min="13" max="13" width="11.140625" style="300" bestFit="1" customWidth="1"/>
    <col min="14" max="14" width="9.7109375" style="300" bestFit="1" customWidth="1"/>
    <col min="15" max="15" width="10.421875" style="302" customWidth="1"/>
    <col min="16" max="16384" width="9.140625" style="300" customWidth="1"/>
  </cols>
  <sheetData>
    <row r="1" spans="9:15" ht="12.75">
      <c r="I1" s="435" t="s">
        <v>934</v>
      </c>
      <c r="J1" s="435"/>
      <c r="K1" s="435"/>
      <c r="L1" s="435"/>
      <c r="M1" s="435"/>
      <c r="N1" s="435"/>
      <c r="O1" s="435"/>
    </row>
    <row r="3" spans="2:15" ht="12.75">
      <c r="B3" s="434" t="s">
        <v>767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</row>
    <row r="4" spans="13:15" ht="12.75">
      <c r="M4" s="436" t="s">
        <v>352</v>
      </c>
      <c r="N4" s="436"/>
      <c r="O4" s="436"/>
    </row>
    <row r="5" spans="1:15" ht="12.75">
      <c r="A5" s="303"/>
      <c r="B5" s="304" t="s">
        <v>548</v>
      </c>
      <c r="C5" s="304" t="s">
        <v>288</v>
      </c>
      <c r="D5" s="304" t="s">
        <v>289</v>
      </c>
      <c r="E5" s="304" t="s">
        <v>290</v>
      </c>
      <c r="F5" s="304" t="s">
        <v>291</v>
      </c>
      <c r="G5" s="305" t="s">
        <v>292</v>
      </c>
      <c r="H5" s="304" t="s">
        <v>293</v>
      </c>
      <c r="I5" s="304" t="s">
        <v>294</v>
      </c>
      <c r="J5" s="304" t="s">
        <v>295</v>
      </c>
      <c r="K5" s="304" t="s">
        <v>296</v>
      </c>
      <c r="L5" s="304" t="s">
        <v>297</v>
      </c>
      <c r="M5" s="304" t="s">
        <v>298</v>
      </c>
      <c r="N5" s="304" t="s">
        <v>299</v>
      </c>
      <c r="O5" s="306" t="s">
        <v>161</v>
      </c>
    </row>
    <row r="6" spans="1:15" ht="12.75">
      <c r="A6" s="303"/>
      <c r="B6" s="307" t="s">
        <v>300</v>
      </c>
      <c r="D6" s="303"/>
      <c r="E6" s="303"/>
      <c r="F6" s="303"/>
      <c r="G6" s="308"/>
      <c r="H6" s="303"/>
      <c r="I6" s="303"/>
      <c r="J6" s="303"/>
      <c r="K6" s="303"/>
      <c r="L6" s="303"/>
      <c r="M6" s="303"/>
      <c r="N6" s="303"/>
      <c r="O6" s="307"/>
    </row>
    <row r="7" spans="1:16" ht="12.75">
      <c r="A7" s="303" t="s">
        <v>387</v>
      </c>
      <c r="B7" s="303" t="s">
        <v>177</v>
      </c>
      <c r="C7" s="308">
        <v>67383</v>
      </c>
      <c r="D7" s="308">
        <v>67383</v>
      </c>
      <c r="E7" s="308">
        <v>67383</v>
      </c>
      <c r="F7" s="308">
        <v>67383</v>
      </c>
      <c r="G7" s="308">
        <v>67383</v>
      </c>
      <c r="H7" s="308">
        <v>67383</v>
      </c>
      <c r="I7" s="308">
        <v>67383</v>
      </c>
      <c r="J7" s="308">
        <v>67383</v>
      </c>
      <c r="K7" s="308">
        <v>67383</v>
      </c>
      <c r="L7" s="308">
        <v>67383</v>
      </c>
      <c r="M7" s="308">
        <v>67383</v>
      </c>
      <c r="N7" s="308">
        <v>67382</v>
      </c>
      <c r="O7" s="309">
        <f aca="true" t="shared" si="0" ref="O7:O14">SUM(C7:N7)</f>
        <v>808595</v>
      </c>
      <c r="P7" s="300" t="s">
        <v>391</v>
      </c>
    </row>
    <row r="8" spans="1:16" ht="12.75">
      <c r="A8" s="303" t="s">
        <v>427</v>
      </c>
      <c r="B8" s="303" t="s">
        <v>192</v>
      </c>
      <c r="C8" s="308">
        <v>2500</v>
      </c>
      <c r="D8" s="308">
        <v>88843</v>
      </c>
      <c r="E8" s="308">
        <v>27741</v>
      </c>
      <c r="F8" s="308">
        <v>540</v>
      </c>
      <c r="G8" s="308">
        <v>45660</v>
      </c>
      <c r="H8" s="308">
        <v>11658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308">
        <v>0</v>
      </c>
      <c r="O8" s="309">
        <f t="shared" si="0"/>
        <v>176942</v>
      </c>
      <c r="P8" s="300" t="s">
        <v>436</v>
      </c>
    </row>
    <row r="9" spans="1:16" ht="12.75">
      <c r="A9" s="303" t="s">
        <v>430</v>
      </c>
      <c r="B9" s="303" t="s">
        <v>445</v>
      </c>
      <c r="C9" s="308">
        <v>10000</v>
      </c>
      <c r="D9" s="308">
        <v>10000</v>
      </c>
      <c r="E9" s="308">
        <v>329575</v>
      </c>
      <c r="F9" s="308">
        <v>10000</v>
      </c>
      <c r="G9" s="308">
        <v>10000</v>
      </c>
      <c r="H9" s="308">
        <v>10000</v>
      </c>
      <c r="I9" s="308">
        <v>10000</v>
      </c>
      <c r="J9" s="308">
        <v>10000</v>
      </c>
      <c r="K9" s="308">
        <v>329575</v>
      </c>
      <c r="L9" s="308">
        <v>10000</v>
      </c>
      <c r="M9" s="308">
        <v>10000</v>
      </c>
      <c r="N9" s="308">
        <v>60000</v>
      </c>
      <c r="O9" s="309">
        <f t="shared" si="0"/>
        <v>809150</v>
      </c>
      <c r="P9" s="300" t="s">
        <v>446</v>
      </c>
    </row>
    <row r="10" spans="1:16" ht="12.75">
      <c r="A10" s="303" t="s">
        <v>513</v>
      </c>
      <c r="B10" s="303" t="s">
        <v>193</v>
      </c>
      <c r="C10" s="308">
        <v>26982</v>
      </c>
      <c r="D10" s="308">
        <v>33074</v>
      </c>
      <c r="E10" s="308">
        <v>30589</v>
      </c>
      <c r="F10" s="308">
        <v>30698</v>
      </c>
      <c r="G10" s="308">
        <v>24693</v>
      </c>
      <c r="H10" s="308">
        <v>24872</v>
      </c>
      <c r="I10" s="308">
        <v>23698</v>
      </c>
      <c r="J10" s="308">
        <v>35596</v>
      </c>
      <c r="K10" s="308">
        <v>33074</v>
      </c>
      <c r="L10" s="308">
        <v>33074</v>
      </c>
      <c r="M10" s="308">
        <v>33074</v>
      </c>
      <c r="N10" s="308">
        <v>33076</v>
      </c>
      <c r="O10" s="309">
        <f t="shared" si="0"/>
        <v>362500</v>
      </c>
      <c r="P10" s="300" t="s">
        <v>475</v>
      </c>
    </row>
    <row r="11" spans="1:16" ht="12.75">
      <c r="A11" s="303" t="s">
        <v>516</v>
      </c>
      <c r="B11" s="303" t="s">
        <v>482</v>
      </c>
      <c r="C11" s="308">
        <v>0</v>
      </c>
      <c r="D11" s="308"/>
      <c r="E11" s="308">
        <v>0</v>
      </c>
      <c r="F11" s="308">
        <v>0</v>
      </c>
      <c r="G11" s="308">
        <v>84618</v>
      </c>
      <c r="H11" s="308">
        <v>0</v>
      </c>
      <c r="I11" s="308">
        <v>0</v>
      </c>
      <c r="J11" s="308"/>
      <c r="K11" s="308">
        <v>0</v>
      </c>
      <c r="L11" s="308">
        <v>0</v>
      </c>
      <c r="M11" s="308">
        <v>0</v>
      </c>
      <c r="N11" s="308">
        <v>0</v>
      </c>
      <c r="O11" s="309">
        <f t="shared" si="0"/>
        <v>84618</v>
      </c>
      <c r="P11" s="300" t="s">
        <v>483</v>
      </c>
    </row>
    <row r="12" spans="1:16" ht="12.75">
      <c r="A12" s="303" t="s">
        <v>178</v>
      </c>
      <c r="B12" s="303" t="s">
        <v>490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  <c r="J12" s="308">
        <v>0</v>
      </c>
      <c r="K12" s="308">
        <v>0</v>
      </c>
      <c r="L12" s="308">
        <v>0</v>
      </c>
      <c r="M12" s="308">
        <v>0</v>
      </c>
      <c r="N12" s="308">
        <v>0</v>
      </c>
      <c r="O12" s="309">
        <f t="shared" si="0"/>
        <v>0</v>
      </c>
      <c r="P12" s="300" t="s">
        <v>491</v>
      </c>
    </row>
    <row r="13" spans="1:16" ht="12.75">
      <c r="A13" s="303" t="s">
        <v>179</v>
      </c>
      <c r="B13" s="303" t="s">
        <v>497</v>
      </c>
      <c r="C13" s="308">
        <v>72</v>
      </c>
      <c r="D13" s="308">
        <v>72</v>
      </c>
      <c r="E13" s="308">
        <v>72</v>
      </c>
      <c r="F13" s="308">
        <v>72</v>
      </c>
      <c r="G13" s="308">
        <v>72</v>
      </c>
      <c r="H13" s="308">
        <v>72</v>
      </c>
      <c r="I13" s="308">
        <v>72</v>
      </c>
      <c r="J13" s="308">
        <v>72</v>
      </c>
      <c r="K13" s="308">
        <v>72</v>
      </c>
      <c r="L13" s="308">
        <v>70</v>
      </c>
      <c r="M13" s="308">
        <v>80</v>
      </c>
      <c r="N13" s="308">
        <v>72</v>
      </c>
      <c r="O13" s="309">
        <f t="shared" si="0"/>
        <v>870</v>
      </c>
      <c r="P13" s="300" t="s">
        <v>498</v>
      </c>
    </row>
    <row r="14" spans="1:16" ht="12.75">
      <c r="A14" s="303" t="s">
        <v>180</v>
      </c>
      <c r="B14" s="303" t="s">
        <v>529</v>
      </c>
      <c r="C14" s="308">
        <v>0</v>
      </c>
      <c r="D14" s="308">
        <v>0</v>
      </c>
      <c r="E14" s="308">
        <v>0</v>
      </c>
      <c r="F14" s="308">
        <v>2686889</v>
      </c>
      <c r="G14" s="308">
        <v>0</v>
      </c>
      <c r="H14" s="308"/>
      <c r="I14" s="308">
        <v>0</v>
      </c>
      <c r="J14" s="308">
        <v>0</v>
      </c>
      <c r="K14" s="308">
        <v>0</v>
      </c>
      <c r="L14" s="308">
        <v>0</v>
      </c>
      <c r="M14" s="308">
        <v>0</v>
      </c>
      <c r="N14" s="308">
        <v>0</v>
      </c>
      <c r="O14" s="309">
        <f t="shared" si="0"/>
        <v>2686889</v>
      </c>
      <c r="P14" s="300" t="s">
        <v>530</v>
      </c>
    </row>
    <row r="15" spans="1:15" s="302" customFormat="1" ht="12.75">
      <c r="A15" s="303" t="s">
        <v>181</v>
      </c>
      <c r="B15" s="307" t="s">
        <v>195</v>
      </c>
      <c r="C15" s="309">
        <f>SUM(C7:C14)</f>
        <v>106937</v>
      </c>
      <c r="D15" s="309">
        <f aca="true" t="shared" si="1" ref="D15:O15">SUM(D7:D14)</f>
        <v>199372</v>
      </c>
      <c r="E15" s="309">
        <f t="shared" si="1"/>
        <v>455360</v>
      </c>
      <c r="F15" s="309">
        <f t="shared" si="1"/>
        <v>2795582</v>
      </c>
      <c r="G15" s="309">
        <f t="shared" si="1"/>
        <v>232426</v>
      </c>
      <c r="H15" s="309">
        <f t="shared" si="1"/>
        <v>113985</v>
      </c>
      <c r="I15" s="309">
        <f t="shared" si="1"/>
        <v>101153</v>
      </c>
      <c r="J15" s="309">
        <f t="shared" si="1"/>
        <v>113051</v>
      </c>
      <c r="K15" s="309">
        <f t="shared" si="1"/>
        <v>430104</v>
      </c>
      <c r="L15" s="309">
        <f t="shared" si="1"/>
        <v>110527</v>
      </c>
      <c r="M15" s="309">
        <f t="shared" si="1"/>
        <v>110537</v>
      </c>
      <c r="N15" s="309">
        <f t="shared" si="1"/>
        <v>160530</v>
      </c>
      <c r="O15" s="309">
        <f t="shared" si="1"/>
        <v>4929564</v>
      </c>
    </row>
    <row r="16" spans="1:15" ht="12.75">
      <c r="A16" s="303"/>
      <c r="B16" s="307" t="s">
        <v>301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</row>
    <row r="17" spans="1:16" ht="12.75">
      <c r="A17" s="303" t="s">
        <v>182</v>
      </c>
      <c r="B17" s="303" t="s">
        <v>590</v>
      </c>
      <c r="C17" s="308">
        <f>68780+512</f>
        <v>69292</v>
      </c>
      <c r="D17" s="308">
        <f>68780+512</f>
        <v>69292</v>
      </c>
      <c r="E17" s="308">
        <f>68780+512</f>
        <v>69292</v>
      </c>
      <c r="F17" s="308">
        <v>68780</v>
      </c>
      <c r="G17" s="308">
        <v>68780</v>
      </c>
      <c r="H17" s="308">
        <v>68780</v>
      </c>
      <c r="I17" s="308">
        <v>68780</v>
      </c>
      <c r="J17" s="308">
        <v>68780</v>
      </c>
      <c r="K17" s="308">
        <v>68780</v>
      </c>
      <c r="L17" s="308">
        <v>68780</v>
      </c>
      <c r="M17" s="308">
        <v>68780</v>
      </c>
      <c r="N17" s="308">
        <v>68776</v>
      </c>
      <c r="O17" s="309">
        <f aca="true" t="shared" si="2" ref="O17:O26">SUM(C17:N17)</f>
        <v>826892</v>
      </c>
      <c r="P17" s="300" t="s">
        <v>591</v>
      </c>
    </row>
    <row r="18" spans="1:16" ht="12.75">
      <c r="A18" s="303" t="s">
        <v>183</v>
      </c>
      <c r="B18" s="303" t="s">
        <v>196</v>
      </c>
      <c r="C18" s="308">
        <f>12768+80</f>
        <v>12848</v>
      </c>
      <c r="D18" s="308">
        <f>12768+80</f>
        <v>12848</v>
      </c>
      <c r="E18" s="308">
        <f>12768+80</f>
        <v>12848</v>
      </c>
      <c r="F18" s="308">
        <v>12770</v>
      </c>
      <c r="G18" s="308">
        <v>12768</v>
      </c>
      <c r="H18" s="308">
        <v>12768</v>
      </c>
      <c r="I18" s="308">
        <v>12768</v>
      </c>
      <c r="J18" s="308">
        <v>12768</v>
      </c>
      <c r="K18" s="308">
        <v>12768</v>
      </c>
      <c r="L18" s="308">
        <v>12768</v>
      </c>
      <c r="M18" s="308">
        <v>12768</v>
      </c>
      <c r="N18" s="308">
        <v>12771</v>
      </c>
      <c r="O18" s="309">
        <f t="shared" si="2"/>
        <v>153461</v>
      </c>
      <c r="P18" s="300" t="s">
        <v>593</v>
      </c>
    </row>
    <row r="19" spans="1:16" ht="12.75">
      <c r="A19" s="303" t="s">
        <v>184</v>
      </c>
      <c r="B19" s="303" t="s">
        <v>594</v>
      </c>
      <c r="C19" s="308">
        <v>64950</v>
      </c>
      <c r="D19" s="308">
        <v>64950</v>
      </c>
      <c r="E19" s="308">
        <v>64950</v>
      </c>
      <c r="F19" s="308">
        <v>64950</v>
      </c>
      <c r="G19" s="308">
        <v>64950</v>
      </c>
      <c r="H19" s="308">
        <v>64950</v>
      </c>
      <c r="I19" s="308">
        <v>64950</v>
      </c>
      <c r="J19" s="308">
        <v>64950</v>
      </c>
      <c r="K19" s="308">
        <v>64950</v>
      </c>
      <c r="L19" s="308">
        <v>64950</v>
      </c>
      <c r="M19" s="308">
        <v>64950</v>
      </c>
      <c r="N19" s="308">
        <v>64954</v>
      </c>
      <c r="O19" s="309">
        <f t="shared" si="2"/>
        <v>779404</v>
      </c>
      <c r="P19" s="300" t="s">
        <v>595</v>
      </c>
    </row>
    <row r="20" spans="1:16" ht="12.75">
      <c r="A20" s="303" t="s">
        <v>185</v>
      </c>
      <c r="B20" s="303" t="s">
        <v>602</v>
      </c>
      <c r="C20" s="308">
        <v>3062</v>
      </c>
      <c r="D20" s="308">
        <v>3062</v>
      </c>
      <c r="E20" s="308">
        <v>3062</v>
      </c>
      <c r="F20" s="308">
        <v>3062</v>
      </c>
      <c r="G20" s="308">
        <v>3062</v>
      </c>
      <c r="H20" s="308">
        <v>3062</v>
      </c>
      <c r="I20" s="308">
        <v>3062</v>
      </c>
      <c r="J20" s="308">
        <v>3062</v>
      </c>
      <c r="K20" s="308">
        <v>3062</v>
      </c>
      <c r="L20" s="308">
        <v>3062</v>
      </c>
      <c r="M20" s="308">
        <v>3062</v>
      </c>
      <c r="N20" s="308">
        <v>3056</v>
      </c>
      <c r="O20" s="309">
        <f t="shared" si="2"/>
        <v>36738</v>
      </c>
      <c r="P20" s="300" t="s">
        <v>603</v>
      </c>
    </row>
    <row r="21" spans="1:16" ht="12.75">
      <c r="A21" s="303" t="s">
        <v>186</v>
      </c>
      <c r="B21" s="303" t="s">
        <v>20</v>
      </c>
      <c r="C21" s="308">
        <v>61980</v>
      </c>
      <c r="D21" s="308">
        <v>61980</v>
      </c>
      <c r="E21" s="308">
        <v>61980</v>
      </c>
      <c r="F21" s="308">
        <v>61980</v>
      </c>
      <c r="G21" s="308">
        <v>61980</v>
      </c>
      <c r="H21" s="308">
        <v>61980</v>
      </c>
      <c r="I21" s="308">
        <v>61980</v>
      </c>
      <c r="J21" s="308">
        <v>61980</v>
      </c>
      <c r="K21" s="308">
        <v>61980</v>
      </c>
      <c r="L21" s="308">
        <v>61980</v>
      </c>
      <c r="M21" s="308">
        <v>61980</v>
      </c>
      <c r="N21" s="308">
        <v>61982</v>
      </c>
      <c r="O21" s="309">
        <f t="shared" si="2"/>
        <v>743762</v>
      </c>
      <c r="P21" s="300" t="s">
        <v>21</v>
      </c>
    </row>
    <row r="22" spans="1:16" ht="12.75">
      <c r="A22" s="303" t="s">
        <v>187</v>
      </c>
      <c r="B22" s="303" t="s">
        <v>197</v>
      </c>
      <c r="C22" s="308">
        <v>51135</v>
      </c>
      <c r="D22" s="308">
        <v>51135</v>
      </c>
      <c r="E22" s="308">
        <v>51135</v>
      </c>
      <c r="F22" s="308">
        <v>51135</v>
      </c>
      <c r="G22" s="308">
        <v>51135</v>
      </c>
      <c r="H22" s="308">
        <v>51135</v>
      </c>
      <c r="I22" s="308">
        <v>51135</v>
      </c>
      <c r="J22" s="308">
        <v>51135</v>
      </c>
      <c r="K22" s="308">
        <v>51135</v>
      </c>
      <c r="L22" s="308">
        <v>51135</v>
      </c>
      <c r="M22" s="308">
        <v>51135</v>
      </c>
      <c r="N22" s="308">
        <v>51130</v>
      </c>
      <c r="O22" s="309">
        <f t="shared" si="2"/>
        <v>613615</v>
      </c>
      <c r="P22" s="300" t="s">
        <v>39</v>
      </c>
    </row>
    <row r="23" spans="1:16" ht="12.75">
      <c r="A23" s="303" t="s">
        <v>189</v>
      </c>
      <c r="B23" s="303" t="s">
        <v>49</v>
      </c>
      <c r="C23" s="308">
        <v>63523</v>
      </c>
      <c r="D23" s="308">
        <v>63523</v>
      </c>
      <c r="E23" s="308">
        <v>63523</v>
      </c>
      <c r="F23" s="308">
        <v>63523</v>
      </c>
      <c r="G23" s="308">
        <v>63523</v>
      </c>
      <c r="H23" s="308">
        <v>63523</v>
      </c>
      <c r="I23" s="308">
        <v>63523</v>
      </c>
      <c r="J23" s="308">
        <v>63523</v>
      </c>
      <c r="K23" s="308">
        <v>63523</v>
      </c>
      <c r="L23" s="308">
        <v>63523</v>
      </c>
      <c r="M23" s="308">
        <v>63523</v>
      </c>
      <c r="N23" s="308">
        <v>63530</v>
      </c>
      <c r="O23" s="309">
        <f t="shared" si="2"/>
        <v>762283</v>
      </c>
      <c r="P23" s="300" t="s">
        <v>50</v>
      </c>
    </row>
    <row r="24" spans="1:16" ht="12.75">
      <c r="A24" s="303" t="s">
        <v>190</v>
      </c>
      <c r="B24" s="303" t="s">
        <v>56</v>
      </c>
      <c r="C24" s="308">
        <v>49656</v>
      </c>
      <c r="D24" s="308">
        <v>49656</v>
      </c>
      <c r="E24" s="308">
        <v>99656</v>
      </c>
      <c r="F24" s="308">
        <v>49656</v>
      </c>
      <c r="G24" s="308">
        <v>49656</v>
      </c>
      <c r="H24" s="308">
        <v>49656</v>
      </c>
      <c r="I24" s="308">
        <v>49656</v>
      </c>
      <c r="J24" s="308">
        <v>49656</v>
      </c>
      <c r="K24" s="308">
        <v>76818</v>
      </c>
      <c r="L24" s="308">
        <v>49656</v>
      </c>
      <c r="M24" s="308">
        <v>49656</v>
      </c>
      <c r="N24" s="308">
        <v>49664</v>
      </c>
      <c r="O24" s="309">
        <f t="shared" si="2"/>
        <v>673042</v>
      </c>
      <c r="P24" s="300" t="s">
        <v>57</v>
      </c>
    </row>
    <row r="25" spans="1:16" ht="12.75">
      <c r="A25" s="303" t="s">
        <v>191</v>
      </c>
      <c r="B25" s="303" t="s">
        <v>60</v>
      </c>
      <c r="C25" s="308">
        <v>0</v>
      </c>
      <c r="D25" s="308">
        <v>251619</v>
      </c>
      <c r="E25" s="308">
        <v>3000</v>
      </c>
      <c r="F25" s="308">
        <v>16103</v>
      </c>
      <c r="G25" s="308">
        <v>0</v>
      </c>
      <c r="H25" s="308">
        <v>0</v>
      </c>
      <c r="I25" s="308">
        <v>0</v>
      </c>
      <c r="J25" s="308">
        <v>0</v>
      </c>
      <c r="K25" s="308">
        <v>0</v>
      </c>
      <c r="L25" s="308">
        <v>0</v>
      </c>
      <c r="M25" s="308">
        <v>0</v>
      </c>
      <c r="N25" s="308">
        <v>0</v>
      </c>
      <c r="O25" s="309">
        <f t="shared" si="2"/>
        <v>270722</v>
      </c>
      <c r="P25" s="300" t="s">
        <v>69</v>
      </c>
    </row>
    <row r="26" spans="1:16" ht="12.75">
      <c r="A26" s="303" t="s">
        <v>194</v>
      </c>
      <c r="B26" s="303" t="s">
        <v>279</v>
      </c>
      <c r="C26" s="308">
        <v>24743</v>
      </c>
      <c r="D26" s="308">
        <v>0</v>
      </c>
      <c r="E26" s="308">
        <v>11225</v>
      </c>
      <c r="F26" s="308">
        <v>0</v>
      </c>
      <c r="G26" s="308">
        <v>0</v>
      </c>
      <c r="H26" s="308">
        <v>11225</v>
      </c>
      <c r="I26" s="308">
        <v>0</v>
      </c>
      <c r="J26" s="308">
        <v>0</v>
      </c>
      <c r="K26" s="308">
        <v>11226</v>
      </c>
      <c r="L26" s="308">
        <v>0</v>
      </c>
      <c r="M26" s="308">
        <v>0</v>
      </c>
      <c r="N26" s="308">
        <v>11226</v>
      </c>
      <c r="O26" s="309">
        <f t="shared" si="2"/>
        <v>69645</v>
      </c>
      <c r="P26" s="300" t="s">
        <v>78</v>
      </c>
    </row>
    <row r="27" spans="1:15" s="302" customFormat="1" ht="12.75">
      <c r="A27" s="303" t="s">
        <v>198</v>
      </c>
      <c r="B27" s="307" t="s">
        <v>199</v>
      </c>
      <c r="C27" s="309">
        <f aca="true" t="shared" si="3" ref="C27:O27">SUM(C17:C26)</f>
        <v>401189</v>
      </c>
      <c r="D27" s="309">
        <f t="shared" si="3"/>
        <v>628065</v>
      </c>
      <c r="E27" s="309">
        <f t="shared" si="3"/>
        <v>440671</v>
      </c>
      <c r="F27" s="309">
        <f t="shared" si="3"/>
        <v>391959</v>
      </c>
      <c r="G27" s="309">
        <f t="shared" si="3"/>
        <v>375854</v>
      </c>
      <c r="H27" s="309">
        <f t="shared" si="3"/>
        <v>387079</v>
      </c>
      <c r="I27" s="309">
        <f t="shared" si="3"/>
        <v>375854</v>
      </c>
      <c r="J27" s="309">
        <f t="shared" si="3"/>
        <v>375854</v>
      </c>
      <c r="K27" s="309">
        <f t="shared" si="3"/>
        <v>414242</v>
      </c>
      <c r="L27" s="309">
        <f t="shared" si="3"/>
        <v>375854</v>
      </c>
      <c r="M27" s="309">
        <f t="shared" si="3"/>
        <v>375854</v>
      </c>
      <c r="N27" s="309">
        <f t="shared" si="3"/>
        <v>387089</v>
      </c>
      <c r="O27" s="309">
        <f t="shared" si="3"/>
        <v>4929564</v>
      </c>
    </row>
    <row r="28" spans="1:15" s="302" customFormat="1" ht="12.75">
      <c r="A28" s="303"/>
      <c r="B28" s="307" t="s">
        <v>200</v>
      </c>
      <c r="C28" s="309">
        <f aca="true" t="shared" si="4" ref="C28:O28">SUM(C15-C27)</f>
        <v>-294252</v>
      </c>
      <c r="D28" s="309">
        <f t="shared" si="4"/>
        <v>-428693</v>
      </c>
      <c r="E28" s="309">
        <f t="shared" si="4"/>
        <v>14689</v>
      </c>
      <c r="F28" s="309">
        <f t="shared" si="4"/>
        <v>2403623</v>
      </c>
      <c r="G28" s="309">
        <f t="shared" si="4"/>
        <v>-143428</v>
      </c>
      <c r="H28" s="309">
        <f t="shared" si="4"/>
        <v>-273094</v>
      </c>
      <c r="I28" s="309">
        <f t="shared" si="4"/>
        <v>-274701</v>
      </c>
      <c r="J28" s="309">
        <f t="shared" si="4"/>
        <v>-262803</v>
      </c>
      <c r="K28" s="309">
        <f t="shared" si="4"/>
        <v>15862</v>
      </c>
      <c r="L28" s="309">
        <f t="shared" si="4"/>
        <v>-265327</v>
      </c>
      <c r="M28" s="309">
        <f t="shared" si="4"/>
        <v>-265317</v>
      </c>
      <c r="N28" s="309">
        <f t="shared" si="4"/>
        <v>-226559</v>
      </c>
      <c r="O28" s="309">
        <f t="shared" si="4"/>
        <v>0</v>
      </c>
    </row>
    <row r="29" ht="12.75">
      <c r="D29" s="300" t="s">
        <v>524</v>
      </c>
    </row>
  </sheetData>
  <sheetProtection/>
  <mergeCells count="3">
    <mergeCell ref="B3:O3"/>
    <mergeCell ref="I1:O1"/>
    <mergeCell ref="M4:O4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75" zoomScaleSheetLayoutView="75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L1"/>
    </sheetView>
  </sheetViews>
  <sheetFormatPr defaultColWidth="9.140625" defaultRowHeight="12.75"/>
  <cols>
    <col min="1" max="1" width="54.57421875" style="44" customWidth="1"/>
    <col min="2" max="2" width="14.7109375" style="44" customWidth="1"/>
    <col min="3" max="3" width="14.28125" style="44" customWidth="1"/>
    <col min="4" max="4" width="11.28125" style="44" customWidth="1"/>
    <col min="5" max="5" width="11.421875" style="44" customWidth="1"/>
    <col min="6" max="6" width="15.00390625" style="44" customWidth="1"/>
    <col min="7" max="8" width="11.8515625" style="44" customWidth="1"/>
    <col min="9" max="9" width="12.140625" style="44" customWidth="1"/>
    <col min="10" max="10" width="15.28125" style="44" customWidth="1"/>
    <col min="11" max="11" width="16.00390625" style="44" customWidth="1"/>
    <col min="12" max="16384" width="9.140625" style="44" customWidth="1"/>
  </cols>
  <sheetData>
    <row r="1" spans="1:12" ht="12.75">
      <c r="A1" s="414" t="s">
        <v>935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4" spans="1:11" ht="12.75">
      <c r="A4" s="415" t="s">
        <v>769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9:11" ht="12.75">
      <c r="I5" s="416" t="s">
        <v>352</v>
      </c>
      <c r="J5" s="416"/>
      <c r="K5" s="416"/>
    </row>
    <row r="6" spans="1:12" s="164" customFormat="1" ht="114.75" customHeight="1">
      <c r="A6" s="437" t="s">
        <v>302</v>
      </c>
      <c r="B6" s="437" t="s">
        <v>303</v>
      </c>
      <c r="C6" s="437" t="s">
        <v>304</v>
      </c>
      <c r="D6" s="437" t="s">
        <v>667</v>
      </c>
      <c r="E6" s="437"/>
      <c r="F6" s="437"/>
      <c r="G6" s="437" t="s">
        <v>305</v>
      </c>
      <c r="H6" s="437"/>
      <c r="I6" s="437"/>
      <c r="J6" s="437" t="s">
        <v>306</v>
      </c>
      <c r="K6" s="438" t="s">
        <v>307</v>
      </c>
      <c r="L6" s="437" t="s">
        <v>368</v>
      </c>
    </row>
    <row r="7" spans="1:12" s="164" customFormat="1" ht="12.75">
      <c r="A7" s="437"/>
      <c r="B7" s="437"/>
      <c r="C7" s="437"/>
      <c r="D7" s="279" t="s">
        <v>308</v>
      </c>
      <c r="E7" s="279" t="s">
        <v>309</v>
      </c>
      <c r="F7" s="279" t="s">
        <v>502</v>
      </c>
      <c r="G7" s="279" t="s">
        <v>310</v>
      </c>
      <c r="H7" s="279" t="s">
        <v>311</v>
      </c>
      <c r="I7" s="279" t="s">
        <v>161</v>
      </c>
      <c r="J7" s="437"/>
      <c r="K7" s="438"/>
      <c r="L7" s="437"/>
    </row>
    <row r="8" spans="1:12" ht="12.75">
      <c r="A8" s="210" t="s">
        <v>85</v>
      </c>
      <c r="B8" s="72">
        <v>135070</v>
      </c>
      <c r="C8" s="79">
        <v>424364</v>
      </c>
      <c r="D8" s="79">
        <v>47244</v>
      </c>
      <c r="E8" s="79">
        <v>83310</v>
      </c>
      <c r="F8" s="72">
        <f aca="true" t="shared" si="0" ref="F8:F18">SUM(D8:E8)</f>
        <v>130554</v>
      </c>
      <c r="G8" s="79">
        <v>43527</v>
      </c>
      <c r="H8" s="79">
        <v>33415</v>
      </c>
      <c r="I8" s="72">
        <f aca="true" t="shared" si="1" ref="I8:I18">SUM(G8:H8)</f>
        <v>76942</v>
      </c>
      <c r="J8" s="79">
        <v>59962</v>
      </c>
      <c r="K8" s="280">
        <f>SUM(B8+C8+F8+I8+J8)</f>
        <v>826892</v>
      </c>
      <c r="L8" s="281" t="s">
        <v>591</v>
      </c>
    </row>
    <row r="9" spans="1:12" ht="12.75">
      <c r="A9" s="210" t="s">
        <v>312</v>
      </c>
      <c r="B9" s="72">
        <v>21740</v>
      </c>
      <c r="C9" s="83">
        <v>82820</v>
      </c>
      <c r="D9" s="83">
        <v>9082</v>
      </c>
      <c r="E9" s="83">
        <v>16279</v>
      </c>
      <c r="F9" s="72">
        <f t="shared" si="0"/>
        <v>25361</v>
      </c>
      <c r="G9" s="83">
        <v>7423</v>
      </c>
      <c r="H9" s="83">
        <v>5690</v>
      </c>
      <c r="I9" s="72">
        <f t="shared" si="1"/>
        <v>13113</v>
      </c>
      <c r="J9" s="80">
        <v>10427</v>
      </c>
      <c r="K9" s="280">
        <f aca="true" t="shared" si="2" ref="K9:K18">SUM(B9+C9+F9+I9+J9)</f>
        <v>153461</v>
      </c>
      <c r="L9" s="281" t="s">
        <v>593</v>
      </c>
    </row>
    <row r="10" spans="1:12" ht="12.75">
      <c r="A10" s="210" t="s">
        <v>172</v>
      </c>
      <c r="B10" s="72">
        <v>516140</v>
      </c>
      <c r="C10" s="79">
        <v>131338</v>
      </c>
      <c r="D10" s="79">
        <v>6957</v>
      </c>
      <c r="E10" s="79">
        <v>12004</v>
      </c>
      <c r="F10" s="72">
        <f t="shared" si="0"/>
        <v>18961</v>
      </c>
      <c r="G10" s="79">
        <v>78528</v>
      </c>
      <c r="H10" s="79">
        <v>21791</v>
      </c>
      <c r="I10" s="72">
        <f t="shared" si="1"/>
        <v>100319</v>
      </c>
      <c r="J10" s="81">
        <v>7646</v>
      </c>
      <c r="K10" s="280">
        <f t="shared" si="2"/>
        <v>774404</v>
      </c>
      <c r="L10" s="281" t="s">
        <v>595</v>
      </c>
    </row>
    <row r="11" spans="1:12" ht="12.75">
      <c r="A11" s="210" t="s">
        <v>313</v>
      </c>
      <c r="B11" s="72">
        <v>5000</v>
      </c>
      <c r="C11" s="79">
        <v>0</v>
      </c>
      <c r="D11" s="79">
        <v>0</v>
      </c>
      <c r="E11" s="79">
        <v>0</v>
      </c>
      <c r="F11" s="72">
        <f t="shared" si="0"/>
        <v>0</v>
      </c>
      <c r="G11" s="79"/>
      <c r="H11" s="79"/>
      <c r="I11" s="72">
        <f t="shared" si="1"/>
        <v>0</v>
      </c>
      <c r="J11" s="81">
        <v>0</v>
      </c>
      <c r="K11" s="280">
        <f t="shared" si="2"/>
        <v>5000</v>
      </c>
      <c r="L11" s="281" t="s">
        <v>595</v>
      </c>
    </row>
    <row r="12" spans="1:12" ht="12.75">
      <c r="A12" s="210" t="s">
        <v>602</v>
      </c>
      <c r="B12" s="72">
        <v>36738</v>
      </c>
      <c r="C12" s="79">
        <v>0</v>
      </c>
      <c r="D12" s="79">
        <v>0</v>
      </c>
      <c r="E12" s="79">
        <v>0</v>
      </c>
      <c r="F12" s="72">
        <f t="shared" si="0"/>
        <v>0</v>
      </c>
      <c r="G12" s="79"/>
      <c r="H12" s="79"/>
      <c r="I12" s="72">
        <f t="shared" si="1"/>
        <v>0</v>
      </c>
      <c r="J12" s="81">
        <v>0</v>
      </c>
      <c r="K12" s="280">
        <f t="shared" si="2"/>
        <v>36738</v>
      </c>
      <c r="L12" s="281" t="s">
        <v>603</v>
      </c>
    </row>
    <row r="13" spans="1:12" ht="12.75">
      <c r="A13" s="210" t="s">
        <v>23</v>
      </c>
      <c r="B13" s="72">
        <v>0</v>
      </c>
      <c r="C13" s="79">
        <v>0</v>
      </c>
      <c r="D13" s="79">
        <v>0</v>
      </c>
      <c r="E13" s="79">
        <v>0</v>
      </c>
      <c r="F13" s="72">
        <f t="shared" si="0"/>
        <v>0</v>
      </c>
      <c r="G13" s="79"/>
      <c r="H13" s="79"/>
      <c r="I13" s="72">
        <f t="shared" si="1"/>
        <v>0</v>
      </c>
      <c r="J13" s="81">
        <v>0</v>
      </c>
      <c r="K13" s="280">
        <f t="shared" si="2"/>
        <v>0</v>
      </c>
      <c r="L13" s="281" t="s">
        <v>24</v>
      </c>
    </row>
    <row r="14" spans="1:12" ht="12.75">
      <c r="A14" s="210" t="s">
        <v>202</v>
      </c>
      <c r="B14" s="72">
        <v>0</v>
      </c>
      <c r="C14" s="79">
        <v>0</v>
      </c>
      <c r="D14" s="79">
        <v>0</v>
      </c>
      <c r="E14" s="79">
        <v>0</v>
      </c>
      <c r="F14" s="72">
        <f t="shared" si="0"/>
        <v>0</v>
      </c>
      <c r="G14" s="79"/>
      <c r="H14" s="79"/>
      <c r="I14" s="72">
        <f t="shared" si="1"/>
        <v>0</v>
      </c>
      <c r="J14" s="81">
        <v>0</v>
      </c>
      <c r="K14" s="280">
        <f t="shared" si="2"/>
        <v>0</v>
      </c>
      <c r="L14" s="281" t="s">
        <v>27</v>
      </c>
    </row>
    <row r="15" spans="1:12" ht="12.75">
      <c r="A15" s="210" t="s">
        <v>29</v>
      </c>
      <c r="B15" s="72">
        <v>303370</v>
      </c>
      <c r="C15" s="79">
        <v>0</v>
      </c>
      <c r="D15" s="79">
        <v>0</v>
      </c>
      <c r="E15" s="79">
        <v>0</v>
      </c>
      <c r="F15" s="72">
        <f t="shared" si="0"/>
        <v>0</v>
      </c>
      <c r="G15" s="79"/>
      <c r="H15" s="79"/>
      <c r="I15" s="72">
        <f t="shared" si="1"/>
        <v>0</v>
      </c>
      <c r="J15" s="81">
        <v>0</v>
      </c>
      <c r="K15" s="280">
        <f t="shared" si="2"/>
        <v>303370</v>
      </c>
      <c r="L15" s="281" t="s">
        <v>30</v>
      </c>
    </row>
    <row r="16" spans="1:12" ht="12.75">
      <c r="A16" s="210" t="s">
        <v>201</v>
      </c>
      <c r="B16" s="72">
        <v>0</v>
      </c>
      <c r="C16" s="79">
        <v>0</v>
      </c>
      <c r="D16" s="79">
        <v>0</v>
      </c>
      <c r="E16" s="79">
        <v>0</v>
      </c>
      <c r="F16" s="72">
        <f t="shared" si="0"/>
        <v>0</v>
      </c>
      <c r="G16" s="79"/>
      <c r="H16" s="79"/>
      <c r="I16" s="72">
        <f t="shared" si="1"/>
        <v>0</v>
      </c>
      <c r="J16" s="81">
        <v>0</v>
      </c>
      <c r="K16" s="280">
        <f t="shared" si="2"/>
        <v>0</v>
      </c>
      <c r="L16" s="281" t="s">
        <v>33</v>
      </c>
    </row>
    <row r="17" spans="1:12" ht="12.75">
      <c r="A17" s="210" t="s">
        <v>35</v>
      </c>
      <c r="B17" s="72">
        <v>440392</v>
      </c>
      <c r="C17" s="79">
        <v>0</v>
      </c>
      <c r="D17" s="79">
        <v>0</v>
      </c>
      <c r="E17" s="79">
        <v>0</v>
      </c>
      <c r="F17" s="72">
        <f t="shared" si="0"/>
        <v>0</v>
      </c>
      <c r="G17" s="79"/>
      <c r="H17" s="79"/>
      <c r="I17" s="72">
        <f t="shared" si="1"/>
        <v>0</v>
      </c>
      <c r="J17" s="81">
        <v>0</v>
      </c>
      <c r="K17" s="280">
        <f t="shared" si="2"/>
        <v>440392</v>
      </c>
      <c r="L17" s="281" t="s">
        <v>36</v>
      </c>
    </row>
    <row r="18" spans="1:12" ht="13.5" thickBot="1">
      <c r="A18" s="282" t="s">
        <v>203</v>
      </c>
      <c r="B18" s="73">
        <v>69031</v>
      </c>
      <c r="C18" s="79">
        <v>0</v>
      </c>
      <c r="D18" s="79">
        <v>0</v>
      </c>
      <c r="E18" s="79">
        <v>0</v>
      </c>
      <c r="F18" s="73">
        <f t="shared" si="0"/>
        <v>0</v>
      </c>
      <c r="G18" s="85"/>
      <c r="H18" s="85"/>
      <c r="I18" s="73">
        <f t="shared" si="1"/>
        <v>0</v>
      </c>
      <c r="J18" s="82">
        <v>0</v>
      </c>
      <c r="K18" s="280">
        <f t="shared" si="2"/>
        <v>69031</v>
      </c>
      <c r="L18" s="283" t="s">
        <v>39</v>
      </c>
    </row>
    <row r="19" spans="1:12" ht="13.5" thickBot="1">
      <c r="A19" s="284" t="s">
        <v>314</v>
      </c>
      <c r="B19" s="74">
        <f aca="true" t="shared" si="3" ref="B19:J19">SUM(B8:B18)</f>
        <v>1527481</v>
      </c>
      <c r="C19" s="86">
        <f t="shared" si="3"/>
        <v>638522</v>
      </c>
      <c r="D19" s="86">
        <f t="shared" si="3"/>
        <v>63283</v>
      </c>
      <c r="E19" s="86">
        <f t="shared" si="3"/>
        <v>111593</v>
      </c>
      <c r="F19" s="74">
        <f t="shared" si="3"/>
        <v>174876</v>
      </c>
      <c r="G19" s="86">
        <f t="shared" si="3"/>
        <v>129478</v>
      </c>
      <c r="H19" s="86">
        <f t="shared" si="3"/>
        <v>60896</v>
      </c>
      <c r="I19" s="74">
        <f t="shared" si="3"/>
        <v>190374</v>
      </c>
      <c r="J19" s="86">
        <f t="shared" si="3"/>
        <v>78035</v>
      </c>
      <c r="K19" s="285">
        <f>SUM(B19+C19+F19+I19+J19)</f>
        <v>2609288</v>
      </c>
      <c r="L19" s="286"/>
    </row>
    <row r="20" spans="1:12" ht="12.75">
      <c r="A20" s="287" t="s">
        <v>204</v>
      </c>
      <c r="B20" s="75">
        <v>544584</v>
      </c>
      <c r="C20" s="83">
        <v>0</v>
      </c>
      <c r="D20" s="83">
        <v>0</v>
      </c>
      <c r="E20" s="83">
        <v>0</v>
      </c>
      <c r="F20" s="75">
        <f aca="true" t="shared" si="4" ref="F20:F25">SUM(D20:E20)</f>
        <v>0</v>
      </c>
      <c r="G20" s="83"/>
      <c r="H20" s="83"/>
      <c r="I20" s="75">
        <f aca="true" t="shared" si="5" ref="I20:I25">SUM(G20:H20)</f>
        <v>0</v>
      </c>
      <c r="J20" s="80">
        <v>0</v>
      </c>
      <c r="K20" s="288">
        <f aca="true" t="shared" si="6" ref="K20:K41">SUM(B20+C20+F20+I20+J20)</f>
        <v>544584</v>
      </c>
      <c r="L20" s="289" t="s">
        <v>39</v>
      </c>
    </row>
    <row r="21" spans="1:12" ht="12.75">
      <c r="A21" s="210" t="s">
        <v>49</v>
      </c>
      <c r="B21" s="72">
        <v>720662</v>
      </c>
      <c r="C21" s="79">
        <v>38100</v>
      </c>
      <c r="D21" s="79">
        <v>400</v>
      </c>
      <c r="E21" s="79">
        <v>0</v>
      </c>
      <c r="F21" s="72">
        <f t="shared" si="4"/>
        <v>400</v>
      </c>
      <c r="G21" s="79">
        <v>50</v>
      </c>
      <c r="H21" s="79">
        <v>2563</v>
      </c>
      <c r="I21" s="72">
        <f t="shared" si="5"/>
        <v>2613</v>
      </c>
      <c r="J21" s="81">
        <v>508</v>
      </c>
      <c r="K21" s="280">
        <f t="shared" si="6"/>
        <v>762283</v>
      </c>
      <c r="L21" s="281" t="s">
        <v>50</v>
      </c>
    </row>
    <row r="22" spans="1:12" ht="12.75">
      <c r="A22" s="210" t="s">
        <v>56</v>
      </c>
      <c r="B22" s="72">
        <v>673042</v>
      </c>
      <c r="C22" s="79">
        <v>0</v>
      </c>
      <c r="D22" s="79">
        <v>0</v>
      </c>
      <c r="E22" s="79">
        <v>0</v>
      </c>
      <c r="F22" s="72">
        <f t="shared" si="4"/>
        <v>0</v>
      </c>
      <c r="G22" s="79"/>
      <c r="H22" s="79"/>
      <c r="I22" s="72">
        <f t="shared" si="5"/>
        <v>0</v>
      </c>
      <c r="J22" s="81">
        <v>0</v>
      </c>
      <c r="K22" s="280">
        <f t="shared" si="6"/>
        <v>673042</v>
      </c>
      <c r="L22" s="281" t="s">
        <v>57</v>
      </c>
    </row>
    <row r="23" spans="1:12" ht="12.75">
      <c r="A23" s="210" t="s">
        <v>60</v>
      </c>
      <c r="B23" s="72">
        <v>270722</v>
      </c>
      <c r="C23" s="79">
        <v>0</v>
      </c>
      <c r="D23" s="79">
        <v>0</v>
      </c>
      <c r="E23" s="79">
        <v>0</v>
      </c>
      <c r="F23" s="72">
        <f t="shared" si="4"/>
        <v>0</v>
      </c>
      <c r="G23" s="79"/>
      <c r="H23" s="79"/>
      <c r="I23" s="72">
        <f t="shared" si="5"/>
        <v>0</v>
      </c>
      <c r="J23" s="81">
        <v>0</v>
      </c>
      <c r="K23" s="280">
        <f t="shared" si="6"/>
        <v>270722</v>
      </c>
      <c r="L23" s="281" t="s">
        <v>69</v>
      </c>
    </row>
    <row r="24" spans="1:12" ht="12.75">
      <c r="A24" s="210" t="s">
        <v>79</v>
      </c>
      <c r="B24" s="72">
        <v>44902</v>
      </c>
      <c r="C24" s="79">
        <v>0</v>
      </c>
      <c r="D24" s="79">
        <v>0</v>
      </c>
      <c r="E24" s="79">
        <v>0</v>
      </c>
      <c r="F24" s="72">
        <f t="shared" si="4"/>
        <v>0</v>
      </c>
      <c r="G24" s="79"/>
      <c r="H24" s="79"/>
      <c r="I24" s="72">
        <f t="shared" si="5"/>
        <v>0</v>
      </c>
      <c r="J24" s="81">
        <v>0</v>
      </c>
      <c r="K24" s="280">
        <f t="shared" si="6"/>
        <v>44902</v>
      </c>
      <c r="L24" s="281" t="s">
        <v>81</v>
      </c>
    </row>
    <row r="25" spans="1:12" ht="13.5" thickBot="1">
      <c r="A25" s="290" t="s">
        <v>82</v>
      </c>
      <c r="B25" s="76">
        <v>24743</v>
      </c>
      <c r="C25" s="87">
        <v>0</v>
      </c>
      <c r="D25" s="87">
        <v>0</v>
      </c>
      <c r="E25" s="87">
        <v>0</v>
      </c>
      <c r="F25" s="76">
        <f t="shared" si="4"/>
        <v>0</v>
      </c>
      <c r="G25" s="87"/>
      <c r="H25" s="87"/>
      <c r="I25" s="76">
        <f t="shared" si="5"/>
        <v>0</v>
      </c>
      <c r="J25" s="82">
        <v>0</v>
      </c>
      <c r="K25" s="291">
        <f t="shared" si="6"/>
        <v>24743</v>
      </c>
      <c r="L25" s="283" t="s">
        <v>81</v>
      </c>
    </row>
    <row r="26" spans="1:12" s="168" customFormat="1" ht="13.5" thickBot="1">
      <c r="A26" s="292" t="s">
        <v>315</v>
      </c>
      <c r="B26" s="74">
        <f aca="true" t="shared" si="7" ref="B26:J26">SUM(B20:B25)</f>
        <v>2278655</v>
      </c>
      <c r="C26" s="86">
        <f t="shared" si="7"/>
        <v>38100</v>
      </c>
      <c r="D26" s="86">
        <f t="shared" si="7"/>
        <v>400</v>
      </c>
      <c r="E26" s="86">
        <f t="shared" si="7"/>
        <v>0</v>
      </c>
      <c r="F26" s="74">
        <f t="shared" si="7"/>
        <v>400</v>
      </c>
      <c r="G26" s="86">
        <f t="shared" si="7"/>
        <v>50</v>
      </c>
      <c r="H26" s="86">
        <f t="shared" si="7"/>
        <v>2563</v>
      </c>
      <c r="I26" s="74">
        <f t="shared" si="7"/>
        <v>2613</v>
      </c>
      <c r="J26" s="86">
        <f t="shared" si="7"/>
        <v>508</v>
      </c>
      <c r="K26" s="285">
        <f>SUM(B26+C26+F26+I26+J26)</f>
        <v>2320276</v>
      </c>
      <c r="L26" s="293"/>
    </row>
    <row r="27" spans="1:12" s="168" customFormat="1" ht="13.5" thickBot="1">
      <c r="A27" s="294" t="s">
        <v>316</v>
      </c>
      <c r="B27" s="77">
        <f aca="true" t="shared" si="8" ref="B27:J27">B19+B26</f>
        <v>3806136</v>
      </c>
      <c r="C27" s="278">
        <f t="shared" si="8"/>
        <v>676622</v>
      </c>
      <c r="D27" s="278">
        <f t="shared" si="8"/>
        <v>63683</v>
      </c>
      <c r="E27" s="278">
        <f t="shared" si="8"/>
        <v>111593</v>
      </c>
      <c r="F27" s="77">
        <f t="shared" si="8"/>
        <v>175276</v>
      </c>
      <c r="G27" s="86">
        <f t="shared" si="8"/>
        <v>129528</v>
      </c>
      <c r="H27" s="86">
        <f t="shared" si="8"/>
        <v>63459</v>
      </c>
      <c r="I27" s="77">
        <f t="shared" si="8"/>
        <v>192987</v>
      </c>
      <c r="J27" s="86">
        <f t="shared" si="8"/>
        <v>78543</v>
      </c>
      <c r="K27" s="295">
        <f>SUM(B27+C27+F27+I27+J27)</f>
        <v>4929564</v>
      </c>
      <c r="L27" s="296"/>
    </row>
    <row r="28" spans="1:12" ht="12.75">
      <c r="A28" s="287" t="s">
        <v>392</v>
      </c>
      <c r="B28" s="75">
        <v>274184</v>
      </c>
      <c r="C28" s="83">
        <v>167124</v>
      </c>
      <c r="D28" s="83">
        <v>45755</v>
      </c>
      <c r="E28" s="83">
        <v>81018</v>
      </c>
      <c r="F28" s="75">
        <f aca="true" t="shared" si="9" ref="F28:F40">SUM(D28:E28)</f>
        <v>126773</v>
      </c>
      <c r="G28" s="83">
        <f>6625+4000</f>
        <v>10625</v>
      </c>
      <c r="H28" s="83">
        <v>6625</v>
      </c>
      <c r="I28" s="75">
        <f aca="true" t="shared" si="10" ref="I28:I39">SUM(G28:H28)</f>
        <v>17250</v>
      </c>
      <c r="J28" s="80">
        <f>44656-7411</f>
        <v>37245</v>
      </c>
      <c r="K28" s="288">
        <f t="shared" si="6"/>
        <v>622576</v>
      </c>
      <c r="L28" s="289" t="s">
        <v>393</v>
      </c>
    </row>
    <row r="29" spans="1:12" ht="12.75">
      <c r="A29" s="210" t="s">
        <v>205</v>
      </c>
      <c r="B29" s="72">
        <v>0</v>
      </c>
      <c r="C29" s="79">
        <v>0</v>
      </c>
      <c r="D29" s="79">
        <v>0</v>
      </c>
      <c r="E29" s="79">
        <v>0</v>
      </c>
      <c r="F29" s="72">
        <f t="shared" si="9"/>
        <v>0</v>
      </c>
      <c r="G29" s="79"/>
      <c r="H29" s="79"/>
      <c r="I29" s="72">
        <f t="shared" si="10"/>
        <v>0</v>
      </c>
      <c r="J29" s="81">
        <v>0</v>
      </c>
      <c r="K29" s="280">
        <f t="shared" si="6"/>
        <v>0</v>
      </c>
      <c r="L29" s="281" t="s">
        <v>429</v>
      </c>
    </row>
    <row r="30" spans="1:12" ht="12.75">
      <c r="A30" s="210" t="s">
        <v>431</v>
      </c>
      <c r="B30" s="72">
        <v>140703</v>
      </c>
      <c r="C30" s="79">
        <v>22510</v>
      </c>
      <c r="D30" s="79">
        <v>709</v>
      </c>
      <c r="E30" s="79">
        <v>0</v>
      </c>
      <c r="F30" s="72">
        <f t="shared" si="9"/>
        <v>709</v>
      </c>
      <c r="G30" s="79">
        <v>1429</v>
      </c>
      <c r="H30" s="79">
        <v>20258</v>
      </c>
      <c r="I30" s="72">
        <f t="shared" si="10"/>
        <v>21687</v>
      </c>
      <c r="J30" s="81">
        <v>410</v>
      </c>
      <c r="K30" s="280">
        <f t="shared" si="6"/>
        <v>186019</v>
      </c>
      <c r="L30" s="281" t="s">
        <v>432</v>
      </c>
    </row>
    <row r="31" spans="1:12" ht="12.75">
      <c r="A31" s="210" t="s">
        <v>284</v>
      </c>
      <c r="B31" s="72">
        <v>0</v>
      </c>
      <c r="C31" s="79">
        <v>0</v>
      </c>
      <c r="D31" s="79">
        <v>0</v>
      </c>
      <c r="E31" s="79">
        <v>0</v>
      </c>
      <c r="F31" s="72">
        <f t="shared" si="9"/>
        <v>0</v>
      </c>
      <c r="G31" s="79"/>
      <c r="H31" s="79"/>
      <c r="I31" s="72">
        <f>SUM(G31:H31)</f>
        <v>0</v>
      </c>
      <c r="J31" s="81">
        <v>0</v>
      </c>
      <c r="K31" s="280">
        <f t="shared" si="6"/>
        <v>0</v>
      </c>
      <c r="L31" s="281" t="s">
        <v>438</v>
      </c>
    </row>
    <row r="32" spans="1:12" ht="12.75">
      <c r="A32" s="210" t="s">
        <v>206</v>
      </c>
      <c r="B32" s="72">
        <v>0</v>
      </c>
      <c r="C32" s="79">
        <v>0</v>
      </c>
      <c r="D32" s="79">
        <v>0</v>
      </c>
      <c r="E32" s="79">
        <v>0</v>
      </c>
      <c r="F32" s="72">
        <f t="shared" si="9"/>
        <v>0</v>
      </c>
      <c r="G32" s="79"/>
      <c r="H32" s="79"/>
      <c r="I32" s="72">
        <f>SUM(G32:H32)</f>
        <v>0</v>
      </c>
      <c r="J32" s="81">
        <v>0</v>
      </c>
      <c r="K32" s="280">
        <f t="shared" si="6"/>
        <v>0</v>
      </c>
      <c r="L32" s="281" t="s">
        <v>440</v>
      </c>
    </row>
    <row r="33" spans="1:12" ht="12.75">
      <c r="A33" s="210" t="s">
        <v>207</v>
      </c>
      <c r="B33" s="72">
        <v>176942</v>
      </c>
      <c r="C33" s="79">
        <v>0</v>
      </c>
      <c r="D33" s="79">
        <v>0</v>
      </c>
      <c r="E33" s="79">
        <v>0</v>
      </c>
      <c r="F33" s="72">
        <f t="shared" si="9"/>
        <v>0</v>
      </c>
      <c r="G33" s="79"/>
      <c r="H33" s="79"/>
      <c r="I33" s="72">
        <f>SUM(G33:H33)</f>
        <v>0</v>
      </c>
      <c r="J33" s="81">
        <v>0</v>
      </c>
      <c r="K33" s="280">
        <f t="shared" si="6"/>
        <v>176942</v>
      </c>
      <c r="L33" s="281" t="s">
        <v>442</v>
      </c>
    </row>
    <row r="34" spans="1:12" ht="12.75">
      <c r="A34" s="210" t="s">
        <v>445</v>
      </c>
      <c r="B34" s="72">
        <v>809100</v>
      </c>
      <c r="C34" s="79">
        <v>50</v>
      </c>
      <c r="D34" s="79">
        <v>0</v>
      </c>
      <c r="E34" s="79">
        <v>0</v>
      </c>
      <c r="F34" s="72">
        <f t="shared" si="9"/>
        <v>0</v>
      </c>
      <c r="G34" s="79"/>
      <c r="H34" s="79"/>
      <c r="I34" s="72">
        <f t="shared" si="10"/>
        <v>0</v>
      </c>
      <c r="J34" s="81">
        <v>0</v>
      </c>
      <c r="K34" s="280">
        <f t="shared" si="6"/>
        <v>809150</v>
      </c>
      <c r="L34" s="281" t="s">
        <v>446</v>
      </c>
    </row>
    <row r="35" spans="1:12" ht="12.75">
      <c r="A35" s="210" t="s">
        <v>474</v>
      </c>
      <c r="B35" s="72">
        <v>286600</v>
      </c>
      <c r="C35" s="79">
        <v>2500</v>
      </c>
      <c r="D35" s="79">
        <v>0</v>
      </c>
      <c r="E35" s="79">
        <v>1727</v>
      </c>
      <c r="F35" s="72">
        <f t="shared" si="9"/>
        <v>1727</v>
      </c>
      <c r="G35" s="79">
        <v>70023</v>
      </c>
      <c r="H35" s="79">
        <v>1500</v>
      </c>
      <c r="I35" s="72">
        <f t="shared" si="10"/>
        <v>71523</v>
      </c>
      <c r="J35" s="81">
        <v>150</v>
      </c>
      <c r="K35" s="280">
        <f t="shared" si="6"/>
        <v>362500</v>
      </c>
      <c r="L35" s="281" t="s">
        <v>475</v>
      </c>
    </row>
    <row r="36" spans="1:12" ht="12.75">
      <c r="A36" s="210" t="s">
        <v>482</v>
      </c>
      <c r="B36" s="72">
        <v>84618</v>
      </c>
      <c r="C36" s="79">
        <v>0</v>
      </c>
      <c r="D36" s="79">
        <v>0</v>
      </c>
      <c r="E36" s="79">
        <v>0</v>
      </c>
      <c r="F36" s="72">
        <f t="shared" si="9"/>
        <v>0</v>
      </c>
      <c r="G36" s="79"/>
      <c r="H36" s="79"/>
      <c r="I36" s="72">
        <f t="shared" si="10"/>
        <v>0</v>
      </c>
      <c r="J36" s="81">
        <v>0</v>
      </c>
      <c r="K36" s="280">
        <f t="shared" si="6"/>
        <v>84618</v>
      </c>
      <c r="L36" s="281" t="s">
        <v>483</v>
      </c>
    </row>
    <row r="37" spans="1:12" ht="12.75">
      <c r="A37" s="210" t="s">
        <v>490</v>
      </c>
      <c r="B37" s="72">
        <v>0</v>
      </c>
      <c r="C37" s="79">
        <v>0</v>
      </c>
      <c r="D37" s="79">
        <v>0</v>
      </c>
      <c r="E37" s="79">
        <v>0</v>
      </c>
      <c r="F37" s="72">
        <f t="shared" si="9"/>
        <v>0</v>
      </c>
      <c r="G37" s="79"/>
      <c r="H37" s="79"/>
      <c r="I37" s="72">
        <f t="shared" si="10"/>
        <v>0</v>
      </c>
      <c r="J37" s="81">
        <v>0</v>
      </c>
      <c r="K37" s="280">
        <f t="shared" si="6"/>
        <v>0</v>
      </c>
      <c r="L37" s="281" t="s">
        <v>491</v>
      </c>
    </row>
    <row r="38" spans="1:12" ht="12.75">
      <c r="A38" s="210" t="s">
        <v>497</v>
      </c>
      <c r="B38" s="72">
        <v>870</v>
      </c>
      <c r="C38" s="79">
        <v>0</v>
      </c>
      <c r="D38" s="79">
        <v>0</v>
      </c>
      <c r="E38" s="79">
        <v>0</v>
      </c>
      <c r="F38" s="72">
        <f t="shared" si="9"/>
        <v>0</v>
      </c>
      <c r="G38" s="79"/>
      <c r="H38" s="79"/>
      <c r="I38" s="72">
        <f>SUM(G38:H38)</f>
        <v>0</v>
      </c>
      <c r="J38" s="81">
        <v>0</v>
      </c>
      <c r="K38" s="280">
        <f t="shared" si="6"/>
        <v>870</v>
      </c>
      <c r="L38" s="281" t="s">
        <v>498</v>
      </c>
    </row>
    <row r="39" spans="1:12" ht="12.75">
      <c r="A39" s="210" t="s">
        <v>531</v>
      </c>
      <c r="B39" s="72">
        <v>0</v>
      </c>
      <c r="C39" s="79">
        <v>0</v>
      </c>
      <c r="D39" s="79">
        <v>0</v>
      </c>
      <c r="E39" s="79">
        <v>0</v>
      </c>
      <c r="F39" s="72">
        <f t="shared" si="9"/>
        <v>0</v>
      </c>
      <c r="G39" s="79"/>
      <c r="H39" s="79"/>
      <c r="I39" s="72">
        <f t="shared" si="10"/>
        <v>0</v>
      </c>
      <c r="J39" s="81">
        <v>0</v>
      </c>
      <c r="K39" s="280">
        <f t="shared" si="6"/>
        <v>0</v>
      </c>
      <c r="L39" s="281" t="s">
        <v>533</v>
      </c>
    </row>
    <row r="40" spans="1:12" ht="13.5" thickBot="1">
      <c r="A40" s="282" t="s">
        <v>208</v>
      </c>
      <c r="B40" s="73">
        <v>2683425</v>
      </c>
      <c r="C40" s="85">
        <v>641</v>
      </c>
      <c r="D40" s="85">
        <v>355</v>
      </c>
      <c r="E40" s="85">
        <v>0</v>
      </c>
      <c r="F40" s="73">
        <f t="shared" si="9"/>
        <v>355</v>
      </c>
      <c r="G40" s="85">
        <v>941</v>
      </c>
      <c r="H40" s="85">
        <v>1324</v>
      </c>
      <c r="I40" s="73">
        <f>SUM(G40:H40)</f>
        <v>2265</v>
      </c>
      <c r="J40" s="82">
        <v>203</v>
      </c>
      <c r="K40" s="297">
        <f t="shared" si="6"/>
        <v>2686889</v>
      </c>
      <c r="L40" s="283" t="s">
        <v>541</v>
      </c>
    </row>
    <row r="41" spans="1:13" s="168" customFormat="1" ht="13.5" thickBot="1">
      <c r="A41" s="284" t="s">
        <v>317</v>
      </c>
      <c r="B41" s="86">
        <f aca="true" t="shared" si="11" ref="B41:J41">SUM(B28:B40)</f>
        <v>4456442</v>
      </c>
      <c r="C41" s="86">
        <f t="shared" si="11"/>
        <v>192825</v>
      </c>
      <c r="D41" s="86">
        <f t="shared" si="11"/>
        <v>46819</v>
      </c>
      <c r="E41" s="86">
        <f t="shared" si="11"/>
        <v>82745</v>
      </c>
      <c r="F41" s="74">
        <f t="shared" si="11"/>
        <v>129564</v>
      </c>
      <c r="G41" s="86">
        <f t="shared" si="11"/>
        <v>83018</v>
      </c>
      <c r="H41" s="86">
        <f t="shared" si="11"/>
        <v>29707</v>
      </c>
      <c r="I41" s="74">
        <f t="shared" si="11"/>
        <v>112725</v>
      </c>
      <c r="J41" s="88">
        <f t="shared" si="11"/>
        <v>38008</v>
      </c>
      <c r="K41" s="285">
        <f t="shared" si="6"/>
        <v>4929564</v>
      </c>
      <c r="L41" s="298"/>
      <c r="M41" s="256">
        <f>K41-K27</f>
        <v>0</v>
      </c>
    </row>
    <row r="42" spans="1:12" ht="12.75">
      <c r="A42" s="287" t="s">
        <v>318</v>
      </c>
      <c r="B42" s="83">
        <f aca="true" t="shared" si="12" ref="B42:J42">B27-SUM(B29:B40)</f>
        <v>-376122</v>
      </c>
      <c r="C42" s="83">
        <f t="shared" si="12"/>
        <v>650921</v>
      </c>
      <c r="D42" s="83">
        <f t="shared" si="12"/>
        <v>62619</v>
      </c>
      <c r="E42" s="83">
        <f t="shared" si="12"/>
        <v>109866</v>
      </c>
      <c r="F42" s="75">
        <f t="shared" si="12"/>
        <v>172485</v>
      </c>
      <c r="G42" s="83">
        <f t="shared" si="12"/>
        <v>57135</v>
      </c>
      <c r="H42" s="83">
        <f t="shared" si="12"/>
        <v>40377</v>
      </c>
      <c r="I42" s="75">
        <f t="shared" si="12"/>
        <v>97512</v>
      </c>
      <c r="J42" s="83">
        <f t="shared" si="12"/>
        <v>77780</v>
      </c>
      <c r="K42" s="288"/>
      <c r="L42" s="299"/>
    </row>
    <row r="43" spans="1:12" ht="12.75">
      <c r="A43" s="210" t="s">
        <v>319</v>
      </c>
      <c r="B43" s="79">
        <f aca="true" t="shared" si="13" ref="B43:I43">SUM(B42-B28)</f>
        <v>-650306</v>
      </c>
      <c r="C43" s="79">
        <f t="shared" si="13"/>
        <v>483797</v>
      </c>
      <c r="D43" s="79">
        <f t="shared" si="13"/>
        <v>16864</v>
      </c>
      <c r="E43" s="79">
        <f t="shared" si="13"/>
        <v>28848</v>
      </c>
      <c r="F43" s="72">
        <f t="shared" si="13"/>
        <v>45712</v>
      </c>
      <c r="G43" s="79">
        <f t="shared" si="13"/>
        <v>46510</v>
      </c>
      <c r="H43" s="79">
        <f t="shared" si="13"/>
        <v>33752</v>
      </c>
      <c r="I43" s="72">
        <f t="shared" si="13"/>
        <v>80262</v>
      </c>
      <c r="J43" s="79">
        <f>SUM(J42-J28)-7411</f>
        <v>33124</v>
      </c>
      <c r="K43" s="280"/>
      <c r="L43" s="210"/>
    </row>
    <row r="44" spans="1:12" ht="12.75">
      <c r="A44" s="210" t="s">
        <v>320</v>
      </c>
      <c r="B44" s="84">
        <f aca="true" t="shared" si="14" ref="B44:J44">SUM(B43/B27)</f>
        <v>-0.17085726836876033</v>
      </c>
      <c r="C44" s="84">
        <f t="shared" si="14"/>
        <v>0.7150181342019621</v>
      </c>
      <c r="D44" s="84">
        <f t="shared" si="14"/>
        <v>0.26481164518003236</v>
      </c>
      <c r="E44" s="84">
        <f t="shared" si="14"/>
        <v>0.2585108384934539</v>
      </c>
      <c r="F44" s="78">
        <f t="shared" si="14"/>
        <v>0.2608001095415231</v>
      </c>
      <c r="G44" s="84">
        <f t="shared" si="14"/>
        <v>0.35907294175776666</v>
      </c>
      <c r="H44" s="84">
        <f t="shared" si="14"/>
        <v>0.5318709718085693</v>
      </c>
      <c r="I44" s="78">
        <f t="shared" si="14"/>
        <v>0.41589329851233503</v>
      </c>
      <c r="J44" s="84">
        <f t="shared" si="14"/>
        <v>0.4217307716792076</v>
      </c>
      <c r="K44" s="280"/>
      <c r="L44" s="210"/>
    </row>
  </sheetData>
  <sheetProtection/>
  <mergeCells count="11">
    <mergeCell ref="L6:L7"/>
    <mergeCell ref="A1:L1"/>
    <mergeCell ref="D6:F6"/>
    <mergeCell ref="G6:I6"/>
    <mergeCell ref="A4:K4"/>
    <mergeCell ref="I5:K5"/>
    <mergeCell ref="J6:J7"/>
    <mergeCell ref="B6:B7"/>
    <mergeCell ref="C6:C7"/>
    <mergeCell ref="A6:A7"/>
    <mergeCell ref="K6:K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="75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91.57421875" style="44" bestFit="1" customWidth="1"/>
    <col min="2" max="2" width="12.140625" style="44" customWidth="1"/>
    <col min="3" max="3" width="12.28125" style="44" hidden="1" customWidth="1"/>
    <col min="4" max="4" width="13.8515625" style="44" customWidth="1"/>
    <col min="5" max="5" width="14.57421875" style="44" customWidth="1"/>
    <col min="6" max="6" width="13.28125" style="44" customWidth="1"/>
    <col min="7" max="7" width="14.00390625" style="44" customWidth="1"/>
    <col min="8" max="8" width="9.140625" style="218" customWidth="1"/>
    <col min="9" max="9" width="10.421875" style="48" bestFit="1" customWidth="1"/>
    <col min="10" max="16384" width="9.140625" style="44" customWidth="1"/>
  </cols>
  <sheetData>
    <row r="1" spans="1:8" ht="12.75">
      <c r="A1" s="43"/>
      <c r="H1" s="215"/>
    </row>
    <row r="2" spans="1:8" ht="12.75">
      <c r="A2" s="43"/>
      <c r="B2" s="355"/>
      <c r="C2" s="355"/>
      <c r="D2" s="366" t="s">
        <v>920</v>
      </c>
      <c r="E2" s="366"/>
      <c r="F2" s="366"/>
      <c r="G2" s="366"/>
      <c r="H2" s="366"/>
    </row>
    <row r="3" spans="1:8" ht="12.75">
      <c r="A3" s="43"/>
      <c r="H3" s="215"/>
    </row>
    <row r="4" spans="1:8" ht="15">
      <c r="A4" s="365" t="s">
        <v>741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B5" s="59"/>
      <c r="C5" s="59"/>
      <c r="D5" s="59"/>
      <c r="E5" s="59"/>
      <c r="F5" s="59"/>
      <c r="G5" s="59"/>
      <c r="H5" s="159"/>
    </row>
    <row r="6" spans="1:8" ht="15">
      <c r="A6" s="58"/>
      <c r="B6" s="59"/>
      <c r="C6" s="59"/>
      <c r="D6" s="59"/>
      <c r="E6" s="59"/>
      <c r="F6" s="59"/>
      <c r="G6" s="59"/>
      <c r="H6" s="159"/>
    </row>
    <row r="7" spans="1:8" ht="15">
      <c r="A7" s="58"/>
      <c r="B7" s="59"/>
      <c r="C7" s="59"/>
      <c r="D7" s="59"/>
      <c r="E7" s="59"/>
      <c r="F7" s="59"/>
      <c r="G7" s="93"/>
      <c r="H7" s="163" t="s">
        <v>547</v>
      </c>
    </row>
    <row r="8" spans="1:9" s="164" customFormat="1" ht="30.7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  <c r="I8" s="216"/>
    </row>
    <row r="9" spans="1:9" s="167" customFormat="1" ht="15">
      <c r="A9" s="61" t="s">
        <v>380</v>
      </c>
      <c r="B9" s="165" t="s">
        <v>381</v>
      </c>
      <c r="C9" s="165" t="s">
        <v>519</v>
      </c>
      <c r="D9" s="166" t="s">
        <v>382</v>
      </c>
      <c r="E9" s="166" t="s">
        <v>383</v>
      </c>
      <c r="F9" s="166" t="s">
        <v>384</v>
      </c>
      <c r="G9" s="166" t="s">
        <v>385</v>
      </c>
      <c r="H9" s="61" t="s">
        <v>386</v>
      </c>
      <c r="I9" s="217"/>
    </row>
    <row r="10" spans="1:9" ht="15">
      <c r="A10" s="58" t="s">
        <v>549</v>
      </c>
      <c r="B10" s="62">
        <v>1954</v>
      </c>
      <c r="C10" s="62">
        <v>0</v>
      </c>
      <c r="D10" s="62">
        <v>0</v>
      </c>
      <c r="E10" s="62">
        <v>1954</v>
      </c>
      <c r="F10" s="62">
        <v>0</v>
      </c>
      <c r="G10" s="62">
        <f>B10+C10</f>
        <v>1954</v>
      </c>
      <c r="H10" s="159" t="s">
        <v>432</v>
      </c>
      <c r="I10" s="48">
        <f>D10+E10+F10</f>
        <v>1954</v>
      </c>
    </row>
    <row r="11" spans="1:9" ht="15">
      <c r="A11" s="58" t="s">
        <v>550</v>
      </c>
      <c r="B11" s="62">
        <v>1620</v>
      </c>
      <c r="C11" s="62">
        <v>0</v>
      </c>
      <c r="D11" s="62">
        <v>0</v>
      </c>
      <c r="E11" s="62">
        <v>1620</v>
      </c>
      <c r="F11" s="62">
        <v>0</v>
      </c>
      <c r="G11" s="62">
        <f aca="true" t="shared" si="0" ref="G11:G20">B11+C11</f>
        <v>1620</v>
      </c>
      <c r="H11" s="159" t="s">
        <v>432</v>
      </c>
      <c r="I11" s="48">
        <f aca="true" t="shared" si="1" ref="I11:I63">D11+E11+F11</f>
        <v>1620</v>
      </c>
    </row>
    <row r="12" spans="1:9" ht="15">
      <c r="A12" s="58" t="s">
        <v>6</v>
      </c>
      <c r="B12" s="62">
        <v>9477</v>
      </c>
      <c r="C12" s="62">
        <v>0</v>
      </c>
      <c r="D12" s="62">
        <v>0</v>
      </c>
      <c r="E12" s="62">
        <v>9477</v>
      </c>
      <c r="F12" s="62">
        <v>0</v>
      </c>
      <c r="G12" s="62">
        <f t="shared" si="0"/>
        <v>9477</v>
      </c>
      <c r="H12" s="159" t="s">
        <v>432</v>
      </c>
      <c r="I12" s="48">
        <f t="shared" si="1"/>
        <v>9477</v>
      </c>
    </row>
    <row r="13" spans="1:9" ht="15">
      <c r="A13" s="58" t="s">
        <v>551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f t="shared" si="0"/>
        <v>0</v>
      </c>
      <c r="H13" s="159" t="s">
        <v>432</v>
      </c>
      <c r="I13" s="48">
        <f t="shared" si="1"/>
        <v>0</v>
      </c>
    </row>
    <row r="14" spans="1:9" ht="15">
      <c r="A14" s="58" t="s">
        <v>18</v>
      </c>
      <c r="B14" s="62">
        <v>7411</v>
      </c>
      <c r="C14" s="62">
        <v>0</v>
      </c>
      <c r="D14" s="62">
        <v>0</v>
      </c>
      <c r="E14" s="62">
        <v>7411</v>
      </c>
      <c r="F14" s="62">
        <v>0</v>
      </c>
      <c r="G14" s="62">
        <f t="shared" si="0"/>
        <v>7411</v>
      </c>
      <c r="H14" s="159" t="s">
        <v>432</v>
      </c>
      <c r="I14" s="48">
        <f t="shared" si="1"/>
        <v>7411</v>
      </c>
    </row>
    <row r="15" spans="1:9" ht="15">
      <c r="A15" s="58" t="s">
        <v>552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f t="shared" si="0"/>
        <v>0</v>
      </c>
      <c r="H15" s="159" t="s">
        <v>432</v>
      </c>
      <c r="I15" s="48">
        <f t="shared" si="1"/>
        <v>0</v>
      </c>
    </row>
    <row r="16" spans="1:9" ht="15">
      <c r="A16" s="58" t="s">
        <v>916</v>
      </c>
      <c r="B16" s="62">
        <v>7127</v>
      </c>
      <c r="C16" s="62"/>
      <c r="D16" s="62">
        <v>0</v>
      </c>
      <c r="E16" s="62">
        <v>0</v>
      </c>
      <c r="F16" s="62">
        <v>7127</v>
      </c>
      <c r="G16" s="62">
        <f t="shared" si="0"/>
        <v>7127</v>
      </c>
      <c r="H16" s="159" t="s">
        <v>432</v>
      </c>
      <c r="I16" s="48">
        <f t="shared" si="1"/>
        <v>7127</v>
      </c>
    </row>
    <row r="17" spans="1:9" ht="15">
      <c r="A17" s="89" t="s">
        <v>223</v>
      </c>
      <c r="B17" s="62">
        <v>111452</v>
      </c>
      <c r="C17" s="62">
        <v>0</v>
      </c>
      <c r="D17" s="62">
        <v>0</v>
      </c>
      <c r="E17" s="62">
        <v>0</v>
      </c>
      <c r="F17" s="62">
        <v>111452</v>
      </c>
      <c r="G17" s="62">
        <f t="shared" si="0"/>
        <v>111452</v>
      </c>
      <c r="H17" s="159" t="s">
        <v>432</v>
      </c>
      <c r="I17" s="48">
        <f t="shared" si="1"/>
        <v>111452</v>
      </c>
    </row>
    <row r="18" spans="1:9" ht="15">
      <c r="A18" s="89" t="s">
        <v>736</v>
      </c>
      <c r="B18" s="62">
        <v>1026</v>
      </c>
      <c r="C18" s="62">
        <v>0</v>
      </c>
      <c r="D18" s="62">
        <v>0</v>
      </c>
      <c r="E18" s="62">
        <v>0</v>
      </c>
      <c r="F18" s="62">
        <v>1026</v>
      </c>
      <c r="G18" s="62">
        <f t="shared" si="0"/>
        <v>1026</v>
      </c>
      <c r="H18" s="159" t="s">
        <v>432</v>
      </c>
      <c r="I18" s="48">
        <f t="shared" si="1"/>
        <v>1026</v>
      </c>
    </row>
    <row r="19" spans="1:9" ht="15">
      <c r="A19" s="89" t="s">
        <v>786</v>
      </c>
      <c r="B19" s="62">
        <v>635</v>
      </c>
      <c r="C19" s="62"/>
      <c r="D19" s="62">
        <v>0</v>
      </c>
      <c r="E19" s="62">
        <v>0</v>
      </c>
      <c r="F19" s="62">
        <v>635</v>
      </c>
      <c r="G19" s="62">
        <f t="shared" si="0"/>
        <v>635</v>
      </c>
      <c r="H19" s="159" t="s">
        <v>432</v>
      </c>
      <c r="I19" s="48">
        <f t="shared" si="1"/>
        <v>635</v>
      </c>
    </row>
    <row r="20" spans="1:9" ht="15">
      <c r="A20" s="58" t="s">
        <v>553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f t="shared" si="0"/>
        <v>0</v>
      </c>
      <c r="H20" s="159" t="s">
        <v>432</v>
      </c>
      <c r="I20" s="48">
        <f t="shared" si="1"/>
        <v>0</v>
      </c>
    </row>
    <row r="21" spans="1:9" s="168" customFormat="1" ht="15">
      <c r="A21" s="63" t="s">
        <v>554</v>
      </c>
      <c r="B21" s="64">
        <f aca="true" t="shared" si="2" ref="B21:G21">SUM(B10:B20)</f>
        <v>140702</v>
      </c>
      <c r="C21" s="64">
        <f t="shared" si="2"/>
        <v>0</v>
      </c>
      <c r="D21" s="64">
        <f t="shared" si="2"/>
        <v>0</v>
      </c>
      <c r="E21" s="64">
        <f t="shared" si="2"/>
        <v>20462</v>
      </c>
      <c r="F21" s="64">
        <f t="shared" si="2"/>
        <v>120240</v>
      </c>
      <c r="G21" s="64">
        <f t="shared" si="2"/>
        <v>140702</v>
      </c>
      <c r="H21" s="160" t="s">
        <v>432</v>
      </c>
      <c r="I21" s="48">
        <f t="shared" si="1"/>
        <v>140702</v>
      </c>
    </row>
    <row r="22" spans="1:9" ht="15">
      <c r="A22" s="58" t="s">
        <v>555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f>B22+C22</f>
        <v>0</v>
      </c>
      <c r="H22" s="159" t="s">
        <v>438</v>
      </c>
      <c r="I22" s="48">
        <f t="shared" si="1"/>
        <v>0</v>
      </c>
    </row>
    <row r="23" spans="1:9" ht="15">
      <c r="A23" s="58" t="s">
        <v>556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f>B23+C23</f>
        <v>0</v>
      </c>
      <c r="H23" s="159" t="s">
        <v>438</v>
      </c>
      <c r="I23" s="48">
        <f t="shared" si="1"/>
        <v>0</v>
      </c>
    </row>
    <row r="24" spans="1:9" s="168" customFormat="1" ht="15">
      <c r="A24" s="63" t="s">
        <v>437</v>
      </c>
      <c r="B24" s="64">
        <f aca="true" t="shared" si="3" ref="B24:G24">SUM(B22:B23)</f>
        <v>0</v>
      </c>
      <c r="C24" s="64">
        <f t="shared" si="3"/>
        <v>0</v>
      </c>
      <c r="D24" s="64">
        <f t="shared" si="3"/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160" t="s">
        <v>438</v>
      </c>
      <c r="I24" s="48">
        <f t="shared" si="1"/>
        <v>0</v>
      </c>
    </row>
    <row r="25" spans="1:9" s="168" customFormat="1" ht="15">
      <c r="A25" s="63" t="s">
        <v>439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f aca="true" t="shared" si="4" ref="G25:G34">B25+C25</f>
        <v>0</v>
      </c>
      <c r="H25" s="160" t="s">
        <v>440</v>
      </c>
      <c r="I25" s="48">
        <f t="shared" si="1"/>
        <v>0</v>
      </c>
    </row>
    <row r="26" spans="1:9" s="205" customFormat="1" ht="15">
      <c r="A26" s="125" t="s">
        <v>624</v>
      </c>
      <c r="B26" s="90">
        <v>2500</v>
      </c>
      <c r="C26" s="90">
        <v>0</v>
      </c>
      <c r="D26" s="90">
        <v>0</v>
      </c>
      <c r="E26" s="90">
        <v>0</v>
      </c>
      <c r="F26" s="90">
        <v>2500</v>
      </c>
      <c r="G26" s="90">
        <f t="shared" si="4"/>
        <v>2500</v>
      </c>
      <c r="H26" s="203" t="s">
        <v>442</v>
      </c>
      <c r="I26" s="204">
        <f t="shared" si="1"/>
        <v>2500</v>
      </c>
    </row>
    <row r="27" spans="1:9" s="205" customFormat="1" ht="15">
      <c r="A27" s="125" t="s">
        <v>917</v>
      </c>
      <c r="B27" s="90">
        <v>65382</v>
      </c>
      <c r="C27" s="90"/>
      <c r="D27" s="90">
        <v>0</v>
      </c>
      <c r="E27" s="90">
        <v>0</v>
      </c>
      <c r="F27" s="90">
        <v>65382</v>
      </c>
      <c r="G27" s="90">
        <f t="shared" si="4"/>
        <v>65382</v>
      </c>
      <c r="H27" s="203" t="s">
        <v>442</v>
      </c>
      <c r="I27" s="204">
        <f t="shared" si="1"/>
        <v>65382</v>
      </c>
    </row>
    <row r="28" spans="1:9" s="205" customFormat="1" ht="15">
      <c r="A28" s="125" t="s">
        <v>783</v>
      </c>
      <c r="B28" s="90">
        <v>45660</v>
      </c>
      <c r="C28" s="90"/>
      <c r="D28" s="90">
        <v>0</v>
      </c>
      <c r="E28" s="90">
        <v>0</v>
      </c>
      <c r="F28" s="90">
        <v>45660</v>
      </c>
      <c r="G28" s="90">
        <f t="shared" si="4"/>
        <v>45660</v>
      </c>
      <c r="H28" s="203" t="s">
        <v>442</v>
      </c>
      <c r="I28" s="204"/>
    </row>
    <row r="29" spans="1:9" s="205" customFormat="1" ht="15">
      <c r="A29" s="89" t="s">
        <v>214</v>
      </c>
      <c r="B29" s="90">
        <v>11658</v>
      </c>
      <c r="C29" s="90">
        <v>0</v>
      </c>
      <c r="D29" s="90">
        <v>0</v>
      </c>
      <c r="E29" s="90">
        <v>0</v>
      </c>
      <c r="F29" s="90">
        <v>11658</v>
      </c>
      <c r="G29" s="90">
        <f t="shared" si="4"/>
        <v>11658</v>
      </c>
      <c r="H29" s="203" t="s">
        <v>442</v>
      </c>
      <c r="I29" s="204">
        <f t="shared" si="1"/>
        <v>11658</v>
      </c>
    </row>
    <row r="30" spans="1:9" s="205" customFormat="1" ht="15">
      <c r="A30" s="89" t="s">
        <v>735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4"/>
        <v>0</v>
      </c>
      <c r="H30" s="203" t="s">
        <v>442</v>
      </c>
      <c r="I30" s="204"/>
    </row>
    <row r="31" spans="1:9" s="205" customFormat="1" ht="15">
      <c r="A31" s="65" t="s">
        <v>787</v>
      </c>
      <c r="B31" s="90">
        <v>23461</v>
      </c>
      <c r="C31" s="90"/>
      <c r="D31" s="90">
        <v>0</v>
      </c>
      <c r="E31" s="90">
        <v>0</v>
      </c>
      <c r="F31" s="90">
        <v>23461</v>
      </c>
      <c r="G31" s="90">
        <f t="shared" si="4"/>
        <v>23461</v>
      </c>
      <c r="H31" s="203" t="s">
        <v>442</v>
      </c>
      <c r="I31" s="204"/>
    </row>
    <row r="32" spans="1:9" s="205" customFormat="1" ht="15">
      <c r="A32" s="65" t="s">
        <v>792</v>
      </c>
      <c r="B32" s="90">
        <v>27741</v>
      </c>
      <c r="C32" s="90"/>
      <c r="D32" s="90">
        <v>0</v>
      </c>
      <c r="E32" s="90">
        <v>0</v>
      </c>
      <c r="F32" s="90">
        <v>27741</v>
      </c>
      <c r="G32" s="90">
        <f t="shared" si="4"/>
        <v>27741</v>
      </c>
      <c r="H32" s="203" t="s">
        <v>442</v>
      </c>
      <c r="I32" s="204"/>
    </row>
    <row r="33" spans="1:9" s="205" customFormat="1" ht="15">
      <c r="A33" s="89" t="s">
        <v>9</v>
      </c>
      <c r="B33" s="90">
        <v>540</v>
      </c>
      <c r="C33" s="90">
        <v>0</v>
      </c>
      <c r="D33" s="90">
        <v>0</v>
      </c>
      <c r="E33" s="90">
        <v>0</v>
      </c>
      <c r="F33" s="90">
        <v>540</v>
      </c>
      <c r="G33" s="90">
        <f t="shared" si="4"/>
        <v>540</v>
      </c>
      <c r="H33" s="203" t="s">
        <v>442</v>
      </c>
      <c r="I33" s="204"/>
    </row>
    <row r="34" spans="1:9" s="205" customFormat="1" ht="15">
      <c r="A34" s="89" t="s">
        <v>702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4"/>
        <v>0</v>
      </c>
      <c r="H34" s="203" t="s">
        <v>442</v>
      </c>
      <c r="I34" s="204"/>
    </row>
    <row r="35" spans="1:9" s="168" customFormat="1" ht="15">
      <c r="A35" s="63" t="s">
        <v>560</v>
      </c>
      <c r="B35" s="64">
        <f aca="true" t="shared" si="5" ref="B35:G35">SUM(B26:B34)</f>
        <v>176942</v>
      </c>
      <c r="C35" s="64">
        <f t="shared" si="5"/>
        <v>0</v>
      </c>
      <c r="D35" s="64">
        <f t="shared" si="5"/>
        <v>0</v>
      </c>
      <c r="E35" s="64">
        <f t="shared" si="5"/>
        <v>0</v>
      </c>
      <c r="F35" s="64">
        <f t="shared" si="5"/>
        <v>176942</v>
      </c>
      <c r="G35" s="64">
        <f t="shared" si="5"/>
        <v>176942</v>
      </c>
      <c r="H35" s="160" t="s">
        <v>442</v>
      </c>
      <c r="I35" s="48">
        <f t="shared" si="1"/>
        <v>176942</v>
      </c>
    </row>
    <row r="36" spans="1:9" ht="15">
      <c r="A36" s="58"/>
      <c r="B36" s="62"/>
      <c r="C36" s="62"/>
      <c r="D36" s="62"/>
      <c r="E36" s="62"/>
      <c r="F36" s="62"/>
      <c r="G36" s="62"/>
      <c r="H36" s="159"/>
      <c r="I36" s="48">
        <f t="shared" si="1"/>
        <v>0</v>
      </c>
    </row>
    <row r="37" spans="1:9" ht="15">
      <c r="A37" s="58" t="s">
        <v>779</v>
      </c>
      <c r="B37" s="62">
        <v>6000</v>
      </c>
      <c r="C37" s="62">
        <v>0</v>
      </c>
      <c r="D37" s="62">
        <v>0</v>
      </c>
      <c r="E37" s="62">
        <v>6000</v>
      </c>
      <c r="F37" s="62">
        <v>0</v>
      </c>
      <c r="G37" s="62">
        <f aca="true" t="shared" si="6" ref="G37:G45">B37+C37</f>
        <v>6000</v>
      </c>
      <c r="H37" s="159" t="s">
        <v>475</v>
      </c>
      <c r="I37" s="48">
        <f t="shared" si="1"/>
        <v>6000</v>
      </c>
    </row>
    <row r="38" spans="1:9" ht="15">
      <c r="A38" s="58" t="s">
        <v>729</v>
      </c>
      <c r="B38" s="62">
        <v>5500</v>
      </c>
      <c r="C38" s="62">
        <v>0</v>
      </c>
      <c r="D38" s="62">
        <v>0</v>
      </c>
      <c r="E38" s="62">
        <v>5500</v>
      </c>
      <c r="F38" s="62">
        <v>0</v>
      </c>
      <c r="G38" s="62">
        <f t="shared" si="6"/>
        <v>5500</v>
      </c>
      <c r="H38" s="159" t="s">
        <v>475</v>
      </c>
      <c r="I38" s="48">
        <f t="shared" si="1"/>
        <v>5500</v>
      </c>
    </row>
    <row r="39" spans="1:9" ht="15">
      <c r="A39" s="58" t="s">
        <v>561</v>
      </c>
      <c r="B39" s="62">
        <v>22098</v>
      </c>
      <c r="C39" s="62">
        <v>0</v>
      </c>
      <c r="D39" s="62">
        <v>0</v>
      </c>
      <c r="E39" s="62">
        <v>22098</v>
      </c>
      <c r="F39" s="62">
        <v>0</v>
      </c>
      <c r="G39" s="62">
        <f t="shared" si="6"/>
        <v>22098</v>
      </c>
      <c r="H39" s="159" t="s">
        <v>475</v>
      </c>
      <c r="I39" s="48">
        <f t="shared" si="1"/>
        <v>22098</v>
      </c>
    </row>
    <row r="40" spans="1:9" ht="15">
      <c r="A40" s="58" t="s">
        <v>742</v>
      </c>
      <c r="B40" s="62">
        <v>0</v>
      </c>
      <c r="C40" s="62">
        <v>0</v>
      </c>
      <c r="D40" s="62">
        <v>0</v>
      </c>
      <c r="E40" s="62">
        <v>0</v>
      </c>
      <c r="F40" s="62"/>
      <c r="G40" s="62">
        <f t="shared" si="6"/>
        <v>0</v>
      </c>
      <c r="H40" s="159" t="s">
        <v>475</v>
      </c>
      <c r="I40" s="48">
        <f t="shared" si="1"/>
        <v>0</v>
      </c>
    </row>
    <row r="41" spans="1:9" ht="15">
      <c r="A41" s="66" t="s">
        <v>478</v>
      </c>
      <c r="B41" s="67">
        <f>SUM(B42:B45)</f>
        <v>105702</v>
      </c>
      <c r="C41" s="67">
        <f>SUM(C42:C45)</f>
        <v>0</v>
      </c>
      <c r="D41" s="67">
        <f>SUM(D42:D45)</f>
        <v>0</v>
      </c>
      <c r="E41" s="67">
        <f>SUM(E42:E45)</f>
        <v>105702</v>
      </c>
      <c r="F41" s="67">
        <f>SUM(F42:F45)</f>
        <v>0</v>
      </c>
      <c r="G41" s="67">
        <f t="shared" si="6"/>
        <v>105702</v>
      </c>
      <c r="H41" s="162" t="s">
        <v>475</v>
      </c>
      <c r="I41" s="48">
        <f t="shared" si="1"/>
        <v>105702</v>
      </c>
    </row>
    <row r="42" spans="1:9" ht="15">
      <c r="A42" s="58" t="s">
        <v>562</v>
      </c>
      <c r="B42" s="62">
        <v>24130</v>
      </c>
      <c r="C42" s="62">
        <v>0</v>
      </c>
      <c r="D42" s="62">
        <v>0</v>
      </c>
      <c r="E42" s="62">
        <v>24130</v>
      </c>
      <c r="F42" s="62">
        <v>0</v>
      </c>
      <c r="G42" s="62">
        <f t="shared" si="6"/>
        <v>24130</v>
      </c>
      <c r="H42" s="159" t="s">
        <v>475</v>
      </c>
      <c r="I42" s="48">
        <f t="shared" si="1"/>
        <v>24130</v>
      </c>
    </row>
    <row r="43" spans="1:9" ht="15">
      <c r="A43" s="58" t="s">
        <v>563</v>
      </c>
      <c r="B43" s="62">
        <v>45000</v>
      </c>
      <c r="C43" s="62">
        <v>0</v>
      </c>
      <c r="D43" s="62">
        <v>0</v>
      </c>
      <c r="E43" s="62">
        <v>45000</v>
      </c>
      <c r="F43" s="62">
        <v>0</v>
      </c>
      <c r="G43" s="62">
        <f t="shared" si="6"/>
        <v>45000</v>
      </c>
      <c r="H43" s="159" t="s">
        <v>475</v>
      </c>
      <c r="I43" s="48">
        <f t="shared" si="1"/>
        <v>45000</v>
      </c>
    </row>
    <row r="44" spans="1:9" ht="15">
      <c r="A44" s="58" t="s">
        <v>564</v>
      </c>
      <c r="B44" s="62">
        <v>32000</v>
      </c>
      <c r="C44" s="62">
        <v>0</v>
      </c>
      <c r="D44" s="62">
        <v>0</v>
      </c>
      <c r="E44" s="62">
        <v>32000</v>
      </c>
      <c r="F44" s="62">
        <v>0</v>
      </c>
      <c r="G44" s="62">
        <f t="shared" si="6"/>
        <v>32000</v>
      </c>
      <c r="H44" s="159" t="s">
        <v>475</v>
      </c>
      <c r="I44" s="48">
        <f t="shared" si="1"/>
        <v>32000</v>
      </c>
    </row>
    <row r="45" spans="1:9" ht="15">
      <c r="A45" s="66" t="s">
        <v>565</v>
      </c>
      <c r="B45" s="67">
        <v>4572</v>
      </c>
      <c r="C45" s="67">
        <v>0</v>
      </c>
      <c r="D45" s="67">
        <v>0</v>
      </c>
      <c r="E45" s="67">
        <v>4572</v>
      </c>
      <c r="F45" s="67">
        <v>0</v>
      </c>
      <c r="G45" s="67">
        <f t="shared" si="6"/>
        <v>4572</v>
      </c>
      <c r="H45" s="162" t="s">
        <v>475</v>
      </c>
      <c r="I45" s="48">
        <f t="shared" si="1"/>
        <v>4572</v>
      </c>
    </row>
    <row r="46" spans="1:9" ht="15">
      <c r="A46" s="58" t="s">
        <v>566</v>
      </c>
      <c r="B46" s="62">
        <v>134000</v>
      </c>
      <c r="C46" s="62"/>
      <c r="D46" s="62">
        <v>0</v>
      </c>
      <c r="E46" s="62">
        <v>0</v>
      </c>
      <c r="F46" s="62">
        <v>134000</v>
      </c>
      <c r="G46" s="62">
        <f>B46+C46</f>
        <v>134000</v>
      </c>
      <c r="H46" s="159" t="s">
        <v>475</v>
      </c>
      <c r="I46" s="48">
        <f t="shared" si="1"/>
        <v>134000</v>
      </c>
    </row>
    <row r="47" spans="1:9" ht="15">
      <c r="A47" s="58" t="s">
        <v>567</v>
      </c>
      <c r="B47" s="62">
        <v>1000</v>
      </c>
      <c r="C47" s="62"/>
      <c r="D47" s="62">
        <v>0</v>
      </c>
      <c r="E47" s="62">
        <v>1000</v>
      </c>
      <c r="F47" s="62">
        <v>0</v>
      </c>
      <c r="G47" s="62">
        <f>B47+C47</f>
        <v>1000</v>
      </c>
      <c r="H47" s="159" t="s">
        <v>475</v>
      </c>
      <c r="I47" s="48">
        <f t="shared" si="1"/>
        <v>1000</v>
      </c>
    </row>
    <row r="48" spans="1:9" ht="15">
      <c r="A48" s="58" t="s">
        <v>568</v>
      </c>
      <c r="B48" s="62">
        <v>12000</v>
      </c>
      <c r="C48" s="62">
        <v>0</v>
      </c>
      <c r="D48" s="62">
        <v>0</v>
      </c>
      <c r="E48" s="62">
        <v>12000</v>
      </c>
      <c r="F48" s="62">
        <v>0</v>
      </c>
      <c r="G48" s="62">
        <f>B48+C48</f>
        <v>12000</v>
      </c>
      <c r="H48" s="159" t="s">
        <v>475</v>
      </c>
      <c r="I48" s="48">
        <f t="shared" si="1"/>
        <v>12000</v>
      </c>
    </row>
    <row r="49" spans="1:9" ht="15">
      <c r="A49" s="58" t="s">
        <v>213</v>
      </c>
      <c r="B49" s="62">
        <v>300</v>
      </c>
      <c r="C49" s="62">
        <v>0</v>
      </c>
      <c r="D49" s="62">
        <v>0</v>
      </c>
      <c r="E49" s="62">
        <v>0</v>
      </c>
      <c r="F49" s="62">
        <v>300</v>
      </c>
      <c r="G49" s="62">
        <f>B49+C49</f>
        <v>300</v>
      </c>
      <c r="H49" s="159" t="s">
        <v>475</v>
      </c>
      <c r="I49" s="48">
        <f t="shared" si="1"/>
        <v>300</v>
      </c>
    </row>
    <row r="50" spans="1:9" s="168" customFormat="1" ht="15">
      <c r="A50" s="63" t="s">
        <v>474</v>
      </c>
      <c r="B50" s="64">
        <f aca="true" t="shared" si="7" ref="B50:G50">B37+B38+B40+B41+B46+B47+B48+B49+B39</f>
        <v>286600</v>
      </c>
      <c r="C50" s="64">
        <f t="shared" si="7"/>
        <v>0</v>
      </c>
      <c r="D50" s="64">
        <f t="shared" si="7"/>
        <v>0</v>
      </c>
      <c r="E50" s="64">
        <f t="shared" si="7"/>
        <v>152300</v>
      </c>
      <c r="F50" s="64">
        <f t="shared" si="7"/>
        <v>134300</v>
      </c>
      <c r="G50" s="64">
        <f t="shared" si="7"/>
        <v>286600</v>
      </c>
      <c r="H50" s="160" t="s">
        <v>475</v>
      </c>
      <c r="I50" s="48">
        <f t="shared" si="1"/>
        <v>286600</v>
      </c>
    </row>
    <row r="51" spans="1:9" ht="15">
      <c r="A51" s="58" t="s">
        <v>569</v>
      </c>
      <c r="B51" s="62">
        <v>84618</v>
      </c>
      <c r="C51" s="62"/>
      <c r="D51" s="62">
        <v>0</v>
      </c>
      <c r="E51" s="62">
        <v>0</v>
      </c>
      <c r="F51" s="62">
        <v>84618</v>
      </c>
      <c r="G51" s="62">
        <f>B51+C51</f>
        <v>84618</v>
      </c>
      <c r="H51" s="159" t="s">
        <v>485</v>
      </c>
      <c r="I51" s="48">
        <f t="shared" si="1"/>
        <v>84618</v>
      </c>
    </row>
    <row r="52" spans="1:9" ht="15">
      <c r="A52" s="58" t="s">
        <v>322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f>B52+C52</f>
        <v>0</v>
      </c>
      <c r="H52" s="159" t="s">
        <v>483</v>
      </c>
      <c r="I52" s="48">
        <f t="shared" si="1"/>
        <v>0</v>
      </c>
    </row>
    <row r="53" spans="1:9" s="168" customFormat="1" ht="15">
      <c r="A53" s="63" t="s">
        <v>482</v>
      </c>
      <c r="B53" s="64">
        <f aca="true" t="shared" si="8" ref="B53:G53">SUM(B51:B52)</f>
        <v>84618</v>
      </c>
      <c r="C53" s="64">
        <f t="shared" si="8"/>
        <v>0</v>
      </c>
      <c r="D53" s="64">
        <f t="shared" si="8"/>
        <v>0</v>
      </c>
      <c r="E53" s="64">
        <f t="shared" si="8"/>
        <v>0</v>
      </c>
      <c r="F53" s="64">
        <f t="shared" si="8"/>
        <v>84618</v>
      </c>
      <c r="G53" s="64">
        <f t="shared" si="8"/>
        <v>84618</v>
      </c>
      <c r="H53" s="160" t="s">
        <v>483</v>
      </c>
      <c r="I53" s="48">
        <f t="shared" si="1"/>
        <v>84618</v>
      </c>
    </row>
    <row r="54" spans="1:9" ht="15">
      <c r="A54" s="58" t="s">
        <v>570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f>B54+C54</f>
        <v>0</v>
      </c>
      <c r="H54" s="159" t="s">
        <v>492</v>
      </c>
      <c r="I54" s="48">
        <f t="shared" si="1"/>
        <v>0</v>
      </c>
    </row>
    <row r="55" spans="1:9" ht="15">
      <c r="A55" s="58" t="s">
        <v>571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f>B55+C55</f>
        <v>0</v>
      </c>
      <c r="H55" s="159" t="s">
        <v>492</v>
      </c>
      <c r="I55" s="48">
        <f t="shared" si="1"/>
        <v>0</v>
      </c>
    </row>
    <row r="56" spans="1:9" s="168" customFormat="1" ht="15">
      <c r="A56" s="63" t="s">
        <v>572</v>
      </c>
      <c r="B56" s="64">
        <f aca="true" t="shared" si="9" ref="B56:G56">SUM(B54:B55)</f>
        <v>0</v>
      </c>
      <c r="C56" s="64">
        <f t="shared" si="9"/>
        <v>0</v>
      </c>
      <c r="D56" s="64">
        <f t="shared" si="9"/>
        <v>0</v>
      </c>
      <c r="E56" s="64">
        <f t="shared" si="9"/>
        <v>0</v>
      </c>
      <c r="F56" s="64">
        <f t="shared" si="9"/>
        <v>0</v>
      </c>
      <c r="G56" s="64">
        <f t="shared" si="9"/>
        <v>0</v>
      </c>
      <c r="H56" s="160" t="s">
        <v>491</v>
      </c>
      <c r="I56" s="48">
        <f t="shared" si="1"/>
        <v>0</v>
      </c>
    </row>
    <row r="57" spans="1:9" ht="15">
      <c r="A57" s="58" t="s">
        <v>573</v>
      </c>
      <c r="B57" s="62">
        <v>700</v>
      </c>
      <c r="C57" s="62"/>
      <c r="D57" s="62">
        <v>0</v>
      </c>
      <c r="E57" s="62">
        <v>0</v>
      </c>
      <c r="F57" s="62">
        <v>700</v>
      </c>
      <c r="G57" s="62">
        <f>B57+C57</f>
        <v>700</v>
      </c>
      <c r="H57" s="159" t="s">
        <v>500</v>
      </c>
      <c r="I57" s="48">
        <f t="shared" si="1"/>
        <v>700</v>
      </c>
    </row>
    <row r="58" spans="1:9" ht="15">
      <c r="A58" s="58" t="s">
        <v>574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f>B58+C58</f>
        <v>0</v>
      </c>
      <c r="H58" s="159" t="s">
        <v>500</v>
      </c>
      <c r="I58" s="48">
        <f t="shared" si="1"/>
        <v>0</v>
      </c>
    </row>
    <row r="59" spans="1:9" ht="15">
      <c r="A59" s="58" t="s">
        <v>626</v>
      </c>
      <c r="B59" s="62">
        <v>0</v>
      </c>
      <c r="C59" s="62"/>
      <c r="D59" s="62">
        <v>0</v>
      </c>
      <c r="E59" s="62">
        <v>0</v>
      </c>
      <c r="F59" s="62">
        <v>0</v>
      </c>
      <c r="G59" s="62">
        <f>B59+C59</f>
        <v>0</v>
      </c>
      <c r="H59" s="159" t="s">
        <v>504</v>
      </c>
      <c r="I59" s="48">
        <f t="shared" si="1"/>
        <v>0</v>
      </c>
    </row>
    <row r="60" spans="1:9" ht="15">
      <c r="A60" s="58" t="s">
        <v>575</v>
      </c>
      <c r="B60" s="62">
        <v>170</v>
      </c>
      <c r="C60" s="62">
        <v>0</v>
      </c>
      <c r="D60" s="62">
        <v>0</v>
      </c>
      <c r="E60" s="62">
        <v>0</v>
      </c>
      <c r="F60" s="62">
        <v>170</v>
      </c>
      <c r="G60" s="62">
        <f>B60+C60</f>
        <v>170</v>
      </c>
      <c r="H60" s="159" t="s">
        <v>504</v>
      </c>
      <c r="I60" s="48">
        <f t="shared" si="1"/>
        <v>170</v>
      </c>
    </row>
    <row r="61" spans="1:9" s="168" customFormat="1" ht="15">
      <c r="A61" s="63" t="s">
        <v>497</v>
      </c>
      <c r="B61" s="64">
        <f aca="true" t="shared" si="10" ref="B61:G61">SUM(B57:B60)</f>
        <v>870</v>
      </c>
      <c r="C61" s="64">
        <f t="shared" si="10"/>
        <v>0</v>
      </c>
      <c r="D61" s="64">
        <f t="shared" si="10"/>
        <v>0</v>
      </c>
      <c r="E61" s="64">
        <f t="shared" si="10"/>
        <v>0</v>
      </c>
      <c r="F61" s="64">
        <f t="shared" si="10"/>
        <v>870</v>
      </c>
      <c r="G61" s="64">
        <f t="shared" si="10"/>
        <v>870</v>
      </c>
      <c r="H61" s="160" t="s">
        <v>498</v>
      </c>
      <c r="I61" s="48">
        <f t="shared" si="1"/>
        <v>870</v>
      </c>
    </row>
    <row r="62" spans="1:9" s="168" customFormat="1" ht="15">
      <c r="A62" s="70" t="s">
        <v>576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f>B62+C62</f>
        <v>0</v>
      </c>
      <c r="H62" s="163"/>
      <c r="I62" s="48">
        <f t="shared" si="1"/>
        <v>0</v>
      </c>
    </row>
    <row r="63" spans="1:9" s="168" customFormat="1" ht="15">
      <c r="A63" s="63" t="s">
        <v>577</v>
      </c>
      <c r="B63" s="64">
        <f aca="true" t="shared" si="11" ref="B63:G63">B62+B61+B56+B53+B50+B35+B24+B21+B25</f>
        <v>689732</v>
      </c>
      <c r="C63" s="64">
        <f t="shared" si="11"/>
        <v>0</v>
      </c>
      <c r="D63" s="64">
        <f t="shared" si="11"/>
        <v>0</v>
      </c>
      <c r="E63" s="64">
        <f t="shared" si="11"/>
        <v>172762</v>
      </c>
      <c r="F63" s="64">
        <f t="shared" si="11"/>
        <v>516970</v>
      </c>
      <c r="G63" s="64">
        <f t="shared" si="11"/>
        <v>689732</v>
      </c>
      <c r="H63" s="160"/>
      <c r="I63" s="48">
        <f t="shared" si="1"/>
        <v>689732</v>
      </c>
    </row>
    <row r="64" spans="1:9" ht="15">
      <c r="A64" s="58"/>
      <c r="B64" s="59"/>
      <c r="C64" s="59"/>
      <c r="D64" s="59"/>
      <c r="E64" s="59"/>
      <c r="F64" s="59"/>
      <c r="G64" s="59"/>
      <c r="H64" s="159"/>
      <c r="I64" s="48">
        <f>D64+E64+F64</f>
        <v>0</v>
      </c>
    </row>
  </sheetData>
  <sheetProtection/>
  <mergeCells count="2">
    <mergeCell ref="A4:H4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8"/>
  <sheetViews>
    <sheetView view="pageBreakPreview" zoomScale="75" zoomScaleSheetLayoutView="75" zoomScalePageLayoutView="0" workbookViewId="0" topLeftCell="A1">
      <selection activeCell="A1" sqref="A1:C1"/>
    </sheetView>
  </sheetViews>
  <sheetFormatPr defaultColWidth="9.140625" defaultRowHeight="12.75"/>
  <cols>
    <col min="1" max="1" width="169.28125" style="44" customWidth="1"/>
    <col min="2" max="2" width="15.140625" style="44" customWidth="1"/>
    <col min="3" max="3" width="16.7109375" style="44" customWidth="1"/>
    <col min="4" max="16384" width="9.140625" style="44" customWidth="1"/>
  </cols>
  <sheetData>
    <row r="1" spans="1:3" ht="12.75">
      <c r="A1" s="414" t="s">
        <v>936</v>
      </c>
      <c r="B1" s="414"/>
      <c r="C1" s="414"/>
    </row>
    <row r="4" spans="1:3" ht="12.75">
      <c r="A4" s="415" t="s">
        <v>770</v>
      </c>
      <c r="B4" s="415"/>
      <c r="C4" s="415"/>
    </row>
    <row r="5" ht="12.75">
      <c r="C5" s="212" t="s">
        <v>321</v>
      </c>
    </row>
    <row r="6" spans="1:3" s="168" customFormat="1" ht="12.75">
      <c r="A6" s="126" t="s">
        <v>771</v>
      </c>
      <c r="B6" s="224"/>
      <c r="C6" s="224">
        <f>SUM(C8:C91)</f>
        <v>544583983</v>
      </c>
    </row>
    <row r="7" spans="1:3" ht="12.75">
      <c r="A7" s="210"/>
      <c r="B7" s="210"/>
      <c r="C7" s="234"/>
    </row>
    <row r="8" spans="1:3" ht="12.75">
      <c r="A8" s="208" t="s">
        <v>829</v>
      </c>
      <c r="B8" s="72"/>
      <c r="C8" s="72">
        <f>SUM(B12:B77)</f>
        <v>527203651</v>
      </c>
    </row>
    <row r="9" spans="1:3" ht="12.75">
      <c r="A9" s="208" t="s">
        <v>830</v>
      </c>
      <c r="B9" s="72"/>
      <c r="C9" s="72"/>
    </row>
    <row r="10" spans="1:3" ht="12.75">
      <c r="A10" s="208" t="s">
        <v>831</v>
      </c>
      <c r="B10" s="72"/>
      <c r="C10" s="72"/>
    </row>
    <row r="11" spans="1:3" ht="12.75">
      <c r="A11" s="208" t="s">
        <v>832</v>
      </c>
      <c r="B11" s="72"/>
      <c r="C11" s="72"/>
    </row>
    <row r="12" spans="1:3" ht="57">
      <c r="A12" s="356" t="s">
        <v>833</v>
      </c>
      <c r="B12" s="72">
        <f>31566295+9060490+2607656+1752434+1134844-252000+252500-500000-280000-103600+2835710-399000-551820+702600-29275895-7904492+509250-228600-285750-381000+202325</f>
        <v>10461947</v>
      </c>
      <c r="C12" s="72"/>
    </row>
    <row r="13" spans="1:3" ht="12.75">
      <c r="A13" s="208" t="s">
        <v>834</v>
      </c>
      <c r="B13" s="72"/>
      <c r="C13" s="72"/>
    </row>
    <row r="14" spans="1:3" ht="12.75">
      <c r="A14" s="208" t="s">
        <v>835</v>
      </c>
      <c r="B14" s="72">
        <v>1905000</v>
      </c>
      <c r="C14" s="72"/>
    </row>
    <row r="15" spans="1:3" ht="12.75">
      <c r="A15" s="208" t="s">
        <v>836</v>
      </c>
      <c r="B15" s="72">
        <v>500000</v>
      </c>
      <c r="C15" s="72"/>
    </row>
    <row r="16" spans="1:3" ht="12.75">
      <c r="A16" s="208" t="s">
        <v>837</v>
      </c>
      <c r="B16" s="72">
        <f>5132375-1178221-1637372-14000-406400-605980-1145672+10000000-3282694-405543-762000-2482596-891620-809527+2776773+496026-533400-609600-627100-1866891+5000000</f>
        <v>6146558</v>
      </c>
      <c r="C16" s="72"/>
    </row>
    <row r="17" spans="1:3" ht="12.75">
      <c r="A17" s="208" t="s">
        <v>838</v>
      </c>
      <c r="B17" s="72">
        <v>762000</v>
      </c>
      <c r="C17" s="72"/>
    </row>
    <row r="18" spans="1:3" ht="12.75">
      <c r="A18" s="208" t="s">
        <v>839</v>
      </c>
      <c r="B18" s="72">
        <f>809527-717804</f>
        <v>91723</v>
      </c>
      <c r="C18" s="72"/>
    </row>
    <row r="19" spans="1:3" ht="12.75">
      <c r="A19" s="208" t="s">
        <v>840</v>
      </c>
      <c r="B19" s="72">
        <v>533400</v>
      </c>
      <c r="C19" s="72"/>
    </row>
    <row r="20" spans="1:3" ht="12.75">
      <c r="A20" s="208" t="s">
        <v>841</v>
      </c>
      <c r="B20" s="72">
        <v>609600</v>
      </c>
      <c r="C20" s="72"/>
    </row>
    <row r="21" spans="1:3" ht="23.25">
      <c r="A21" s="356" t="s">
        <v>842</v>
      </c>
      <c r="B21" s="72">
        <f>10000000+8469000-848101-6432042-11000000+3000000-675640+9412459+12996042-9000000-900000-600000-5000000+2500000-720000+10484750-23303000+10415942-9000000</f>
        <v>-200590</v>
      </c>
      <c r="C21" s="72"/>
    </row>
    <row r="22" spans="1:3" ht="12.75">
      <c r="A22" s="208" t="s">
        <v>843</v>
      </c>
      <c r="B22" s="72">
        <v>848101</v>
      </c>
      <c r="C22" s="72"/>
    </row>
    <row r="23" spans="1:3" ht="12.75">
      <c r="A23" s="208" t="s">
        <v>844</v>
      </c>
      <c r="B23" s="72">
        <f>9000000-5220984-3017954</f>
        <v>761062</v>
      </c>
      <c r="C23" s="72"/>
    </row>
    <row r="24" spans="1:3" ht="12.75">
      <c r="A24" s="208" t="s">
        <v>845</v>
      </c>
      <c r="B24" s="72">
        <v>23303000</v>
      </c>
      <c r="C24" s="72"/>
    </row>
    <row r="25" spans="1:3" ht="12.75">
      <c r="A25" s="208" t="s">
        <v>914</v>
      </c>
      <c r="B25" s="72">
        <v>9000000</v>
      </c>
      <c r="C25" s="72"/>
    </row>
    <row r="26" spans="1:3" ht="23.25">
      <c r="A26" s="356" t="s">
        <v>846</v>
      </c>
      <c r="B26" s="72">
        <f>7115000-3556000+20000000-800000</f>
        <v>22759000</v>
      </c>
      <c r="C26" s="72"/>
    </row>
    <row r="27" spans="1:3" ht="12.75">
      <c r="A27" s="356" t="s">
        <v>847</v>
      </c>
      <c r="B27" s="72">
        <v>800000</v>
      </c>
      <c r="C27" s="72"/>
    </row>
    <row r="28" spans="1:3" ht="12.75">
      <c r="A28" s="208" t="s">
        <v>848</v>
      </c>
      <c r="B28" s="72">
        <v>8700000</v>
      </c>
      <c r="C28" s="72"/>
    </row>
    <row r="29" spans="1:3" ht="12.75">
      <c r="A29" s="208" t="s">
        <v>849</v>
      </c>
      <c r="B29" s="72">
        <v>263600</v>
      </c>
      <c r="C29" s="72"/>
    </row>
    <row r="30" spans="1:3" ht="12.75">
      <c r="A30" s="208" t="s">
        <v>850</v>
      </c>
      <c r="B30" s="72">
        <v>17647058</v>
      </c>
      <c r="C30" s="72"/>
    </row>
    <row r="31" spans="1:3" ht="12.75">
      <c r="A31" s="208" t="s">
        <v>851</v>
      </c>
      <c r="B31" s="72">
        <v>2476500</v>
      </c>
      <c r="C31" s="72"/>
    </row>
    <row r="32" spans="1:3" ht="12.75">
      <c r="A32" s="208" t="s">
        <v>852</v>
      </c>
      <c r="B32" s="72">
        <v>2984500</v>
      </c>
      <c r="C32" s="72"/>
    </row>
    <row r="33" spans="1:3" ht="12.75">
      <c r="A33" s="208" t="s">
        <v>853</v>
      </c>
      <c r="B33" s="72">
        <v>5000000</v>
      </c>
      <c r="C33" s="72"/>
    </row>
    <row r="34" spans="1:3" ht="12.75">
      <c r="A34" s="208" t="s">
        <v>854</v>
      </c>
      <c r="B34" s="72"/>
      <c r="C34" s="72"/>
    </row>
    <row r="35" spans="1:3" ht="12.75">
      <c r="A35" s="208" t="s">
        <v>855</v>
      </c>
      <c r="B35" s="72">
        <v>1200000</v>
      </c>
      <c r="C35" s="72"/>
    </row>
    <row r="36" spans="1:3" ht="12.75">
      <c r="A36" s="208" t="s">
        <v>856</v>
      </c>
      <c r="B36" s="72">
        <v>3176138</v>
      </c>
      <c r="C36" s="234"/>
    </row>
    <row r="37" spans="1:3" ht="12.75">
      <c r="A37" s="208" t="s">
        <v>857</v>
      </c>
      <c r="B37" s="72">
        <f>865000-536000</f>
        <v>329000</v>
      </c>
      <c r="C37" s="234"/>
    </row>
    <row r="38" spans="1:3" ht="12.75">
      <c r="A38" s="208" t="s">
        <v>858</v>
      </c>
      <c r="B38" s="72">
        <v>1841500</v>
      </c>
      <c r="C38" s="234"/>
    </row>
    <row r="39" spans="1:3" ht="12.75">
      <c r="A39" s="208" t="s">
        <v>859</v>
      </c>
      <c r="B39" s="72">
        <v>1397000</v>
      </c>
      <c r="C39" s="234"/>
    </row>
    <row r="40" spans="1:3" ht="12.75">
      <c r="A40" s="208" t="s">
        <v>860</v>
      </c>
      <c r="B40" s="72">
        <v>244475</v>
      </c>
      <c r="C40" s="234"/>
    </row>
    <row r="41" spans="1:3" ht="12.75">
      <c r="A41" s="208" t="s">
        <v>861</v>
      </c>
      <c r="B41" s="72">
        <f>5000000-2250000</f>
        <v>2750000</v>
      </c>
      <c r="C41" s="234"/>
    </row>
    <row r="42" spans="1:3" ht="12.75">
      <c r="A42" s="208" t="s">
        <v>862</v>
      </c>
      <c r="B42" s="72">
        <v>3540000</v>
      </c>
      <c r="C42" s="234"/>
    </row>
    <row r="43" spans="1:3" ht="12.75">
      <c r="A43" s="208" t="s">
        <v>863</v>
      </c>
      <c r="B43" s="72">
        <v>480000</v>
      </c>
      <c r="C43" s="234"/>
    </row>
    <row r="44" spans="1:3" ht="12.75">
      <c r="A44" s="208" t="s">
        <v>864</v>
      </c>
      <c r="B44" s="72">
        <v>0</v>
      </c>
      <c r="C44" s="234"/>
    </row>
    <row r="45" spans="1:3" ht="12.75">
      <c r="A45" s="208" t="s">
        <v>865</v>
      </c>
      <c r="B45" s="72"/>
      <c r="C45" s="234"/>
    </row>
    <row r="46" spans="1:3" ht="12.75">
      <c r="A46" s="208" t="s">
        <v>866</v>
      </c>
      <c r="B46" s="72">
        <v>12573000</v>
      </c>
      <c r="C46" s="234"/>
    </row>
    <row r="47" spans="1:3" ht="12.75">
      <c r="A47" s="208" t="s">
        <v>867</v>
      </c>
      <c r="B47" s="72">
        <f>13900000-12620015-1191374</f>
        <v>88611</v>
      </c>
      <c r="C47" s="234"/>
    </row>
    <row r="48" spans="1:3" ht="12.75">
      <c r="A48" s="208" t="s">
        <v>868</v>
      </c>
      <c r="B48" s="72">
        <f>291343739-6350000-381000-10922000-22488841-3333333-22700000-3175000-3938270+3175000+3938270+22700000-22770846-16246475-18712518-21733016</f>
        <v>168405710</v>
      </c>
      <c r="C48" s="234"/>
    </row>
    <row r="49" spans="1:3" ht="12.75">
      <c r="A49" s="208" t="s">
        <v>869</v>
      </c>
      <c r="B49" s="72">
        <v>6350000</v>
      </c>
      <c r="C49" s="234"/>
    </row>
    <row r="50" spans="1:3" ht="12.75">
      <c r="A50" s="208" t="s">
        <v>870</v>
      </c>
      <c r="B50" s="72">
        <f>10922000-3276600</f>
        <v>7645400</v>
      </c>
      <c r="C50" s="234"/>
    </row>
    <row r="51" spans="1:3" ht="12.75">
      <c r="A51" s="208" t="s">
        <v>871</v>
      </c>
      <c r="B51" s="72">
        <v>3333333</v>
      </c>
      <c r="C51" s="234"/>
    </row>
    <row r="52" spans="1:3" ht="12.75">
      <c r="A52" s="208" t="s">
        <v>915</v>
      </c>
      <c r="B52" s="72">
        <v>21733016</v>
      </c>
      <c r="C52" s="234"/>
    </row>
    <row r="53" spans="1:3" ht="12.75">
      <c r="A53" s="208" t="s">
        <v>872</v>
      </c>
      <c r="B53" s="72">
        <f>187500+203200+1875000-2857500+27500</f>
        <v>-564300</v>
      </c>
      <c r="C53" s="234"/>
    </row>
    <row r="54" spans="1:3" ht="12.75">
      <c r="A54" s="208" t="s">
        <v>873</v>
      </c>
      <c r="B54" s="72">
        <v>1000000</v>
      </c>
      <c r="C54" s="234"/>
    </row>
    <row r="55" spans="1:3" ht="12.75">
      <c r="A55" s="208" t="s">
        <v>874</v>
      </c>
      <c r="B55" s="72">
        <v>2500000</v>
      </c>
      <c r="C55" s="234"/>
    </row>
    <row r="56" spans="1:3" ht="12.75">
      <c r="A56" s="208" t="s">
        <v>875</v>
      </c>
      <c r="B56" s="72">
        <v>3454400</v>
      </c>
      <c r="C56" s="234"/>
    </row>
    <row r="57" spans="1:3" ht="12.75">
      <c r="A57" s="208" t="s">
        <v>876</v>
      </c>
      <c r="B57" s="72">
        <v>500000</v>
      </c>
      <c r="C57" s="72"/>
    </row>
    <row r="58" spans="1:3" s="209" customFormat="1" ht="14.25">
      <c r="A58" s="208" t="s">
        <v>877</v>
      </c>
      <c r="B58" s="72">
        <f>5000000-726440-724484-613500</f>
        <v>2935576</v>
      </c>
      <c r="C58" s="72"/>
    </row>
    <row r="59" spans="1:3" s="209" customFormat="1" ht="14.25">
      <c r="A59" s="208" t="s">
        <v>878</v>
      </c>
      <c r="B59" s="72">
        <v>726440</v>
      </c>
      <c r="C59" s="72"/>
    </row>
    <row r="60" spans="1:3" s="209" customFormat="1" ht="14.25">
      <c r="A60" s="208" t="s">
        <v>879</v>
      </c>
      <c r="B60" s="72">
        <v>724484</v>
      </c>
      <c r="C60" s="72"/>
    </row>
    <row r="61" spans="1:3" s="209" customFormat="1" ht="14.25">
      <c r="A61" s="208" t="s">
        <v>880</v>
      </c>
      <c r="B61" s="72">
        <v>1372081</v>
      </c>
      <c r="C61" s="72"/>
    </row>
    <row r="62" spans="1:3" s="357" customFormat="1" ht="14.25">
      <c r="A62" s="208" t="s">
        <v>881</v>
      </c>
      <c r="B62" s="72">
        <v>430000</v>
      </c>
      <c r="C62" s="72"/>
    </row>
    <row r="63" spans="1:3" s="357" customFormat="1" ht="14.25">
      <c r="A63" s="208" t="s">
        <v>882</v>
      </c>
      <c r="B63" s="72">
        <v>95250</v>
      </c>
      <c r="C63" s="72"/>
    </row>
    <row r="64" spans="1:3" s="209" customFormat="1" ht="14.25">
      <c r="A64" s="208" t="s">
        <v>883</v>
      </c>
      <c r="B64" s="72">
        <v>95250</v>
      </c>
      <c r="C64" s="72"/>
    </row>
    <row r="65" spans="1:3" s="351" customFormat="1" ht="12.75">
      <c r="A65" s="348" t="s">
        <v>12</v>
      </c>
      <c r="B65" s="349">
        <v>2730500</v>
      </c>
      <c r="C65" s="350"/>
    </row>
    <row r="66" spans="1:3" s="351" customFormat="1" ht="12.75">
      <c r="A66" s="348" t="s">
        <v>13</v>
      </c>
      <c r="B66" s="349">
        <v>539750</v>
      </c>
      <c r="C66" s="350"/>
    </row>
    <row r="67" spans="1:3" s="351" customFormat="1" ht="12.75">
      <c r="A67" s="352" t="s">
        <v>795</v>
      </c>
      <c r="B67" s="349">
        <v>27823993</v>
      </c>
      <c r="C67" s="350"/>
    </row>
    <row r="68" spans="1:3" s="351" customFormat="1" ht="12.75">
      <c r="A68" s="352" t="s">
        <v>796</v>
      </c>
      <c r="B68" s="349">
        <v>36761039</v>
      </c>
      <c r="C68" s="350"/>
    </row>
    <row r="69" spans="1:3" s="351" customFormat="1" ht="12.75">
      <c r="A69" s="352" t="s">
        <v>797</v>
      </c>
      <c r="B69" s="349">
        <v>14113627</v>
      </c>
      <c r="C69" s="350"/>
    </row>
    <row r="70" spans="1:3" s="351" customFormat="1" ht="12.75">
      <c r="A70" s="211" t="s">
        <v>813</v>
      </c>
      <c r="B70" s="353">
        <v>8112000</v>
      </c>
      <c r="C70" s="353"/>
    </row>
    <row r="71" spans="1:3" s="351" customFormat="1" ht="12.75">
      <c r="A71" s="213" t="s">
        <v>814</v>
      </c>
      <c r="B71" s="353">
        <v>2540000</v>
      </c>
      <c r="C71" s="353"/>
    </row>
    <row r="72" spans="1:3" s="351" customFormat="1" ht="12.75">
      <c r="A72" s="211" t="s">
        <v>815</v>
      </c>
      <c r="B72" s="353">
        <v>1273883</v>
      </c>
      <c r="C72" s="353"/>
    </row>
    <row r="73" spans="1:3" s="351" customFormat="1" ht="12.75">
      <c r="A73" s="350" t="s">
        <v>816</v>
      </c>
      <c r="B73" s="349">
        <v>23000000</v>
      </c>
      <c r="C73" s="349"/>
    </row>
    <row r="74" spans="1:3" s="351" customFormat="1" ht="12.75">
      <c r="A74" s="354" t="s">
        <v>798</v>
      </c>
      <c r="B74" s="349">
        <v>10000000</v>
      </c>
      <c r="C74" s="349"/>
    </row>
    <row r="75" spans="1:3" s="351" customFormat="1" ht="12.75">
      <c r="A75" s="354" t="s">
        <v>817</v>
      </c>
      <c r="B75" s="349">
        <f>20000000+4011290</f>
        <v>24011290</v>
      </c>
      <c r="C75" s="349"/>
    </row>
    <row r="76" spans="1:3" s="351" customFormat="1" ht="12.75">
      <c r="A76" s="354" t="s">
        <v>818</v>
      </c>
      <c r="B76" s="349">
        <v>2500000</v>
      </c>
      <c r="C76" s="349"/>
    </row>
    <row r="77" spans="1:3" s="209" customFormat="1" ht="14.25">
      <c r="A77" s="208" t="s">
        <v>884</v>
      </c>
      <c r="B77" s="72">
        <f>6406173-635000+10000000+2500000-13000000-3540000-480000+51531000+12096280-14765536+3124200-50407712+1574800+29458114+571401-2832758-9060490-1223777-900000-12573000-1094651-274000+14000+100000-663571-503937-87777-1752434+2783400+185689+14158979+1000000-9412459-3013030-635000-635000-838200-1000000-23760+44197770-12996042-1000000-20000000+2818511-16802897-5490000+4000000+9503187+16152501-26000000+21642365-652020-16152501-1000000-4781315+6296863-220220-3454400-12761374-1493220+28287980-2538108-11185779-1372081+9283951+1+5080000+381000-27500-430000-95250-95250+386730-5000000-546100</f>
        <v>10088746</v>
      </c>
      <c r="C77" s="72"/>
    </row>
    <row r="78" spans="1:3" ht="12.75">
      <c r="A78" s="206"/>
      <c r="B78" s="207"/>
      <c r="C78" s="207"/>
    </row>
    <row r="79" spans="1:3" ht="12.75">
      <c r="A79" s="208" t="s">
        <v>885</v>
      </c>
      <c r="B79" s="72"/>
      <c r="C79" s="72">
        <v>1114146</v>
      </c>
    </row>
    <row r="80" spans="1:3" s="168" customFormat="1" ht="12.75">
      <c r="A80" s="208" t="s">
        <v>886</v>
      </c>
      <c r="B80" s="72"/>
      <c r="C80" s="72">
        <f>SUM(B81:B82)</f>
        <v>117768</v>
      </c>
    </row>
    <row r="81" spans="1:3" s="168" customFormat="1" ht="12.75">
      <c r="A81" s="208" t="s">
        <v>887</v>
      </c>
      <c r="B81" s="72">
        <f>874220-372915-457495</f>
        <v>43810</v>
      </c>
      <c r="C81" s="72"/>
    </row>
    <row r="82" spans="1:3" ht="12.75">
      <c r="A82" s="208" t="s">
        <v>888</v>
      </c>
      <c r="B82" s="72">
        <f>190597-116639</f>
        <v>73958</v>
      </c>
      <c r="C82" s="72"/>
    </row>
    <row r="83" spans="1:3" ht="12.75">
      <c r="A83" s="208" t="s">
        <v>889</v>
      </c>
      <c r="B83" s="72"/>
      <c r="C83" s="72">
        <f>5573140-323088+1046811+835891+151-6296863+49133+1955702</f>
        <v>2840877</v>
      </c>
    </row>
    <row r="84" spans="1:3" ht="12.75">
      <c r="A84" s="208" t="s">
        <v>890</v>
      </c>
      <c r="B84" s="72"/>
      <c r="C84" s="72">
        <f>50407712-39800033</f>
        <v>10607679</v>
      </c>
    </row>
    <row r="85" spans="1:3" ht="12.75">
      <c r="A85" s="208" t="s">
        <v>891</v>
      </c>
      <c r="B85" s="72"/>
      <c r="C85" s="72">
        <v>0</v>
      </c>
    </row>
    <row r="86" spans="1:3" ht="12.75">
      <c r="A86" s="208" t="s">
        <v>892</v>
      </c>
      <c r="B86" s="72"/>
      <c r="C86" s="72">
        <v>0</v>
      </c>
    </row>
    <row r="87" spans="1:3" ht="12.75">
      <c r="A87" s="208" t="s">
        <v>893</v>
      </c>
      <c r="B87" s="72"/>
      <c r="C87" s="72">
        <v>0</v>
      </c>
    </row>
    <row r="88" spans="1:3" ht="12.75">
      <c r="A88" s="208" t="s">
        <v>894</v>
      </c>
      <c r="B88" s="72"/>
      <c r="C88" s="72">
        <v>45874</v>
      </c>
    </row>
    <row r="89" spans="1:3" ht="12.75">
      <c r="A89" s="208" t="s">
        <v>895</v>
      </c>
      <c r="B89" s="72"/>
      <c r="C89" s="72">
        <v>2653988</v>
      </c>
    </row>
    <row r="90" spans="1:3" ht="12.75">
      <c r="A90" s="208" t="s">
        <v>896</v>
      </c>
      <c r="B90" s="72"/>
      <c r="C90" s="72">
        <v>0</v>
      </c>
    </row>
    <row r="91" spans="1:3" ht="12.75">
      <c r="A91" s="208" t="s">
        <v>897</v>
      </c>
      <c r="B91" s="210"/>
      <c r="C91" s="210">
        <v>0</v>
      </c>
    </row>
    <row r="118" spans="1:3" s="205" customFormat="1" ht="12.75">
      <c r="A118" s="44"/>
      <c r="B118" s="44"/>
      <c r="C118" s="44"/>
    </row>
  </sheetData>
  <sheetProtection/>
  <mergeCells count="2">
    <mergeCell ref="A1:C1"/>
    <mergeCell ref="A4:C4"/>
  </mergeCells>
  <printOptions/>
  <pageMargins left="0.6" right="0.27" top="0.56" bottom="1" header="0.36" footer="0.5"/>
  <pageSetup fitToHeight="2" horizontalDpi="600" verticalDpi="600" orientation="portrait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="75" zoomScaleSheetLayoutView="75" zoomScalePageLayoutView="0" workbookViewId="0" topLeftCell="A1">
      <selection activeCell="A1" sqref="A1:C1"/>
    </sheetView>
  </sheetViews>
  <sheetFormatPr defaultColWidth="9.140625" defaultRowHeight="12.75"/>
  <cols>
    <col min="1" max="1" width="150.00390625" style="44" bestFit="1" customWidth="1"/>
    <col min="2" max="2" width="9.421875" style="44" bestFit="1" customWidth="1"/>
    <col min="3" max="3" width="13.8515625" style="44" customWidth="1"/>
    <col min="4" max="16384" width="9.140625" style="44" customWidth="1"/>
  </cols>
  <sheetData>
    <row r="1" spans="1:3" ht="12.75">
      <c r="A1" s="414" t="s">
        <v>937</v>
      </c>
      <c r="B1" s="414"/>
      <c r="C1" s="414"/>
    </row>
    <row r="4" spans="1:3" ht="12.75">
      <c r="A4" s="415" t="s">
        <v>772</v>
      </c>
      <c r="B4" s="415"/>
      <c r="C4" s="415"/>
    </row>
    <row r="8" spans="2:3" ht="12.75">
      <c r="B8" s="416" t="s">
        <v>321</v>
      </c>
      <c r="C8" s="416"/>
    </row>
    <row r="9" spans="1:3" s="168" customFormat="1" ht="12.75">
      <c r="A9" s="223" t="s">
        <v>773</v>
      </c>
      <c r="B9" s="224"/>
      <c r="C9" s="224">
        <f>SUM(C11:C27)</f>
        <v>69030835</v>
      </c>
    </row>
    <row r="10" spans="1:3" s="168" customFormat="1" ht="12.75">
      <c r="A10" s="223"/>
      <c r="B10" s="224"/>
      <c r="C10" s="224"/>
    </row>
    <row r="11" spans="1:3" ht="12.75">
      <c r="A11" s="210" t="s">
        <v>898</v>
      </c>
      <c r="B11" s="72"/>
      <c r="C11" s="72">
        <v>229259</v>
      </c>
    </row>
    <row r="12" spans="1:3" ht="12.75">
      <c r="A12" s="210" t="s">
        <v>899</v>
      </c>
      <c r="B12" s="72"/>
      <c r="C12" s="72">
        <v>280360</v>
      </c>
    </row>
    <row r="13" spans="1:3" ht="12.75">
      <c r="A13" s="210" t="s">
        <v>900</v>
      </c>
      <c r="B13" s="72"/>
      <c r="C13" s="72">
        <f>450000+276825-550800+550800</f>
        <v>726825</v>
      </c>
    </row>
    <row r="14" spans="1:3" ht="12.75">
      <c r="A14" s="210" t="s">
        <v>901</v>
      </c>
      <c r="B14" s="72"/>
      <c r="C14" s="72">
        <f>1200000-863600</f>
        <v>336400</v>
      </c>
    </row>
    <row r="15" spans="1:3" ht="12.75">
      <c r="A15" s="210" t="s">
        <v>902</v>
      </c>
      <c r="B15" s="72"/>
      <c r="C15" s="72">
        <v>1575000</v>
      </c>
    </row>
    <row r="16" spans="1:3" ht="12.75">
      <c r="A16" s="210" t="s">
        <v>903</v>
      </c>
      <c r="B16" s="72"/>
      <c r="C16" s="72">
        <f>9598827+811</f>
        <v>9599638</v>
      </c>
    </row>
    <row r="17" spans="1:3" ht="12.75">
      <c r="A17" s="210" t="s">
        <v>904</v>
      </c>
      <c r="B17" s="72"/>
      <c r="C17" s="72">
        <v>2078</v>
      </c>
    </row>
    <row r="18" spans="1:3" ht="12.75">
      <c r="A18" s="210" t="s">
        <v>905</v>
      </c>
      <c r="B18" s="72"/>
      <c r="C18" s="72">
        <f>1121736+1442025+802698+959284+1870737+66065</f>
        <v>6262545</v>
      </c>
    </row>
    <row r="19" spans="1:3" ht="12.75">
      <c r="A19" s="210" t="s">
        <v>906</v>
      </c>
      <c r="B19" s="72"/>
      <c r="C19" s="72">
        <v>460867</v>
      </c>
    </row>
    <row r="20" spans="1:3" ht="12.75">
      <c r="A20" s="210" t="s">
        <v>907</v>
      </c>
      <c r="B20" s="72"/>
      <c r="C20" s="72">
        <v>242789</v>
      </c>
    </row>
    <row r="21" spans="1:3" ht="12.75">
      <c r="A21" s="210" t="s">
        <v>908</v>
      </c>
      <c r="B21" s="72"/>
      <c r="C21" s="72">
        <v>2308562</v>
      </c>
    </row>
    <row r="22" spans="1:3" ht="12.75">
      <c r="A22" s="210" t="s">
        <v>909</v>
      </c>
      <c r="B22" s="72"/>
      <c r="C22" s="72">
        <v>1661884</v>
      </c>
    </row>
    <row r="23" spans="1:3" ht="12.75">
      <c r="A23" s="210" t="s">
        <v>910</v>
      </c>
      <c r="B23" s="72"/>
      <c r="C23" s="72">
        <v>50000</v>
      </c>
    </row>
    <row r="24" spans="1:3" ht="12.75">
      <c r="A24" s="210" t="s">
        <v>911</v>
      </c>
      <c r="B24" s="72"/>
      <c r="C24" s="72">
        <v>90000</v>
      </c>
    </row>
    <row r="25" spans="1:3" ht="12.75">
      <c r="A25" s="210" t="s">
        <v>912</v>
      </c>
      <c r="B25" s="72"/>
      <c r="C25" s="72">
        <v>300000</v>
      </c>
    </row>
    <row r="26" spans="1:3" ht="12.75">
      <c r="A26" s="210" t="s">
        <v>786</v>
      </c>
      <c r="B26" s="72"/>
      <c r="C26" s="72">
        <v>2342513</v>
      </c>
    </row>
    <row r="27" spans="1:3" ht="12.75">
      <c r="A27" s="210" t="s">
        <v>800</v>
      </c>
      <c r="B27" s="210"/>
      <c r="C27" s="72">
        <f>14908752+25495987+2157376</f>
        <v>42562115</v>
      </c>
    </row>
  </sheetData>
  <sheetProtection/>
  <mergeCells count="3">
    <mergeCell ref="A1:C1"/>
    <mergeCell ref="A4:C4"/>
    <mergeCell ref="B8:C8"/>
  </mergeCells>
  <printOptions/>
  <pageMargins left="0.75" right="0.75" top="1" bottom="1" header="0.5" footer="0.5"/>
  <pageSetup fitToHeight="1" fitToWidth="1" horizontalDpi="600" verticalDpi="600" orientation="portrait" paperSize="9" scale="50" r:id="rId1"/>
  <colBreaks count="1" manualBreakCount="1">
    <brk id="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F1"/>
    </sheetView>
  </sheetViews>
  <sheetFormatPr defaultColWidth="9.140625" defaultRowHeight="12.75"/>
  <cols>
    <col min="1" max="1" width="16.421875" style="235" customWidth="1"/>
    <col min="2" max="2" width="44.28125" style="235" customWidth="1"/>
    <col min="3" max="3" width="14.28125" style="235" bestFit="1" customWidth="1"/>
    <col min="4" max="4" width="14.28125" style="235" customWidth="1"/>
    <col min="5" max="5" width="11.7109375" style="235" bestFit="1" customWidth="1"/>
    <col min="6" max="6" width="12.7109375" style="235" bestFit="1" customWidth="1"/>
    <col min="7" max="7" width="11.421875" style="235" bestFit="1" customWidth="1"/>
    <col min="8" max="16384" width="8.8515625" style="235" customWidth="1"/>
  </cols>
  <sheetData>
    <row r="1" spans="3:6" ht="12.75">
      <c r="C1" s="441" t="s">
        <v>938</v>
      </c>
      <c r="D1" s="441"/>
      <c r="E1" s="441"/>
      <c r="F1" s="441"/>
    </row>
    <row r="3" spans="1:6" ht="12.75">
      <c r="A3" s="442" t="s">
        <v>774</v>
      </c>
      <c r="B3" s="442"/>
      <c r="C3" s="442"/>
      <c r="D3" s="442"/>
      <c r="E3" s="442"/>
      <c r="F3" s="442"/>
    </row>
    <row r="4" spans="1:6" ht="12.75">
      <c r="A4" s="236"/>
      <c r="B4" s="236"/>
      <c r="C4" s="236"/>
      <c r="D4" s="236"/>
      <c r="E4" s="443" t="s">
        <v>547</v>
      </c>
      <c r="F4" s="443"/>
    </row>
    <row r="5" spans="1:7" ht="24">
      <c r="A5" s="444" t="s">
        <v>681</v>
      </c>
      <c r="B5" s="444" t="s">
        <v>682</v>
      </c>
      <c r="C5" s="444" t="s">
        <v>683</v>
      </c>
      <c r="D5" s="444" t="s">
        <v>684</v>
      </c>
      <c r="E5" s="237" t="s">
        <v>685</v>
      </c>
      <c r="F5" s="444" t="s">
        <v>801</v>
      </c>
      <c r="G5" s="238"/>
    </row>
    <row r="6" spans="1:7" ht="49.5" customHeight="1">
      <c r="A6" s="445"/>
      <c r="B6" s="445"/>
      <c r="C6" s="445"/>
      <c r="D6" s="445"/>
      <c r="E6" s="239" t="s">
        <v>802</v>
      </c>
      <c r="F6" s="445"/>
      <c r="G6" s="238"/>
    </row>
    <row r="7" spans="1:6" ht="49.5" customHeight="1">
      <c r="A7" s="240" t="s">
        <v>686</v>
      </c>
      <c r="B7" s="240" t="s">
        <v>687</v>
      </c>
      <c r="C7" s="241">
        <v>159684</v>
      </c>
      <c r="D7" s="241">
        <v>3112</v>
      </c>
      <c r="E7" s="241">
        <v>6968</v>
      </c>
      <c r="F7" s="241">
        <v>152716</v>
      </c>
    </row>
    <row r="8" spans="1:7" ht="49.5" customHeight="1">
      <c r="A8" s="240" t="s">
        <v>688</v>
      </c>
      <c r="B8" s="240" t="s">
        <v>689</v>
      </c>
      <c r="C8" s="241">
        <v>576889</v>
      </c>
      <c r="D8" s="241">
        <v>11804</v>
      </c>
      <c r="E8" s="241">
        <v>36123</v>
      </c>
      <c r="F8" s="241">
        <v>540766</v>
      </c>
      <c r="G8" s="242"/>
    </row>
    <row r="9" spans="1:7" ht="49.5" customHeight="1">
      <c r="A9" s="240" t="s">
        <v>690</v>
      </c>
      <c r="B9" s="240" t="s">
        <v>691</v>
      </c>
      <c r="C9" s="241">
        <v>305638</v>
      </c>
      <c r="D9" s="241"/>
      <c r="E9" s="241">
        <v>110858</v>
      </c>
      <c r="F9" s="241">
        <v>194677</v>
      </c>
      <c r="G9" s="242"/>
    </row>
    <row r="10" spans="1:7" ht="49.5" customHeight="1">
      <c r="A10" s="240" t="s">
        <v>692</v>
      </c>
      <c r="B10" s="240" t="s">
        <v>693</v>
      </c>
      <c r="C10" s="241">
        <v>37500</v>
      </c>
      <c r="D10" s="241"/>
      <c r="E10" s="241"/>
      <c r="F10" s="241">
        <v>37500</v>
      </c>
      <c r="G10" s="242"/>
    </row>
    <row r="11" spans="1:7" ht="49.5" customHeight="1">
      <c r="A11" s="240" t="s">
        <v>694</v>
      </c>
      <c r="B11" s="240" t="s">
        <v>695</v>
      </c>
      <c r="C11" s="241">
        <v>34458</v>
      </c>
      <c r="D11" s="241"/>
      <c r="E11" s="241"/>
      <c r="F11" s="241">
        <v>34458</v>
      </c>
      <c r="G11" s="242"/>
    </row>
    <row r="12" spans="1:7" ht="49.5" customHeight="1">
      <c r="A12" s="240" t="s">
        <v>803</v>
      </c>
      <c r="B12" s="240" t="s">
        <v>804</v>
      </c>
      <c r="C12" s="241">
        <v>20000</v>
      </c>
      <c r="D12" s="241"/>
      <c r="E12" s="241"/>
      <c r="F12" s="241">
        <v>20000</v>
      </c>
      <c r="G12" s="242"/>
    </row>
    <row r="13" spans="1:7" ht="49.5" customHeight="1">
      <c r="A13" s="240" t="s">
        <v>696</v>
      </c>
      <c r="B13" s="240" t="s">
        <v>697</v>
      </c>
      <c r="C13" s="241">
        <f>D13+E13+F13</f>
        <v>239800</v>
      </c>
      <c r="D13" s="241"/>
      <c r="E13" s="241">
        <v>39800</v>
      </c>
      <c r="F13" s="241">
        <v>200000</v>
      </c>
      <c r="G13" s="242"/>
    </row>
    <row r="14" spans="1:6" ht="49.5" customHeight="1">
      <c r="A14" s="240" t="s">
        <v>698</v>
      </c>
      <c r="B14" s="240" t="s">
        <v>223</v>
      </c>
      <c r="C14" s="241">
        <v>222885</v>
      </c>
      <c r="D14" s="241">
        <v>76830</v>
      </c>
      <c r="E14" s="241"/>
      <c r="F14" s="241">
        <v>222885</v>
      </c>
    </row>
    <row r="15" spans="1:6" ht="49.5" customHeight="1">
      <c r="A15" s="240" t="s">
        <v>699</v>
      </c>
      <c r="B15" s="243" t="s">
        <v>8</v>
      </c>
      <c r="C15" s="244">
        <v>116041</v>
      </c>
      <c r="D15" s="241"/>
      <c r="E15" s="241">
        <v>60811</v>
      </c>
      <c r="F15" s="241">
        <v>55230</v>
      </c>
    </row>
    <row r="16" spans="1:6" ht="49.5" customHeight="1">
      <c r="A16" s="240" t="s">
        <v>700</v>
      </c>
      <c r="B16" s="243" t="s">
        <v>9</v>
      </c>
      <c r="C16" s="244">
        <v>122769</v>
      </c>
      <c r="D16" s="241"/>
      <c r="E16" s="241">
        <v>22770</v>
      </c>
      <c r="F16" s="241">
        <v>99999</v>
      </c>
    </row>
    <row r="17" spans="1:6" ht="49.5" customHeight="1">
      <c r="A17" s="245" t="s">
        <v>701</v>
      </c>
      <c r="B17" s="245" t="s">
        <v>702</v>
      </c>
      <c r="C17" s="246">
        <v>118712</v>
      </c>
      <c r="D17" s="246"/>
      <c r="E17" s="246">
        <v>18713</v>
      </c>
      <c r="F17" s="246">
        <v>99999</v>
      </c>
    </row>
    <row r="18" spans="1:6" ht="49.5" customHeight="1">
      <c r="A18" s="245" t="s">
        <v>703</v>
      </c>
      <c r="B18" s="245" t="s">
        <v>704</v>
      </c>
      <c r="C18" s="246">
        <v>487554</v>
      </c>
      <c r="D18" s="246">
        <v>12446</v>
      </c>
      <c r="E18" s="246"/>
      <c r="F18" s="246">
        <v>500000</v>
      </c>
    </row>
    <row r="19" spans="1:256" ht="49.5" customHeight="1">
      <c r="A19" s="245" t="s">
        <v>705</v>
      </c>
      <c r="B19" s="245" t="s">
        <v>706</v>
      </c>
      <c r="C19" s="246">
        <v>329982</v>
      </c>
      <c r="D19" s="246">
        <v>170017</v>
      </c>
      <c r="E19" s="246"/>
      <c r="F19" s="246">
        <v>500000</v>
      </c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  <c r="II19" s="247"/>
      <c r="IJ19" s="247"/>
      <c r="IK19" s="247"/>
      <c r="IL19" s="247"/>
      <c r="IM19" s="247"/>
      <c r="IN19" s="247"/>
      <c r="IO19" s="247"/>
      <c r="IP19" s="247"/>
      <c r="IQ19" s="247"/>
      <c r="IR19" s="247"/>
      <c r="IS19" s="247"/>
      <c r="IT19" s="247"/>
      <c r="IU19" s="247"/>
      <c r="IV19" s="247"/>
    </row>
    <row r="20" spans="1:256" ht="49.5" customHeight="1">
      <c r="A20" s="245" t="s">
        <v>805</v>
      </c>
      <c r="B20" s="245" t="s">
        <v>806</v>
      </c>
      <c r="C20" s="246">
        <v>96879</v>
      </c>
      <c r="D20" s="246"/>
      <c r="E20" s="246">
        <v>32223</v>
      </c>
      <c r="F20" s="246">
        <v>64656</v>
      </c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  <c r="II20" s="247"/>
      <c r="IJ20" s="247"/>
      <c r="IK20" s="247"/>
      <c r="IL20" s="247"/>
      <c r="IM20" s="247"/>
      <c r="IN20" s="247"/>
      <c r="IO20" s="247"/>
      <c r="IP20" s="247"/>
      <c r="IQ20" s="247"/>
      <c r="IR20" s="247"/>
      <c r="IS20" s="247"/>
      <c r="IT20" s="247"/>
      <c r="IU20" s="247"/>
      <c r="IV20" s="247"/>
    </row>
    <row r="21" spans="1:256" s="145" customFormat="1" ht="49.5" customHeight="1">
      <c r="A21" s="248"/>
      <c r="B21" s="248" t="s">
        <v>807</v>
      </c>
      <c r="C21" s="249">
        <v>21695</v>
      </c>
      <c r="D21" s="249"/>
      <c r="E21" s="249"/>
      <c r="F21" s="249">
        <v>21695</v>
      </c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</row>
    <row r="22" spans="1:6" ht="12.75">
      <c r="A22" s="439" t="s">
        <v>161</v>
      </c>
      <c r="B22" s="440"/>
      <c r="C22" s="250">
        <f>SUM(C7:C21)</f>
        <v>2890486</v>
      </c>
      <c r="D22" s="250">
        <f>SUM(D7:D21)</f>
        <v>274209</v>
      </c>
      <c r="E22" s="250">
        <f>SUM(E7:E21)</f>
        <v>328266</v>
      </c>
      <c r="F22" s="250">
        <f>SUM(F7:F21)</f>
        <v>2744581</v>
      </c>
    </row>
    <row r="23" spans="1:6" ht="12.75">
      <c r="A23" s="238"/>
      <c r="B23" s="238"/>
      <c r="C23" s="251"/>
      <c r="D23" s="251"/>
      <c r="E23" s="251"/>
      <c r="F23" s="251"/>
    </row>
    <row r="24" spans="2:6" ht="12.75">
      <c r="B24" s="238"/>
      <c r="C24" s="251"/>
      <c r="D24" s="251"/>
      <c r="E24" s="251"/>
      <c r="F24" s="251"/>
    </row>
    <row r="25" spans="2:6" ht="12.75">
      <c r="B25" s="238"/>
      <c r="C25" s="242"/>
      <c r="D25" s="242"/>
      <c r="E25" s="242"/>
      <c r="F25" s="242"/>
    </row>
    <row r="26" spans="2:6" ht="12.75">
      <c r="B26" s="238"/>
      <c r="C26" s="242"/>
      <c r="D26" s="242"/>
      <c r="E26" s="242"/>
      <c r="F26" s="242"/>
    </row>
    <row r="27" spans="3:6" ht="12.75">
      <c r="C27" s="242"/>
      <c r="D27" s="242"/>
      <c r="E27" s="242"/>
      <c r="F27" s="242"/>
    </row>
  </sheetData>
  <sheetProtection/>
  <mergeCells count="9">
    <mergeCell ref="A22:B22"/>
    <mergeCell ref="C1:F1"/>
    <mergeCell ref="A3:F3"/>
    <mergeCell ref="E4:F4"/>
    <mergeCell ref="A5:A6"/>
    <mergeCell ref="B5:B6"/>
    <mergeCell ref="C5:C6"/>
    <mergeCell ref="D5:D6"/>
    <mergeCell ref="F5:F6"/>
  </mergeCells>
  <printOptions horizont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5.7109375" style="54" customWidth="1"/>
    <col min="2" max="2" width="47.28125" style="54" customWidth="1"/>
    <col min="3" max="3" width="18.140625" style="54" customWidth="1"/>
    <col min="4" max="16384" width="9.140625" style="54" customWidth="1"/>
  </cols>
  <sheetData>
    <row r="1" ht="12.75">
      <c r="C1" s="55" t="s">
        <v>939</v>
      </c>
    </row>
    <row r="4" spans="1:3" ht="15">
      <c r="A4" s="446" t="s">
        <v>668</v>
      </c>
      <c r="B4" s="446"/>
      <c r="C4" s="446"/>
    </row>
    <row r="5" spans="1:3" ht="15">
      <c r="A5" s="446" t="s">
        <v>144</v>
      </c>
      <c r="B5" s="446"/>
      <c r="C5" s="446"/>
    </row>
    <row r="8" ht="12.75">
      <c r="C8" s="56" t="s">
        <v>352</v>
      </c>
    </row>
    <row r="9" spans="1:3" ht="52.5">
      <c r="A9" s="57" t="s">
        <v>669</v>
      </c>
      <c r="B9" s="57" t="s">
        <v>670</v>
      </c>
      <c r="C9" s="57" t="s">
        <v>775</v>
      </c>
    </row>
    <row r="10" spans="1:3" ht="12.75">
      <c r="A10" s="146" t="s">
        <v>671</v>
      </c>
      <c r="B10" s="146" t="s">
        <v>370</v>
      </c>
      <c r="C10" s="146" t="s">
        <v>371</v>
      </c>
    </row>
    <row r="11" spans="1:3" ht="12.75">
      <c r="A11" s="147" t="s">
        <v>672</v>
      </c>
      <c r="B11" s="148" t="s">
        <v>673</v>
      </c>
      <c r="C11" s="149">
        <v>10327</v>
      </c>
    </row>
    <row r="12" spans="1:3" ht="12.75">
      <c r="A12" s="447" t="s">
        <v>674</v>
      </c>
      <c r="B12" s="148" t="s">
        <v>675</v>
      </c>
      <c r="C12" s="150">
        <v>22115</v>
      </c>
    </row>
    <row r="13" spans="1:3" ht="12.75">
      <c r="A13" s="448"/>
      <c r="B13" s="148" t="s">
        <v>676</v>
      </c>
      <c r="C13" s="150">
        <v>1553</v>
      </c>
    </row>
    <row r="14" spans="1:3" ht="12.75">
      <c r="A14" s="449"/>
      <c r="B14" s="148" t="s">
        <v>677</v>
      </c>
      <c r="C14" s="150">
        <v>227</v>
      </c>
    </row>
    <row r="15" spans="1:3" ht="12.75">
      <c r="A15" s="147" t="s">
        <v>678</v>
      </c>
      <c r="B15" s="148" t="s">
        <v>679</v>
      </c>
      <c r="C15" s="150">
        <v>2817</v>
      </c>
    </row>
    <row r="16" spans="1:3" ht="12.75">
      <c r="A16" s="151"/>
      <c r="B16" s="152" t="s">
        <v>680</v>
      </c>
      <c r="C16" s="153">
        <f>SUM(C11:C15)</f>
        <v>37039</v>
      </c>
    </row>
  </sheetData>
  <sheetProtection selectLockedCells="1" selectUnlockedCells="1"/>
  <mergeCells count="3">
    <mergeCell ref="A4:C4"/>
    <mergeCell ref="A5:C5"/>
    <mergeCell ref="A12:A14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75" zoomScaleSheetLayoutView="75" zoomScalePageLayoutView="0" workbookViewId="0" topLeftCell="A1">
      <selection activeCell="D2" sqref="D2:H2"/>
    </sheetView>
  </sheetViews>
  <sheetFormatPr defaultColWidth="9.140625" defaultRowHeight="12.75"/>
  <cols>
    <col min="1" max="1" width="73.8515625" style="44" bestFit="1" customWidth="1"/>
    <col min="2" max="2" width="11.28125" style="44" customWidth="1"/>
    <col min="3" max="3" width="0.2890625" style="44" customWidth="1"/>
    <col min="4" max="4" width="14.28125" style="44" customWidth="1"/>
    <col min="5" max="5" width="13.8515625" style="44" customWidth="1"/>
    <col min="6" max="6" width="12.7109375" style="44" customWidth="1"/>
    <col min="7" max="7" width="13.8515625" style="44" customWidth="1"/>
    <col min="8" max="16384" width="9.140625" style="44" customWidth="1"/>
  </cols>
  <sheetData>
    <row r="1" spans="1:8" ht="12.75">
      <c r="A1" s="43"/>
      <c r="H1" s="43"/>
    </row>
    <row r="2" spans="1:8" ht="12.75">
      <c r="A2" s="43"/>
      <c r="B2" s="355"/>
      <c r="C2" s="355"/>
      <c r="D2" s="366" t="s">
        <v>921</v>
      </c>
      <c r="E2" s="366"/>
      <c r="F2" s="366"/>
      <c r="G2" s="366"/>
      <c r="H2" s="366"/>
    </row>
    <row r="3" spans="1:8" ht="12.75">
      <c r="A3" s="43"/>
      <c r="H3" s="43"/>
    </row>
    <row r="4" spans="1:8" ht="15">
      <c r="A4" s="365" t="s">
        <v>743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B5" s="59"/>
      <c r="C5" s="59"/>
      <c r="D5" s="59"/>
      <c r="E5" s="59"/>
      <c r="F5" s="59"/>
      <c r="G5" s="59"/>
      <c r="H5" s="58"/>
    </row>
    <row r="6" spans="1:8" ht="15">
      <c r="A6" s="58"/>
      <c r="B6" s="59"/>
      <c r="C6" s="59"/>
      <c r="D6" s="59"/>
      <c r="E6" s="59"/>
      <c r="F6" s="59"/>
      <c r="G6" s="59"/>
      <c r="H6" s="58"/>
    </row>
    <row r="7" spans="1:8" ht="15">
      <c r="A7" s="58"/>
      <c r="B7" s="59"/>
      <c r="C7" s="59"/>
      <c r="D7" s="59"/>
      <c r="E7" s="59"/>
      <c r="F7" s="367" t="s">
        <v>547</v>
      </c>
      <c r="G7" s="367"/>
      <c r="H7" s="367"/>
    </row>
    <row r="8" spans="1:8" s="164" customFormat="1" ht="124.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</row>
    <row r="9" spans="1:8" s="167" customFormat="1" ht="15">
      <c r="A9" s="61" t="s">
        <v>380</v>
      </c>
      <c r="B9" s="165" t="s">
        <v>381</v>
      </c>
      <c r="C9" s="165" t="s">
        <v>519</v>
      </c>
      <c r="D9" s="166" t="s">
        <v>382</v>
      </c>
      <c r="E9" s="166" t="s">
        <v>383</v>
      </c>
      <c r="F9" s="166" t="s">
        <v>384</v>
      </c>
      <c r="G9" s="166" t="s">
        <v>385</v>
      </c>
      <c r="H9" s="61" t="s">
        <v>386</v>
      </c>
    </row>
    <row r="10" spans="1:9" ht="15">
      <c r="A10" s="58" t="s">
        <v>578</v>
      </c>
      <c r="B10" s="62">
        <v>13000</v>
      </c>
      <c r="C10" s="62"/>
      <c r="D10" s="62">
        <v>0</v>
      </c>
      <c r="E10" s="62">
        <v>13000</v>
      </c>
      <c r="F10" s="62">
        <v>0</v>
      </c>
      <c r="G10" s="62">
        <f>B10+C10</f>
        <v>13000</v>
      </c>
      <c r="H10" s="159" t="s">
        <v>432</v>
      </c>
      <c r="I10" s="44">
        <f>SUM(D10:F10)</f>
        <v>13000</v>
      </c>
    </row>
    <row r="11" spans="1:8" ht="15">
      <c r="A11" s="58" t="s">
        <v>744</v>
      </c>
      <c r="B11" s="62">
        <v>320</v>
      </c>
      <c r="C11" s="62"/>
      <c r="D11" s="62">
        <v>0</v>
      </c>
      <c r="E11" s="62">
        <v>320</v>
      </c>
      <c r="F11" s="62">
        <v>0</v>
      </c>
      <c r="G11" s="62">
        <f>B11+C11</f>
        <v>320</v>
      </c>
      <c r="H11" s="159" t="s">
        <v>432</v>
      </c>
    </row>
    <row r="12" spans="1:8" ht="15">
      <c r="A12" s="58" t="s">
        <v>606</v>
      </c>
      <c r="B12" s="62">
        <v>8200</v>
      </c>
      <c r="C12" s="62">
        <v>0</v>
      </c>
      <c r="D12" s="62">
        <v>0</v>
      </c>
      <c r="E12" s="62">
        <v>0</v>
      </c>
      <c r="F12" s="62">
        <v>8200</v>
      </c>
      <c r="G12" s="62">
        <f>B12+C12</f>
        <v>8200</v>
      </c>
      <c r="H12" s="159" t="s">
        <v>432</v>
      </c>
    </row>
    <row r="13" spans="1:8" ht="15">
      <c r="A13" s="58" t="s">
        <v>778</v>
      </c>
      <c r="B13" s="62">
        <v>990</v>
      </c>
      <c r="C13" s="62"/>
      <c r="D13" s="62">
        <v>0</v>
      </c>
      <c r="E13" s="62">
        <v>990</v>
      </c>
      <c r="F13" s="62">
        <v>0</v>
      </c>
      <c r="G13" s="62">
        <f>B13+C13</f>
        <v>990</v>
      </c>
      <c r="H13" s="159" t="s">
        <v>432</v>
      </c>
    </row>
    <row r="14" spans="1:9" ht="15">
      <c r="A14" s="58" t="s">
        <v>579</v>
      </c>
      <c r="B14" s="62">
        <v>0</v>
      </c>
      <c r="C14" s="62"/>
      <c r="D14" s="62">
        <v>0</v>
      </c>
      <c r="E14" s="62">
        <v>0</v>
      </c>
      <c r="F14" s="62">
        <v>0</v>
      </c>
      <c r="G14" s="62">
        <f>B14+C14</f>
        <v>0</v>
      </c>
      <c r="H14" s="159" t="s">
        <v>432</v>
      </c>
      <c r="I14" s="44">
        <f aca="true" t="shared" si="0" ref="I14:I19">SUM(D14:F14)</f>
        <v>0</v>
      </c>
    </row>
    <row r="15" spans="1:9" s="168" customFormat="1" ht="15">
      <c r="A15" s="63" t="s">
        <v>580</v>
      </c>
      <c r="B15" s="64">
        <f aca="true" t="shared" si="1" ref="B15:G15">SUM(B10:B14)</f>
        <v>22510</v>
      </c>
      <c r="C15" s="64">
        <f t="shared" si="1"/>
        <v>0</v>
      </c>
      <c r="D15" s="64">
        <f t="shared" si="1"/>
        <v>0</v>
      </c>
      <c r="E15" s="64">
        <f t="shared" si="1"/>
        <v>14310</v>
      </c>
      <c r="F15" s="64">
        <f t="shared" si="1"/>
        <v>8200</v>
      </c>
      <c r="G15" s="64">
        <f t="shared" si="1"/>
        <v>22510</v>
      </c>
      <c r="H15" s="160" t="s">
        <v>432</v>
      </c>
      <c r="I15" s="168">
        <f t="shared" si="0"/>
        <v>22510</v>
      </c>
    </row>
    <row r="16" spans="1:9" ht="15">
      <c r="A16" s="58" t="s">
        <v>581</v>
      </c>
      <c r="B16" s="62">
        <v>1500</v>
      </c>
      <c r="C16" s="62"/>
      <c r="D16" s="62">
        <v>1000</v>
      </c>
      <c r="E16" s="62">
        <v>1000</v>
      </c>
      <c r="F16" s="62">
        <v>0</v>
      </c>
      <c r="G16" s="62">
        <f>B16+C16</f>
        <v>1500</v>
      </c>
      <c r="H16" s="159" t="s">
        <v>475</v>
      </c>
      <c r="I16" s="44">
        <f t="shared" si="0"/>
        <v>2000</v>
      </c>
    </row>
    <row r="17" spans="1:9" ht="15">
      <c r="A17" s="58" t="s">
        <v>582</v>
      </c>
      <c r="B17" s="62">
        <v>1000</v>
      </c>
      <c r="C17" s="62"/>
      <c r="D17" s="62">
        <v>1500</v>
      </c>
      <c r="E17" s="62">
        <v>1500</v>
      </c>
      <c r="F17" s="62">
        <v>0</v>
      </c>
      <c r="G17" s="62">
        <f>B17+C17</f>
        <v>1000</v>
      </c>
      <c r="H17" s="159" t="s">
        <v>475</v>
      </c>
      <c r="I17" s="44">
        <f t="shared" si="0"/>
        <v>3000</v>
      </c>
    </row>
    <row r="18" spans="1:9" s="168" customFormat="1" ht="15">
      <c r="A18" s="63" t="s">
        <v>474</v>
      </c>
      <c r="B18" s="64">
        <f aca="true" t="shared" si="2" ref="B18:G18">SUM(B16:B17)</f>
        <v>2500</v>
      </c>
      <c r="C18" s="64">
        <f t="shared" si="2"/>
        <v>0</v>
      </c>
      <c r="D18" s="64">
        <f t="shared" si="2"/>
        <v>2500</v>
      </c>
      <c r="E18" s="64">
        <f t="shared" si="2"/>
        <v>2500</v>
      </c>
      <c r="F18" s="64">
        <f t="shared" si="2"/>
        <v>0</v>
      </c>
      <c r="G18" s="64">
        <f t="shared" si="2"/>
        <v>2500</v>
      </c>
      <c r="H18" s="160" t="s">
        <v>475</v>
      </c>
      <c r="I18" s="168">
        <f t="shared" si="0"/>
        <v>5000</v>
      </c>
    </row>
    <row r="19" spans="1:9" s="168" customFormat="1" ht="15">
      <c r="A19" s="63" t="s">
        <v>577</v>
      </c>
      <c r="B19" s="64">
        <f aca="true" t="shared" si="3" ref="B19:G19">B18+B15</f>
        <v>25010</v>
      </c>
      <c r="C19" s="64">
        <f t="shared" si="3"/>
        <v>0</v>
      </c>
      <c r="D19" s="64">
        <f t="shared" si="3"/>
        <v>2500</v>
      </c>
      <c r="E19" s="64">
        <f t="shared" si="3"/>
        <v>16810</v>
      </c>
      <c r="F19" s="64">
        <f t="shared" si="3"/>
        <v>8200</v>
      </c>
      <c r="G19" s="64">
        <f t="shared" si="3"/>
        <v>25010</v>
      </c>
      <c r="H19" s="160"/>
      <c r="I19" s="168">
        <f t="shared" si="0"/>
        <v>27510</v>
      </c>
    </row>
    <row r="28" ht="12.75">
      <c r="D28" s="43"/>
    </row>
  </sheetData>
  <sheetProtection/>
  <mergeCells count="3">
    <mergeCell ref="A4:H4"/>
    <mergeCell ref="F7:H7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75" zoomScaleSheetLayoutView="75" zoomScalePageLayoutView="0" workbookViewId="0" topLeftCell="A1">
      <selection activeCell="B2" sqref="B2:H2"/>
    </sheetView>
  </sheetViews>
  <sheetFormatPr defaultColWidth="9.140625" defaultRowHeight="12.75"/>
  <cols>
    <col min="1" max="1" width="73.8515625" style="44" bestFit="1" customWidth="1"/>
    <col min="2" max="2" width="11.8515625" style="44" customWidth="1"/>
    <col min="3" max="3" width="12.140625" style="44" hidden="1" customWidth="1"/>
    <col min="4" max="4" width="12.57421875" style="44" customWidth="1"/>
    <col min="5" max="5" width="13.140625" style="44" customWidth="1"/>
    <col min="6" max="6" width="11.8515625" style="44" customWidth="1"/>
    <col min="7" max="7" width="13.28125" style="44" customWidth="1"/>
    <col min="8" max="16384" width="9.140625" style="44" customWidth="1"/>
  </cols>
  <sheetData>
    <row r="1" spans="1:8" ht="12.75">
      <c r="A1" s="43"/>
      <c r="H1" s="43"/>
    </row>
    <row r="2" spans="1:8" ht="12.75">
      <c r="A2" s="43"/>
      <c r="B2" s="366" t="s">
        <v>922</v>
      </c>
      <c r="C2" s="366"/>
      <c r="D2" s="366"/>
      <c r="E2" s="366"/>
      <c r="F2" s="366"/>
      <c r="G2" s="366"/>
      <c r="H2" s="366"/>
    </row>
    <row r="3" spans="1:8" ht="12.75">
      <c r="A3" s="43"/>
      <c r="H3" s="43"/>
    </row>
    <row r="4" spans="1:8" ht="15">
      <c r="A4" s="365" t="s">
        <v>745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B5" s="59"/>
      <c r="C5" s="59"/>
      <c r="D5" s="59"/>
      <c r="E5" s="59"/>
      <c r="F5" s="59"/>
      <c r="G5" s="59"/>
      <c r="H5" s="58"/>
    </row>
    <row r="6" spans="1:8" ht="15">
      <c r="A6" s="58"/>
      <c r="B6" s="59"/>
      <c r="C6" s="59"/>
      <c r="D6" s="59"/>
      <c r="E6" s="59"/>
      <c r="F6" s="59"/>
      <c r="G6" s="59"/>
      <c r="H6" s="58"/>
    </row>
    <row r="7" spans="1:8" ht="15">
      <c r="A7" s="66"/>
      <c r="B7" s="66"/>
      <c r="C7" s="66"/>
      <c r="D7" s="66"/>
      <c r="E7" s="66"/>
      <c r="F7" s="368" t="s">
        <v>547</v>
      </c>
      <c r="G7" s="368"/>
      <c r="H7" s="368"/>
    </row>
    <row r="8" spans="1:8" s="164" customFormat="1" ht="30.7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</row>
    <row r="9" spans="1:8" s="167" customFormat="1" ht="15">
      <c r="A9" s="61" t="s">
        <v>380</v>
      </c>
      <c r="B9" s="165" t="s">
        <v>381</v>
      </c>
      <c r="C9" s="165" t="s">
        <v>519</v>
      </c>
      <c r="D9" s="166" t="s">
        <v>382</v>
      </c>
      <c r="E9" s="166" t="s">
        <v>383</v>
      </c>
      <c r="F9" s="166" t="s">
        <v>384</v>
      </c>
      <c r="G9" s="166" t="s">
        <v>385</v>
      </c>
      <c r="H9" s="61" t="s">
        <v>386</v>
      </c>
    </row>
    <row r="10" spans="1:8" ht="15">
      <c r="A10" s="58" t="s">
        <v>744</v>
      </c>
      <c r="B10" s="62">
        <v>709</v>
      </c>
      <c r="C10" s="62"/>
      <c r="D10" s="62">
        <v>0</v>
      </c>
      <c r="E10" s="62">
        <v>709</v>
      </c>
      <c r="F10" s="62">
        <v>0</v>
      </c>
      <c r="G10" s="62">
        <f>B10+C10</f>
        <v>709</v>
      </c>
      <c r="H10" s="159" t="s">
        <v>432</v>
      </c>
    </row>
    <row r="11" spans="1:13" ht="15">
      <c r="A11" s="58" t="s">
        <v>619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f>B11+C11</f>
        <v>0</v>
      </c>
      <c r="H11" s="159" t="s">
        <v>432</v>
      </c>
      <c r="M11" s="43"/>
    </row>
    <row r="12" spans="1:9" s="168" customFormat="1" ht="15">
      <c r="A12" s="63" t="s">
        <v>580</v>
      </c>
      <c r="B12" s="64">
        <f aca="true" t="shared" si="0" ref="B12:G12">SUM(B10:B11)</f>
        <v>709</v>
      </c>
      <c r="C12" s="64">
        <f t="shared" si="0"/>
        <v>0</v>
      </c>
      <c r="D12" s="64">
        <f t="shared" si="0"/>
        <v>0</v>
      </c>
      <c r="E12" s="64">
        <f t="shared" si="0"/>
        <v>709</v>
      </c>
      <c r="F12" s="64">
        <f t="shared" si="0"/>
        <v>0</v>
      </c>
      <c r="G12" s="64">
        <f t="shared" si="0"/>
        <v>709</v>
      </c>
      <c r="H12" s="160" t="s">
        <v>432</v>
      </c>
      <c r="I12" s="168">
        <f>SUM(D12:F12)</f>
        <v>709</v>
      </c>
    </row>
    <row r="13" spans="1:8" ht="15">
      <c r="A13" s="68" t="s">
        <v>630</v>
      </c>
      <c r="B13" s="69">
        <v>0</v>
      </c>
      <c r="C13" s="69"/>
      <c r="D13" s="69">
        <v>0</v>
      </c>
      <c r="E13" s="69">
        <v>0</v>
      </c>
      <c r="F13" s="69">
        <v>0</v>
      </c>
      <c r="G13" s="69">
        <f>B13+C13</f>
        <v>0</v>
      </c>
      <c r="H13" s="161" t="s">
        <v>475</v>
      </c>
    </row>
    <row r="14" spans="1:9" ht="15">
      <c r="A14" s="66" t="s">
        <v>221</v>
      </c>
      <c r="B14" s="67">
        <v>1727</v>
      </c>
      <c r="C14" s="67"/>
      <c r="D14" s="67">
        <v>0</v>
      </c>
      <c r="E14" s="67">
        <v>1727</v>
      </c>
      <c r="F14" s="67">
        <v>0</v>
      </c>
      <c r="G14" s="67">
        <f>B14+C14</f>
        <v>1727</v>
      </c>
      <c r="H14" s="162" t="s">
        <v>475</v>
      </c>
      <c r="I14" s="44">
        <f>SUM(D14:F14)</f>
        <v>1727</v>
      </c>
    </row>
    <row r="15" spans="1:9" s="168" customFormat="1" ht="15">
      <c r="A15" s="70" t="s">
        <v>474</v>
      </c>
      <c r="B15" s="71">
        <f aca="true" t="shared" si="1" ref="B15:G15">SUM(B13:B14)</f>
        <v>1727</v>
      </c>
      <c r="C15" s="71">
        <f t="shared" si="1"/>
        <v>0</v>
      </c>
      <c r="D15" s="71">
        <f t="shared" si="1"/>
        <v>0</v>
      </c>
      <c r="E15" s="71">
        <f t="shared" si="1"/>
        <v>1727</v>
      </c>
      <c r="F15" s="71">
        <f t="shared" si="1"/>
        <v>0</v>
      </c>
      <c r="G15" s="71">
        <f t="shared" si="1"/>
        <v>1727</v>
      </c>
      <c r="H15" s="163" t="s">
        <v>475</v>
      </c>
      <c r="I15" s="168">
        <f>SUM(D15:F15)</f>
        <v>1727</v>
      </c>
    </row>
    <row r="16" spans="1:8" s="168" customFormat="1" ht="15">
      <c r="A16" s="63" t="s">
        <v>583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f>B16+C16</f>
        <v>0</v>
      </c>
      <c r="H16" s="160" t="s">
        <v>491</v>
      </c>
    </row>
    <row r="17" spans="1:9" s="168" customFormat="1" ht="15">
      <c r="A17" s="63" t="s">
        <v>577</v>
      </c>
      <c r="B17" s="64">
        <f aca="true" t="shared" si="2" ref="B17:G17">B15+B12+B16</f>
        <v>2436</v>
      </c>
      <c r="C17" s="64">
        <f t="shared" si="2"/>
        <v>0</v>
      </c>
      <c r="D17" s="64">
        <f t="shared" si="2"/>
        <v>0</v>
      </c>
      <c r="E17" s="64">
        <f t="shared" si="2"/>
        <v>2436</v>
      </c>
      <c r="F17" s="64">
        <f t="shared" si="2"/>
        <v>0</v>
      </c>
      <c r="G17" s="64">
        <f t="shared" si="2"/>
        <v>2436</v>
      </c>
      <c r="H17" s="63"/>
      <c r="I17" s="168">
        <f>SUM(D17:F17)</f>
        <v>2436</v>
      </c>
    </row>
    <row r="18" spans="1:8" ht="12.75">
      <c r="A18" s="94"/>
      <c r="B18" s="94"/>
      <c r="C18" s="94"/>
      <c r="D18" s="94"/>
      <c r="E18" s="94"/>
      <c r="F18" s="94"/>
      <c r="G18" s="94"/>
      <c r="H18" s="94"/>
    </row>
    <row r="19" ht="12.75">
      <c r="A19" s="43"/>
    </row>
  </sheetData>
  <sheetProtection/>
  <mergeCells count="3">
    <mergeCell ref="A4:H4"/>
    <mergeCell ref="F7:H7"/>
    <mergeCell ref="B2:H2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75" zoomScaleSheetLayoutView="75" zoomScalePageLayoutView="0" workbookViewId="0" topLeftCell="A1">
      <selection activeCell="B2" sqref="B2:H2"/>
    </sheetView>
  </sheetViews>
  <sheetFormatPr defaultColWidth="9.140625" defaultRowHeight="12.75"/>
  <cols>
    <col min="1" max="1" width="87.140625" style="59" bestFit="1" customWidth="1"/>
    <col min="2" max="2" width="13.00390625" style="59" customWidth="1"/>
    <col min="3" max="3" width="13.00390625" style="59" hidden="1" customWidth="1"/>
    <col min="4" max="4" width="13.7109375" style="59" customWidth="1"/>
    <col min="5" max="5" width="12.140625" style="59" customWidth="1"/>
    <col min="6" max="6" width="12.7109375" style="59" customWidth="1"/>
    <col min="7" max="7" width="12.8515625" style="59" customWidth="1"/>
    <col min="8" max="8" width="9.140625" style="59" customWidth="1"/>
    <col min="9" max="9" width="17.140625" style="59" customWidth="1"/>
    <col min="10" max="16384" width="9.140625" style="59" customWidth="1"/>
  </cols>
  <sheetData>
    <row r="1" spans="1:8" ht="15">
      <c r="A1" s="58"/>
      <c r="H1" s="58"/>
    </row>
    <row r="2" spans="1:8" ht="15">
      <c r="A2" s="58"/>
      <c r="B2" s="366" t="s">
        <v>923</v>
      </c>
      <c r="C2" s="366"/>
      <c r="D2" s="366"/>
      <c r="E2" s="366"/>
      <c r="F2" s="366"/>
      <c r="G2" s="366"/>
      <c r="H2" s="366"/>
    </row>
    <row r="3" spans="1:8" ht="15">
      <c r="A3" s="58"/>
      <c r="H3" s="58"/>
    </row>
    <row r="4" spans="1:8" ht="15">
      <c r="A4" s="365" t="s">
        <v>746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H5" s="58"/>
    </row>
    <row r="6" spans="1:8" ht="15">
      <c r="A6" s="58"/>
      <c r="H6" s="58"/>
    </row>
    <row r="7" spans="1:8" ht="15">
      <c r="A7" s="66"/>
      <c r="B7" s="66"/>
      <c r="C7" s="66"/>
      <c r="D7" s="66"/>
      <c r="E7" s="66"/>
      <c r="F7" s="368" t="s">
        <v>547</v>
      </c>
      <c r="G7" s="368"/>
      <c r="H7" s="368"/>
    </row>
    <row r="8" spans="1:8" s="92" customFormat="1" ht="30.75">
      <c r="A8" s="95" t="s">
        <v>548</v>
      </c>
      <c r="B8" s="92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5" t="s">
        <v>368</v>
      </c>
    </row>
    <row r="9" spans="1:8" s="158" customFormat="1" ht="15">
      <c r="A9" s="61" t="s">
        <v>380</v>
      </c>
      <c r="B9" s="165" t="s">
        <v>641</v>
      </c>
      <c r="C9" s="165" t="s">
        <v>519</v>
      </c>
      <c r="D9" s="166" t="s">
        <v>382</v>
      </c>
      <c r="E9" s="166" t="s">
        <v>383</v>
      </c>
      <c r="F9" s="166" t="s">
        <v>384</v>
      </c>
      <c r="G9" s="166" t="s">
        <v>385</v>
      </c>
      <c r="H9" s="61" t="s">
        <v>386</v>
      </c>
    </row>
    <row r="10" spans="1:9" ht="15">
      <c r="A10" s="58" t="s">
        <v>744</v>
      </c>
      <c r="B10" s="96">
        <v>471</v>
      </c>
      <c r="C10" s="96"/>
      <c r="D10" s="96">
        <v>0</v>
      </c>
      <c r="E10" s="96">
        <v>471</v>
      </c>
      <c r="F10" s="96">
        <v>0</v>
      </c>
      <c r="G10" s="96">
        <f aca="true" t="shared" si="0" ref="G10:G16">B10+C10</f>
        <v>471</v>
      </c>
      <c r="H10" s="159" t="s">
        <v>432</v>
      </c>
      <c r="I10" s="62">
        <f>D10+E10+F10</f>
        <v>471</v>
      </c>
    </row>
    <row r="11" spans="1:9" ht="15">
      <c r="A11" s="58" t="s">
        <v>619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f t="shared" si="0"/>
        <v>0</v>
      </c>
      <c r="H11" s="159" t="s">
        <v>432</v>
      </c>
      <c r="I11" s="62"/>
    </row>
    <row r="12" spans="1:9" ht="15">
      <c r="A12" s="58" t="s">
        <v>747</v>
      </c>
      <c r="B12" s="96">
        <v>958</v>
      </c>
      <c r="C12" s="96"/>
      <c r="D12" s="96">
        <v>0</v>
      </c>
      <c r="E12" s="96">
        <v>958</v>
      </c>
      <c r="F12" s="96">
        <v>0</v>
      </c>
      <c r="G12" s="96">
        <f t="shared" si="0"/>
        <v>958</v>
      </c>
      <c r="H12" s="159" t="s">
        <v>432</v>
      </c>
      <c r="I12" s="62"/>
    </row>
    <row r="13" spans="1:9" ht="15">
      <c r="A13" s="58" t="s">
        <v>623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f t="shared" si="0"/>
        <v>0</v>
      </c>
      <c r="H13" s="159" t="s">
        <v>432</v>
      </c>
      <c r="I13" s="62"/>
    </row>
    <row r="14" spans="1:9" ht="15">
      <c r="A14" s="58" t="s">
        <v>607</v>
      </c>
      <c r="B14" s="96">
        <v>258</v>
      </c>
      <c r="C14" s="96">
        <v>0</v>
      </c>
      <c r="D14" s="96">
        <v>0</v>
      </c>
      <c r="E14" s="96">
        <v>0</v>
      </c>
      <c r="F14" s="96">
        <v>258</v>
      </c>
      <c r="G14" s="96">
        <f t="shared" si="0"/>
        <v>258</v>
      </c>
      <c r="H14" s="159" t="s">
        <v>432</v>
      </c>
      <c r="I14" s="62">
        <f aca="true" t="shared" si="1" ref="I14:I28">D14+E14+F14</f>
        <v>258</v>
      </c>
    </row>
    <row r="15" spans="1:9" ht="15">
      <c r="A15" s="58" t="s">
        <v>777</v>
      </c>
      <c r="B15" s="96">
        <v>20000</v>
      </c>
      <c r="C15" s="96"/>
      <c r="D15" s="96">
        <v>0</v>
      </c>
      <c r="E15" s="96">
        <v>0</v>
      </c>
      <c r="F15" s="96">
        <v>20000</v>
      </c>
      <c r="G15" s="96">
        <f t="shared" si="0"/>
        <v>20000</v>
      </c>
      <c r="H15" s="159" t="s">
        <v>432</v>
      </c>
      <c r="I15" s="62"/>
    </row>
    <row r="16" spans="1:9" ht="15">
      <c r="A16" s="58" t="s">
        <v>584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f t="shared" si="0"/>
        <v>0</v>
      </c>
      <c r="H16" s="159" t="s">
        <v>432</v>
      </c>
      <c r="I16" s="62">
        <f t="shared" si="1"/>
        <v>0</v>
      </c>
    </row>
    <row r="17" spans="1:9" s="93" customFormat="1" ht="15">
      <c r="A17" s="63" t="s">
        <v>580</v>
      </c>
      <c r="B17" s="97">
        <f aca="true" t="shared" si="2" ref="B17:G17">SUM(B10:B16)</f>
        <v>21687</v>
      </c>
      <c r="C17" s="97">
        <f t="shared" si="2"/>
        <v>0</v>
      </c>
      <c r="D17" s="97">
        <f t="shared" si="2"/>
        <v>0</v>
      </c>
      <c r="E17" s="97">
        <f t="shared" si="2"/>
        <v>1429</v>
      </c>
      <c r="F17" s="97">
        <f t="shared" si="2"/>
        <v>20258</v>
      </c>
      <c r="G17" s="97">
        <f t="shared" si="2"/>
        <v>21687</v>
      </c>
      <c r="H17" s="160" t="s">
        <v>432</v>
      </c>
      <c r="I17" s="62">
        <f t="shared" si="1"/>
        <v>21687</v>
      </c>
    </row>
    <row r="18" spans="1:9" ht="15">
      <c r="A18" s="58" t="s">
        <v>585</v>
      </c>
      <c r="B18" s="96">
        <v>2850</v>
      </c>
      <c r="C18" s="96"/>
      <c r="D18" s="96">
        <v>0</v>
      </c>
      <c r="E18" s="96">
        <v>0</v>
      </c>
      <c r="F18" s="96">
        <v>2850</v>
      </c>
      <c r="G18" s="96">
        <f>B18+C18</f>
        <v>2850</v>
      </c>
      <c r="H18" s="159" t="s">
        <v>475</v>
      </c>
      <c r="I18" s="62">
        <f t="shared" si="1"/>
        <v>2850</v>
      </c>
    </row>
    <row r="19" spans="1:9" ht="15">
      <c r="A19" s="58" t="s">
        <v>586</v>
      </c>
      <c r="B19" s="96">
        <v>1500</v>
      </c>
      <c r="C19" s="96">
        <v>0</v>
      </c>
      <c r="D19" s="96">
        <v>0</v>
      </c>
      <c r="E19" s="96">
        <v>1500</v>
      </c>
      <c r="F19" s="96">
        <v>0</v>
      </c>
      <c r="G19" s="96">
        <f aca="true" t="shared" si="3" ref="G19:G27">B19+C19</f>
        <v>1500</v>
      </c>
      <c r="H19" s="159" t="s">
        <v>475</v>
      </c>
      <c r="I19" s="62">
        <f t="shared" si="1"/>
        <v>1500</v>
      </c>
    </row>
    <row r="20" spans="1:9" ht="15">
      <c r="A20" s="58" t="s">
        <v>10</v>
      </c>
      <c r="B20" s="96">
        <v>36786</v>
      </c>
      <c r="C20" s="96">
        <v>0</v>
      </c>
      <c r="D20" s="96">
        <v>0</v>
      </c>
      <c r="E20" s="96">
        <v>0</v>
      </c>
      <c r="F20" s="96">
        <v>36786</v>
      </c>
      <c r="G20" s="96">
        <f t="shared" si="3"/>
        <v>36786</v>
      </c>
      <c r="H20" s="159" t="s">
        <v>475</v>
      </c>
      <c r="I20" s="62">
        <f t="shared" si="1"/>
        <v>36786</v>
      </c>
    </row>
    <row r="21" spans="1:9" ht="15">
      <c r="A21" s="58" t="s">
        <v>587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f t="shared" si="3"/>
        <v>0</v>
      </c>
      <c r="H21" s="159" t="s">
        <v>475</v>
      </c>
      <c r="I21" s="62">
        <f t="shared" si="1"/>
        <v>0</v>
      </c>
    </row>
    <row r="22" spans="1:9" ht="15">
      <c r="A22" s="58" t="s">
        <v>588</v>
      </c>
      <c r="B22" s="96">
        <v>0</v>
      </c>
      <c r="C22" s="96"/>
      <c r="D22" s="96">
        <v>0</v>
      </c>
      <c r="E22" s="96">
        <v>0</v>
      </c>
      <c r="F22" s="96">
        <v>0</v>
      </c>
      <c r="G22" s="96">
        <f t="shared" si="3"/>
        <v>0</v>
      </c>
      <c r="H22" s="159" t="s">
        <v>475</v>
      </c>
      <c r="I22" s="62">
        <f t="shared" si="1"/>
        <v>0</v>
      </c>
    </row>
    <row r="23" spans="1:9" ht="15">
      <c r="A23" s="58" t="s">
        <v>11</v>
      </c>
      <c r="B23" s="96">
        <v>30387</v>
      </c>
      <c r="C23" s="96">
        <v>0</v>
      </c>
      <c r="D23" s="96">
        <v>0</v>
      </c>
      <c r="E23" s="96">
        <v>0</v>
      </c>
      <c r="F23" s="96">
        <v>30387</v>
      </c>
      <c r="G23" s="96">
        <f t="shared" si="3"/>
        <v>30387</v>
      </c>
      <c r="H23" s="159" t="s">
        <v>475</v>
      </c>
      <c r="I23" s="62">
        <f t="shared" si="1"/>
        <v>30387</v>
      </c>
    </row>
    <row r="24" spans="1:9" ht="15">
      <c r="A24" s="58" t="s">
        <v>622</v>
      </c>
      <c r="B24" s="96">
        <v>0</v>
      </c>
      <c r="C24" s="96"/>
      <c r="D24" s="96">
        <v>0</v>
      </c>
      <c r="E24" s="96">
        <v>0</v>
      </c>
      <c r="F24" s="96">
        <v>0</v>
      </c>
      <c r="G24" s="96">
        <f t="shared" si="3"/>
        <v>0</v>
      </c>
      <c r="H24" s="159" t="s">
        <v>475</v>
      </c>
      <c r="I24" s="62">
        <f t="shared" si="1"/>
        <v>0</v>
      </c>
    </row>
    <row r="25" spans="1:9" ht="15">
      <c r="A25" s="58" t="s">
        <v>608</v>
      </c>
      <c r="B25" s="96">
        <v>0</v>
      </c>
      <c r="C25" s="96"/>
      <c r="D25" s="96">
        <v>0</v>
      </c>
      <c r="E25" s="96">
        <v>0</v>
      </c>
      <c r="F25" s="96">
        <v>0</v>
      </c>
      <c r="G25" s="96">
        <f t="shared" si="3"/>
        <v>0</v>
      </c>
      <c r="H25" s="159" t="s">
        <v>475</v>
      </c>
      <c r="I25" s="62">
        <f t="shared" si="1"/>
        <v>0</v>
      </c>
    </row>
    <row r="26" spans="1:9" s="93" customFormat="1" ht="15">
      <c r="A26" s="63" t="s">
        <v>474</v>
      </c>
      <c r="B26" s="97">
        <f aca="true" t="shared" si="4" ref="B26:G26">SUM(B18:B25)</f>
        <v>71523</v>
      </c>
      <c r="C26" s="97">
        <f t="shared" si="4"/>
        <v>0</v>
      </c>
      <c r="D26" s="97">
        <f t="shared" si="4"/>
        <v>0</v>
      </c>
      <c r="E26" s="97">
        <f t="shared" si="4"/>
        <v>1500</v>
      </c>
      <c r="F26" s="97">
        <f t="shared" si="4"/>
        <v>70023</v>
      </c>
      <c r="G26" s="97">
        <f t="shared" si="4"/>
        <v>71523</v>
      </c>
      <c r="H26" s="160" t="s">
        <v>475</v>
      </c>
      <c r="I26" s="62">
        <f t="shared" si="1"/>
        <v>71523</v>
      </c>
    </row>
    <row r="27" spans="1:9" s="93" customFormat="1" ht="15">
      <c r="A27" s="70" t="s">
        <v>583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6">
        <f t="shared" si="3"/>
        <v>0</v>
      </c>
      <c r="H27" s="163" t="s">
        <v>491</v>
      </c>
      <c r="I27" s="62">
        <f t="shared" si="1"/>
        <v>0</v>
      </c>
    </row>
    <row r="28" spans="1:9" s="93" customFormat="1" ht="15">
      <c r="A28" s="63" t="s">
        <v>577</v>
      </c>
      <c r="B28" s="97">
        <f aca="true" t="shared" si="5" ref="B28:G28">B26+B17+B27</f>
        <v>93210</v>
      </c>
      <c r="C28" s="97">
        <f t="shared" si="5"/>
        <v>0</v>
      </c>
      <c r="D28" s="97">
        <f t="shared" si="5"/>
        <v>0</v>
      </c>
      <c r="E28" s="97">
        <f t="shared" si="5"/>
        <v>2929</v>
      </c>
      <c r="F28" s="97">
        <f t="shared" si="5"/>
        <v>90281</v>
      </c>
      <c r="G28" s="97">
        <f t="shared" si="5"/>
        <v>93210</v>
      </c>
      <c r="H28" s="63"/>
      <c r="I28" s="62">
        <f t="shared" si="1"/>
        <v>93210</v>
      </c>
    </row>
    <row r="29" ht="15">
      <c r="I29" s="62"/>
    </row>
  </sheetData>
  <sheetProtection/>
  <mergeCells count="3">
    <mergeCell ref="A4:H4"/>
    <mergeCell ref="F7:H7"/>
    <mergeCell ref="B2:H2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75" zoomScaleSheetLayoutView="75" zoomScalePageLayoutView="0" workbookViewId="0" topLeftCell="A1">
      <selection activeCell="D2" sqref="D2:H2"/>
    </sheetView>
  </sheetViews>
  <sheetFormatPr defaultColWidth="9.140625" defaultRowHeight="12.75"/>
  <cols>
    <col min="1" max="1" width="73.8515625" style="59" bestFit="1" customWidth="1"/>
    <col min="2" max="2" width="12.140625" style="59" customWidth="1"/>
    <col min="3" max="3" width="12.28125" style="59" hidden="1" customWidth="1"/>
    <col min="4" max="4" width="14.421875" style="59" customWidth="1"/>
    <col min="5" max="5" width="12.140625" style="59" customWidth="1"/>
    <col min="6" max="6" width="11.00390625" style="59" customWidth="1"/>
    <col min="7" max="7" width="13.00390625" style="59" customWidth="1"/>
    <col min="8" max="16384" width="9.140625" style="59" customWidth="1"/>
  </cols>
  <sheetData>
    <row r="1" spans="1:8" ht="15">
      <c r="A1" s="58"/>
      <c r="H1" s="58"/>
    </row>
    <row r="2" spans="1:8" ht="15">
      <c r="A2" s="58"/>
      <c r="B2" s="355"/>
      <c r="C2" s="355"/>
      <c r="D2" s="366" t="s">
        <v>940</v>
      </c>
      <c r="E2" s="366"/>
      <c r="F2" s="366"/>
      <c r="G2" s="366"/>
      <c r="H2" s="366"/>
    </row>
    <row r="3" spans="1:8" ht="15">
      <c r="A3" s="58"/>
      <c r="H3" s="58"/>
    </row>
    <row r="4" spans="1:8" ht="15">
      <c r="A4" s="365" t="s">
        <v>748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H5" s="58"/>
    </row>
    <row r="6" spans="1:8" ht="15">
      <c r="A6" s="58"/>
      <c r="H6" s="58"/>
    </row>
    <row r="7" spans="1:8" ht="15">
      <c r="A7" s="58"/>
      <c r="F7" s="367" t="s">
        <v>547</v>
      </c>
      <c r="G7" s="367"/>
      <c r="H7" s="367"/>
    </row>
    <row r="8" spans="1:8" ht="30.7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</row>
    <row r="9" spans="1:8" s="158" customFormat="1" ht="15">
      <c r="A9" s="61" t="s">
        <v>380</v>
      </c>
      <c r="B9" s="165" t="s">
        <v>381</v>
      </c>
      <c r="C9" s="165" t="s">
        <v>519</v>
      </c>
      <c r="D9" s="166" t="s">
        <v>382</v>
      </c>
      <c r="E9" s="166" t="s">
        <v>383</v>
      </c>
      <c r="F9" s="166" t="s">
        <v>384</v>
      </c>
      <c r="G9" s="166" t="s">
        <v>385</v>
      </c>
      <c r="H9" s="61" t="s">
        <v>386</v>
      </c>
    </row>
    <row r="10" spans="1:8" ht="15">
      <c r="A10" s="58" t="s">
        <v>744</v>
      </c>
      <c r="B10" s="62">
        <v>410</v>
      </c>
      <c r="C10" s="62">
        <v>0</v>
      </c>
      <c r="D10" s="62">
        <v>0</v>
      </c>
      <c r="E10" s="62">
        <v>410</v>
      </c>
      <c r="F10" s="62">
        <v>0</v>
      </c>
      <c r="G10" s="62">
        <f>B10+C10</f>
        <v>410</v>
      </c>
      <c r="H10" s="159" t="s">
        <v>432</v>
      </c>
    </row>
    <row r="11" spans="1:8" ht="15">
      <c r="A11" s="58" t="s">
        <v>619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f>B11+C11</f>
        <v>0</v>
      </c>
      <c r="H11" s="159" t="s">
        <v>432</v>
      </c>
    </row>
    <row r="12" spans="1:8" ht="15">
      <c r="A12" s="58" t="s">
        <v>584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f>B12+C12</f>
        <v>0</v>
      </c>
      <c r="H12" s="159" t="s">
        <v>432</v>
      </c>
    </row>
    <row r="13" spans="1:9" s="93" customFormat="1" ht="15">
      <c r="A13" s="63" t="s">
        <v>580</v>
      </c>
      <c r="B13" s="64">
        <f aca="true" t="shared" si="0" ref="B13:G13">SUM(B10:B12)</f>
        <v>410</v>
      </c>
      <c r="C13" s="64">
        <f t="shared" si="0"/>
        <v>0</v>
      </c>
      <c r="D13" s="64">
        <f t="shared" si="0"/>
        <v>0</v>
      </c>
      <c r="E13" s="64">
        <f t="shared" si="0"/>
        <v>410</v>
      </c>
      <c r="F13" s="64">
        <f t="shared" si="0"/>
        <v>0</v>
      </c>
      <c r="G13" s="64">
        <f t="shared" si="0"/>
        <v>410</v>
      </c>
      <c r="H13" s="160" t="s">
        <v>432</v>
      </c>
      <c r="I13" s="93">
        <f>SUM(D13:F13)</f>
        <v>410</v>
      </c>
    </row>
    <row r="14" spans="1:9" ht="15">
      <c r="A14" s="58" t="s">
        <v>222</v>
      </c>
      <c r="B14" s="62">
        <v>150</v>
      </c>
      <c r="C14" s="62">
        <v>0</v>
      </c>
      <c r="D14" s="62">
        <v>0</v>
      </c>
      <c r="E14" s="62">
        <v>150</v>
      </c>
      <c r="F14" s="62">
        <v>0</v>
      </c>
      <c r="G14" s="62">
        <f>B14+C14</f>
        <v>150</v>
      </c>
      <c r="H14" s="159" t="s">
        <v>475</v>
      </c>
      <c r="I14" s="59">
        <f>SUM(D14:F14)</f>
        <v>150</v>
      </c>
    </row>
    <row r="15" spans="1:9" s="93" customFormat="1" ht="15">
      <c r="A15" s="63" t="s">
        <v>474</v>
      </c>
      <c r="B15" s="64">
        <f aca="true" t="shared" si="1" ref="B15:G15">SUM(B14:B14)</f>
        <v>150</v>
      </c>
      <c r="C15" s="64">
        <f t="shared" si="1"/>
        <v>0</v>
      </c>
      <c r="D15" s="64">
        <f t="shared" si="1"/>
        <v>0</v>
      </c>
      <c r="E15" s="64">
        <f t="shared" si="1"/>
        <v>150</v>
      </c>
      <c r="F15" s="64">
        <f t="shared" si="1"/>
        <v>0</v>
      </c>
      <c r="G15" s="64">
        <f t="shared" si="1"/>
        <v>150</v>
      </c>
      <c r="H15" s="160" t="s">
        <v>475</v>
      </c>
      <c r="I15" s="93">
        <f>SUM(D15:F15)</f>
        <v>150</v>
      </c>
    </row>
    <row r="16" spans="1:9" s="93" customFormat="1" ht="15">
      <c r="A16" s="63" t="s">
        <v>577</v>
      </c>
      <c r="B16" s="64">
        <f aca="true" t="shared" si="2" ref="B16:G16">B15+B13</f>
        <v>560</v>
      </c>
      <c r="C16" s="64">
        <f t="shared" si="2"/>
        <v>0</v>
      </c>
      <c r="D16" s="64">
        <f t="shared" si="2"/>
        <v>0</v>
      </c>
      <c r="E16" s="64">
        <f t="shared" si="2"/>
        <v>560</v>
      </c>
      <c r="F16" s="64">
        <f t="shared" si="2"/>
        <v>0</v>
      </c>
      <c r="G16" s="64">
        <f t="shared" si="2"/>
        <v>560</v>
      </c>
      <c r="H16" s="63"/>
      <c r="I16" s="93">
        <f>SUM(D16:F16)</f>
        <v>560</v>
      </c>
    </row>
    <row r="17" ht="15">
      <c r="A17" s="58"/>
    </row>
  </sheetData>
  <sheetProtection/>
  <mergeCells count="3">
    <mergeCell ref="A4:H4"/>
    <mergeCell ref="F7:H7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5"/>
  <sheetViews>
    <sheetView view="pageBreakPreview" zoomScale="75" zoomScaleSheetLayoutView="75" zoomScalePageLayoutView="0" workbookViewId="0" topLeftCell="A1">
      <pane xSplit="12" ySplit="7" topLeftCell="M182" activePane="bottomRight" state="frozen"/>
      <selection pane="topLeft" activeCell="A1" sqref="A1"/>
      <selection pane="topRight" activeCell="N1" sqref="N1"/>
      <selection pane="bottomLeft" activeCell="A8" sqref="A8"/>
      <selection pane="bottomRight" activeCell="M1" sqref="M1:S1"/>
    </sheetView>
  </sheetViews>
  <sheetFormatPr defaultColWidth="9.140625" defaultRowHeight="12.75"/>
  <cols>
    <col min="1" max="1" width="3.00390625" style="59" customWidth="1"/>
    <col min="2" max="2" width="2.7109375" style="59" customWidth="1"/>
    <col min="3" max="4" width="2.57421875" style="59" customWidth="1"/>
    <col min="5" max="5" width="4.57421875" style="59" customWidth="1"/>
    <col min="6" max="6" width="5.57421875" style="59" customWidth="1"/>
    <col min="7" max="7" width="3.28125" style="59" customWidth="1"/>
    <col min="8" max="8" width="2.57421875" style="59" customWidth="1"/>
    <col min="9" max="9" width="3.00390625" style="59" customWidth="1"/>
    <col min="10" max="10" width="3.28125" style="59" customWidth="1"/>
    <col min="11" max="11" width="4.00390625" style="59" customWidth="1"/>
    <col min="12" max="12" width="90.00390625" style="59" customWidth="1"/>
    <col min="13" max="13" width="13.00390625" style="59" customWidth="1"/>
    <col min="14" max="14" width="13.00390625" style="59" hidden="1" customWidth="1"/>
    <col min="15" max="15" width="13.28125" style="59" bestFit="1" customWidth="1"/>
    <col min="16" max="16" width="12.8515625" style="59" customWidth="1"/>
    <col min="17" max="17" width="13.00390625" style="59" customWidth="1"/>
    <col min="18" max="18" width="11.7109375" style="59" customWidth="1"/>
    <col min="19" max="19" width="9.140625" style="233" customWidth="1"/>
    <col min="20" max="20" width="17.140625" style="62" customWidth="1"/>
    <col min="21" max="21" width="9.28125" style="59" bestFit="1" customWidth="1"/>
    <col min="22" max="16384" width="9.140625" style="59" customWidth="1"/>
  </cols>
  <sheetData>
    <row r="1" spans="1:19" ht="15">
      <c r="A1" s="58"/>
      <c r="M1" s="366" t="s">
        <v>924</v>
      </c>
      <c r="N1" s="366"/>
      <c r="O1" s="366"/>
      <c r="P1" s="366"/>
      <c r="Q1" s="366"/>
      <c r="R1" s="366"/>
      <c r="S1" s="366"/>
    </row>
    <row r="2" spans="1:19" ht="15">
      <c r="A2" s="58"/>
      <c r="S2" s="159"/>
    </row>
    <row r="3" spans="1:19" ht="15.75" customHeight="1">
      <c r="A3" s="365" t="s">
        <v>749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15">
      <c r="A4" s="58"/>
      <c r="S4" s="159"/>
    </row>
    <row r="5" spans="1:19" ht="15">
      <c r="A5" s="58"/>
      <c r="Q5" s="367" t="s">
        <v>352</v>
      </c>
      <c r="R5" s="367"/>
      <c r="S5" s="367"/>
    </row>
    <row r="6" spans="1:20" s="158" customFormat="1" ht="95.25">
      <c r="A6" s="127" t="s">
        <v>353</v>
      </c>
      <c r="B6" s="127" t="s">
        <v>354</v>
      </c>
      <c r="C6" s="127" t="s">
        <v>355</v>
      </c>
      <c r="D6" s="127" t="s">
        <v>356</v>
      </c>
      <c r="E6" s="127" t="s">
        <v>357</v>
      </c>
      <c r="F6" s="127" t="s">
        <v>358</v>
      </c>
      <c r="G6" s="127" t="s">
        <v>359</v>
      </c>
      <c r="H6" s="127" t="s">
        <v>360</v>
      </c>
      <c r="I6" s="127" t="s">
        <v>361</v>
      </c>
      <c r="J6" s="127" t="s">
        <v>362</v>
      </c>
      <c r="K6" s="127" t="s">
        <v>363</v>
      </c>
      <c r="L6" s="128" t="s">
        <v>364</v>
      </c>
      <c r="M6" s="128" t="s">
        <v>740</v>
      </c>
      <c r="N6" s="219" t="s">
        <v>520</v>
      </c>
      <c r="O6" s="219" t="s">
        <v>365</v>
      </c>
      <c r="P6" s="219" t="s">
        <v>366</v>
      </c>
      <c r="Q6" s="219" t="s">
        <v>367</v>
      </c>
      <c r="R6" s="219" t="s">
        <v>640</v>
      </c>
      <c r="S6" s="128" t="s">
        <v>368</v>
      </c>
      <c r="T6" s="222"/>
    </row>
    <row r="7" spans="1:20" s="158" customFormat="1" ht="15">
      <c r="A7" s="61" t="s">
        <v>369</v>
      </c>
      <c r="B7" s="61" t="s">
        <v>370</v>
      </c>
      <c r="C7" s="61" t="s">
        <v>371</v>
      </c>
      <c r="D7" s="61" t="s">
        <v>372</v>
      </c>
      <c r="E7" s="61" t="s">
        <v>373</v>
      </c>
      <c r="F7" s="61" t="s">
        <v>374</v>
      </c>
      <c r="G7" s="61" t="s">
        <v>375</v>
      </c>
      <c r="H7" s="61" t="s">
        <v>376</v>
      </c>
      <c r="I7" s="61" t="s">
        <v>377</v>
      </c>
      <c r="J7" s="61" t="s">
        <v>378</v>
      </c>
      <c r="K7" s="61" t="s">
        <v>379</v>
      </c>
      <c r="L7" s="61" t="s">
        <v>380</v>
      </c>
      <c r="M7" s="165" t="s">
        <v>381</v>
      </c>
      <c r="N7" s="165" t="s">
        <v>519</v>
      </c>
      <c r="O7" s="166" t="s">
        <v>382</v>
      </c>
      <c r="P7" s="166" t="s">
        <v>383</v>
      </c>
      <c r="Q7" s="166" t="s">
        <v>384</v>
      </c>
      <c r="R7" s="166" t="s">
        <v>385</v>
      </c>
      <c r="S7" s="61" t="s">
        <v>386</v>
      </c>
      <c r="T7" s="222"/>
    </row>
    <row r="8" spans="1:19" ht="15">
      <c r="A8" s="58" t="s">
        <v>387</v>
      </c>
      <c r="G8" s="59" t="s">
        <v>388</v>
      </c>
      <c r="S8" s="159"/>
    </row>
    <row r="9" spans="1:19" ht="15">
      <c r="A9" s="58"/>
      <c r="D9" s="59" t="s">
        <v>387</v>
      </c>
      <c r="J9" s="59" t="s">
        <v>589</v>
      </c>
      <c r="S9" s="159"/>
    </row>
    <row r="10" spans="1:20" ht="15">
      <c r="A10" s="58"/>
      <c r="E10" s="59" t="s">
        <v>394</v>
      </c>
      <c r="K10" s="59" t="s">
        <v>590</v>
      </c>
      <c r="M10" s="62">
        <v>135070</v>
      </c>
      <c r="N10" s="62"/>
      <c r="O10" s="62">
        <v>0</v>
      </c>
      <c r="P10" s="62">
        <v>67864</v>
      </c>
      <c r="Q10" s="62">
        <v>67206</v>
      </c>
      <c r="R10" s="62">
        <f>M10+N10</f>
        <v>135070</v>
      </c>
      <c r="S10" s="159" t="s">
        <v>591</v>
      </c>
      <c r="T10" s="62">
        <f>O10+P10+Q10</f>
        <v>135070</v>
      </c>
    </row>
    <row r="11" spans="1:20" ht="15">
      <c r="A11" s="58"/>
      <c r="E11" s="59" t="s">
        <v>409</v>
      </c>
      <c r="K11" s="59" t="s">
        <v>592</v>
      </c>
      <c r="M11" s="62">
        <v>21740</v>
      </c>
      <c r="N11" s="62"/>
      <c r="O11" s="62">
        <v>0</v>
      </c>
      <c r="P11" s="62">
        <v>9863</v>
      </c>
      <c r="Q11" s="62">
        <v>11877</v>
      </c>
      <c r="R11" s="62">
        <f>M11+N11</f>
        <v>21740</v>
      </c>
      <c r="S11" s="159" t="s">
        <v>593</v>
      </c>
      <c r="T11" s="62">
        <f aca="true" t="shared" si="0" ref="T11:T75">O11+P11+Q11</f>
        <v>21740</v>
      </c>
    </row>
    <row r="12" spans="1:20" ht="15">
      <c r="A12" s="58"/>
      <c r="E12" s="59" t="s">
        <v>422</v>
      </c>
      <c r="K12" s="59" t="s">
        <v>594</v>
      </c>
      <c r="M12" s="62"/>
      <c r="N12" s="62"/>
      <c r="O12" s="62"/>
      <c r="P12" s="62"/>
      <c r="Q12" s="62"/>
      <c r="R12" s="62">
        <f>M12+N12</f>
        <v>0</v>
      </c>
      <c r="S12" s="159" t="s">
        <v>595</v>
      </c>
      <c r="T12" s="62">
        <f t="shared" si="0"/>
        <v>0</v>
      </c>
    </row>
    <row r="13" spans="1:20" ht="15">
      <c r="A13" s="58"/>
      <c r="F13" s="59" t="s">
        <v>425</v>
      </c>
      <c r="L13" s="59" t="s">
        <v>596</v>
      </c>
      <c r="M13" s="62">
        <v>5000</v>
      </c>
      <c r="N13" s="62">
        <v>0</v>
      </c>
      <c r="O13" s="62">
        <v>0</v>
      </c>
      <c r="P13" s="62">
        <v>5000</v>
      </c>
      <c r="Q13" s="62">
        <v>0</v>
      </c>
      <c r="R13" s="62">
        <f>M13+N13</f>
        <v>5000</v>
      </c>
      <c r="S13" s="159" t="s">
        <v>597</v>
      </c>
      <c r="T13" s="62">
        <f t="shared" si="0"/>
        <v>5000</v>
      </c>
    </row>
    <row r="14" spans="1:20" ht="15">
      <c r="A14" s="58"/>
      <c r="F14" s="59" t="s">
        <v>598</v>
      </c>
      <c r="L14" s="59" t="s">
        <v>599</v>
      </c>
      <c r="M14" s="62">
        <v>516140</v>
      </c>
      <c r="N14" s="62"/>
      <c r="O14" s="62">
        <v>0</v>
      </c>
      <c r="P14" s="62">
        <v>288564</v>
      </c>
      <c r="Q14" s="62">
        <v>227576</v>
      </c>
      <c r="R14" s="62">
        <f>M14+N14</f>
        <v>516140</v>
      </c>
      <c r="S14" s="159" t="s">
        <v>595</v>
      </c>
      <c r="T14" s="62">
        <f t="shared" si="0"/>
        <v>516140</v>
      </c>
    </row>
    <row r="15" spans="1:20" ht="15">
      <c r="A15" s="129"/>
      <c r="B15" s="129"/>
      <c r="C15" s="129"/>
      <c r="D15" s="129"/>
      <c r="E15" s="129" t="s">
        <v>422</v>
      </c>
      <c r="F15" s="129"/>
      <c r="G15" s="129"/>
      <c r="H15" s="129"/>
      <c r="I15" s="129"/>
      <c r="J15" s="129"/>
      <c r="K15" s="129" t="s">
        <v>600</v>
      </c>
      <c r="L15" s="129"/>
      <c r="M15" s="130">
        <f aca="true" t="shared" si="1" ref="M15:R15">SUM(M13:M14)</f>
        <v>521140</v>
      </c>
      <c r="N15" s="130">
        <f t="shared" si="1"/>
        <v>0</v>
      </c>
      <c r="O15" s="130">
        <f t="shared" si="1"/>
        <v>0</v>
      </c>
      <c r="P15" s="130">
        <f t="shared" si="1"/>
        <v>293564</v>
      </c>
      <c r="Q15" s="130">
        <f t="shared" si="1"/>
        <v>227576</v>
      </c>
      <c r="R15" s="130">
        <f t="shared" si="1"/>
        <v>521140</v>
      </c>
      <c r="S15" s="171" t="s">
        <v>595</v>
      </c>
      <c r="T15" s="62">
        <f t="shared" si="0"/>
        <v>521140</v>
      </c>
    </row>
    <row r="16" spans="1:20" ht="15">
      <c r="A16" s="129"/>
      <c r="B16" s="129"/>
      <c r="C16" s="129"/>
      <c r="D16" s="129"/>
      <c r="E16" s="129" t="s">
        <v>601</v>
      </c>
      <c r="F16" s="129"/>
      <c r="G16" s="129"/>
      <c r="H16" s="129"/>
      <c r="I16" s="129"/>
      <c r="J16" s="129"/>
      <c r="K16" s="129" t="s">
        <v>602</v>
      </c>
      <c r="L16" s="129"/>
      <c r="M16" s="130">
        <v>36738</v>
      </c>
      <c r="N16" s="130"/>
      <c r="O16" s="130">
        <v>0</v>
      </c>
      <c r="P16" s="130">
        <v>36738</v>
      </c>
      <c r="Q16" s="130">
        <v>0</v>
      </c>
      <c r="R16" s="130">
        <f>M16+N16</f>
        <v>36738</v>
      </c>
      <c r="S16" s="171" t="s">
        <v>603</v>
      </c>
      <c r="T16" s="62">
        <f t="shared" si="0"/>
        <v>36738</v>
      </c>
    </row>
    <row r="17" spans="1:20" ht="15">
      <c r="A17" s="58"/>
      <c r="E17" s="59" t="s">
        <v>604</v>
      </c>
      <c r="K17" s="59" t="s">
        <v>20</v>
      </c>
      <c r="M17" s="62"/>
      <c r="N17" s="62"/>
      <c r="O17" s="62"/>
      <c r="P17" s="62"/>
      <c r="Q17" s="62"/>
      <c r="R17" s="62"/>
      <c r="S17" s="159" t="s">
        <v>21</v>
      </c>
      <c r="T17" s="62">
        <f t="shared" si="0"/>
        <v>0</v>
      </c>
    </row>
    <row r="18" spans="1:20" ht="15">
      <c r="A18" s="58"/>
      <c r="F18" s="59" t="s">
        <v>22</v>
      </c>
      <c r="L18" s="59" t="s">
        <v>23</v>
      </c>
      <c r="M18" s="62">
        <v>0</v>
      </c>
      <c r="N18" s="62"/>
      <c r="O18" s="62">
        <v>0</v>
      </c>
      <c r="P18" s="62">
        <v>0</v>
      </c>
      <c r="Q18" s="62">
        <v>0</v>
      </c>
      <c r="R18" s="62">
        <f aca="true" t="shared" si="2" ref="R18:R23">M18+N18</f>
        <v>0</v>
      </c>
      <c r="S18" s="159" t="s">
        <v>24</v>
      </c>
      <c r="T18" s="62">
        <f t="shared" si="0"/>
        <v>0</v>
      </c>
    </row>
    <row r="19" spans="1:20" ht="15">
      <c r="A19" s="58"/>
      <c r="F19" s="59" t="s">
        <v>25</v>
      </c>
      <c r="L19" s="59" t="s">
        <v>26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f t="shared" si="2"/>
        <v>0</v>
      </c>
      <c r="S19" s="159" t="s">
        <v>27</v>
      </c>
      <c r="T19" s="62">
        <f t="shared" si="0"/>
        <v>0</v>
      </c>
    </row>
    <row r="20" spans="1:20" ht="15">
      <c r="A20" s="58"/>
      <c r="F20" s="59" t="s">
        <v>28</v>
      </c>
      <c r="L20" s="59" t="s">
        <v>29</v>
      </c>
      <c r="M20" s="62">
        <v>303370</v>
      </c>
      <c r="N20" s="62"/>
      <c r="O20" s="62">
        <v>0</v>
      </c>
      <c r="P20" s="62">
        <v>303370</v>
      </c>
      <c r="Q20" s="62">
        <v>0</v>
      </c>
      <c r="R20" s="62">
        <f t="shared" si="2"/>
        <v>303370</v>
      </c>
      <c r="S20" s="159" t="s">
        <v>30</v>
      </c>
      <c r="T20" s="62">
        <f t="shared" si="0"/>
        <v>303370</v>
      </c>
    </row>
    <row r="21" spans="1:20" ht="15">
      <c r="A21" s="58"/>
      <c r="F21" s="59" t="s">
        <v>31</v>
      </c>
      <c r="L21" s="59" t="s">
        <v>32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f t="shared" si="2"/>
        <v>0</v>
      </c>
      <c r="S21" s="159" t="s">
        <v>33</v>
      </c>
      <c r="T21" s="62">
        <f t="shared" si="0"/>
        <v>0</v>
      </c>
    </row>
    <row r="22" spans="1:20" ht="15">
      <c r="A22" s="58"/>
      <c r="F22" s="59" t="s">
        <v>34</v>
      </c>
      <c r="L22" s="59" t="s">
        <v>35</v>
      </c>
      <c r="M22" s="62">
        <v>440392</v>
      </c>
      <c r="N22" s="62"/>
      <c r="O22" s="62">
        <v>0</v>
      </c>
      <c r="P22" s="62">
        <v>175780</v>
      </c>
      <c r="Q22" s="62">
        <v>264612</v>
      </c>
      <c r="R22" s="62">
        <f t="shared" si="2"/>
        <v>440392</v>
      </c>
      <c r="S22" s="159" t="s">
        <v>36</v>
      </c>
      <c r="T22" s="62">
        <f t="shared" si="0"/>
        <v>440392</v>
      </c>
    </row>
    <row r="23" spans="1:20" ht="15">
      <c r="A23" s="58"/>
      <c r="F23" s="59" t="s">
        <v>37</v>
      </c>
      <c r="L23" s="59" t="s">
        <v>38</v>
      </c>
      <c r="M23" s="62">
        <v>69031</v>
      </c>
      <c r="N23" s="62"/>
      <c r="O23" s="62">
        <v>0</v>
      </c>
      <c r="P23" s="62">
        <v>69031</v>
      </c>
      <c r="Q23" s="62">
        <v>0</v>
      </c>
      <c r="R23" s="62">
        <f t="shared" si="2"/>
        <v>69031</v>
      </c>
      <c r="S23" s="159" t="s">
        <v>39</v>
      </c>
      <c r="T23" s="62">
        <f t="shared" si="0"/>
        <v>69031</v>
      </c>
    </row>
    <row r="24" spans="1:20" ht="15">
      <c r="A24" s="129"/>
      <c r="B24" s="129"/>
      <c r="C24" s="129"/>
      <c r="D24" s="129"/>
      <c r="E24" s="129" t="s">
        <v>604</v>
      </c>
      <c r="F24" s="129"/>
      <c r="G24" s="129"/>
      <c r="H24" s="129"/>
      <c r="I24" s="129"/>
      <c r="J24" s="129"/>
      <c r="K24" s="129" t="s">
        <v>40</v>
      </c>
      <c r="L24" s="129"/>
      <c r="M24" s="130">
        <f aca="true" t="shared" si="3" ref="M24:R24">SUM(M18:M23)</f>
        <v>812793</v>
      </c>
      <c r="N24" s="130">
        <f t="shared" si="3"/>
        <v>0</v>
      </c>
      <c r="O24" s="130">
        <f t="shared" si="3"/>
        <v>0</v>
      </c>
      <c r="P24" s="130">
        <f t="shared" si="3"/>
        <v>548181</v>
      </c>
      <c r="Q24" s="130">
        <f t="shared" si="3"/>
        <v>264612</v>
      </c>
      <c r="R24" s="130">
        <f t="shared" si="3"/>
        <v>812793</v>
      </c>
      <c r="S24" s="171" t="s">
        <v>21</v>
      </c>
      <c r="T24" s="62">
        <f t="shared" si="0"/>
        <v>812793</v>
      </c>
    </row>
    <row r="25" spans="1:20" s="93" customFormat="1" ht="15">
      <c r="A25" s="63" t="s">
        <v>387</v>
      </c>
      <c r="B25" s="63"/>
      <c r="C25" s="63"/>
      <c r="D25" s="63"/>
      <c r="E25" s="63"/>
      <c r="F25" s="63"/>
      <c r="G25" s="63"/>
      <c r="H25" s="63" t="s">
        <v>41</v>
      </c>
      <c r="I25" s="63"/>
      <c r="J25" s="63"/>
      <c r="K25" s="63"/>
      <c r="L25" s="63"/>
      <c r="M25" s="64">
        <f aca="true" t="shared" si="4" ref="M25:R25">M10+M11+M15+M16+M24</f>
        <v>1527481</v>
      </c>
      <c r="N25" s="64">
        <f t="shared" si="4"/>
        <v>0</v>
      </c>
      <c r="O25" s="64">
        <f t="shared" si="4"/>
        <v>0</v>
      </c>
      <c r="P25" s="64">
        <f t="shared" si="4"/>
        <v>956210</v>
      </c>
      <c r="Q25" s="64">
        <f t="shared" si="4"/>
        <v>571271</v>
      </c>
      <c r="R25" s="64">
        <f t="shared" si="4"/>
        <v>1527481</v>
      </c>
      <c r="S25" s="160"/>
      <c r="T25" s="62">
        <f t="shared" si="0"/>
        <v>1527481</v>
      </c>
    </row>
    <row r="26" spans="1:20" ht="15">
      <c r="A26" s="58" t="s">
        <v>427</v>
      </c>
      <c r="G26" s="59" t="s">
        <v>543</v>
      </c>
      <c r="M26" s="62"/>
      <c r="N26" s="62"/>
      <c r="O26" s="62"/>
      <c r="P26" s="62"/>
      <c r="Q26" s="62"/>
      <c r="R26" s="62"/>
      <c r="S26" s="159"/>
      <c r="T26" s="62">
        <f t="shared" si="0"/>
        <v>0</v>
      </c>
    </row>
    <row r="27" spans="1:20" ht="15">
      <c r="A27" s="58"/>
      <c r="D27" s="59" t="s">
        <v>387</v>
      </c>
      <c r="J27" s="59" t="s">
        <v>589</v>
      </c>
      <c r="M27" s="62"/>
      <c r="N27" s="62"/>
      <c r="O27" s="62"/>
      <c r="P27" s="62"/>
      <c r="Q27" s="62"/>
      <c r="R27" s="62"/>
      <c r="S27" s="159"/>
      <c r="T27" s="62">
        <f t="shared" si="0"/>
        <v>0</v>
      </c>
    </row>
    <row r="28" spans="1:20" ht="15">
      <c r="A28" s="58"/>
      <c r="E28" s="59" t="s">
        <v>394</v>
      </c>
      <c r="K28" s="59" t="s">
        <v>590</v>
      </c>
      <c r="M28" s="62">
        <v>424364</v>
      </c>
      <c r="N28" s="62"/>
      <c r="O28" s="62">
        <v>90899</v>
      </c>
      <c r="P28" s="62">
        <v>314738</v>
      </c>
      <c r="Q28" s="62">
        <v>18727</v>
      </c>
      <c r="R28" s="62">
        <f>M28+N28</f>
        <v>424364</v>
      </c>
      <c r="S28" s="159" t="s">
        <v>591</v>
      </c>
      <c r="T28" s="62">
        <f t="shared" si="0"/>
        <v>424364</v>
      </c>
    </row>
    <row r="29" spans="1:20" ht="15">
      <c r="A29" s="58"/>
      <c r="E29" s="59" t="s">
        <v>409</v>
      </c>
      <c r="K29" s="59" t="s">
        <v>592</v>
      </c>
      <c r="M29" s="62">
        <v>82820</v>
      </c>
      <c r="N29" s="62"/>
      <c r="O29" s="62">
        <v>16432</v>
      </c>
      <c r="P29" s="62">
        <v>63040</v>
      </c>
      <c r="Q29" s="62">
        <v>3348</v>
      </c>
      <c r="R29" s="62">
        <f>M29+N29</f>
        <v>82820</v>
      </c>
      <c r="S29" s="159" t="s">
        <v>593</v>
      </c>
      <c r="T29" s="62">
        <f t="shared" si="0"/>
        <v>82820</v>
      </c>
    </row>
    <row r="30" spans="1:20" ht="15">
      <c r="A30" s="58"/>
      <c r="E30" s="59" t="s">
        <v>422</v>
      </c>
      <c r="K30" s="59" t="s">
        <v>594</v>
      </c>
      <c r="M30" s="62"/>
      <c r="N30" s="62"/>
      <c r="O30" s="62"/>
      <c r="P30" s="62"/>
      <c r="Q30" s="62"/>
      <c r="R30" s="62"/>
      <c r="S30" s="159" t="s">
        <v>595</v>
      </c>
      <c r="T30" s="62">
        <f t="shared" si="0"/>
        <v>0</v>
      </c>
    </row>
    <row r="31" spans="1:20" ht="15">
      <c r="A31" s="58"/>
      <c r="F31" s="59" t="s">
        <v>598</v>
      </c>
      <c r="L31" s="59" t="s">
        <v>599</v>
      </c>
      <c r="M31" s="62">
        <v>131338</v>
      </c>
      <c r="N31" s="62"/>
      <c r="O31" s="62">
        <v>0</v>
      </c>
      <c r="P31" s="62">
        <v>75745</v>
      </c>
      <c r="Q31" s="62">
        <v>55593</v>
      </c>
      <c r="R31" s="62">
        <f>M31+N31</f>
        <v>131338</v>
      </c>
      <c r="S31" s="159" t="s">
        <v>595</v>
      </c>
      <c r="T31" s="62">
        <f t="shared" si="0"/>
        <v>131338</v>
      </c>
    </row>
    <row r="32" spans="1:20" ht="15">
      <c r="A32" s="129"/>
      <c r="B32" s="129"/>
      <c r="C32" s="129"/>
      <c r="D32" s="129"/>
      <c r="E32" s="129" t="s">
        <v>422</v>
      </c>
      <c r="F32" s="129"/>
      <c r="G32" s="129"/>
      <c r="H32" s="129"/>
      <c r="I32" s="129"/>
      <c r="J32" s="129"/>
      <c r="K32" s="129" t="s">
        <v>600</v>
      </c>
      <c r="L32" s="129"/>
      <c r="M32" s="130">
        <f aca="true" t="shared" si="5" ref="M32:R32">SUM(M31)</f>
        <v>131338</v>
      </c>
      <c r="N32" s="130">
        <f t="shared" si="5"/>
        <v>0</v>
      </c>
      <c r="O32" s="130">
        <f t="shared" si="5"/>
        <v>0</v>
      </c>
      <c r="P32" s="130">
        <f t="shared" si="5"/>
        <v>75745</v>
      </c>
      <c r="Q32" s="130">
        <f t="shared" si="5"/>
        <v>55593</v>
      </c>
      <c r="R32" s="130">
        <f t="shared" si="5"/>
        <v>131338</v>
      </c>
      <c r="S32" s="171" t="s">
        <v>595</v>
      </c>
      <c r="T32" s="62">
        <f t="shared" si="0"/>
        <v>131338</v>
      </c>
    </row>
    <row r="33" spans="1:20" ht="15">
      <c r="A33" s="129"/>
      <c r="B33" s="129"/>
      <c r="C33" s="129"/>
      <c r="D33" s="129"/>
      <c r="E33" s="129" t="s">
        <v>601</v>
      </c>
      <c r="F33" s="129"/>
      <c r="G33" s="129"/>
      <c r="H33" s="129"/>
      <c r="I33" s="129"/>
      <c r="J33" s="129"/>
      <c r="K33" s="129" t="s">
        <v>602</v>
      </c>
      <c r="L33" s="129"/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>M33+N33</f>
        <v>0</v>
      </c>
      <c r="S33" s="171" t="s">
        <v>603</v>
      </c>
      <c r="T33" s="62">
        <f t="shared" si="0"/>
        <v>0</v>
      </c>
    </row>
    <row r="34" spans="1:20" ht="15">
      <c r="A34" s="58"/>
      <c r="E34" s="59" t="s">
        <v>604</v>
      </c>
      <c r="K34" s="59" t="s">
        <v>20</v>
      </c>
      <c r="M34" s="62"/>
      <c r="N34" s="62"/>
      <c r="O34" s="62"/>
      <c r="P34" s="62"/>
      <c r="Q34" s="62"/>
      <c r="R34" s="62"/>
      <c r="S34" s="159" t="s">
        <v>21</v>
      </c>
      <c r="T34" s="62">
        <f t="shared" si="0"/>
        <v>0</v>
      </c>
    </row>
    <row r="35" spans="1:19" ht="15">
      <c r="A35" s="58"/>
      <c r="F35" s="59" t="s">
        <v>22</v>
      </c>
      <c r="L35" s="59" t="s">
        <v>23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f>M35+N35</f>
        <v>0</v>
      </c>
      <c r="S35" s="159" t="s">
        <v>24</v>
      </c>
    </row>
    <row r="36" spans="1:20" ht="15">
      <c r="A36" s="58"/>
      <c r="F36" s="59" t="s">
        <v>28</v>
      </c>
      <c r="L36" s="59" t="s">
        <v>29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f>M36+N36</f>
        <v>0</v>
      </c>
      <c r="S36" s="159" t="s">
        <v>30</v>
      </c>
      <c r="T36" s="62">
        <f t="shared" si="0"/>
        <v>0</v>
      </c>
    </row>
    <row r="37" spans="1:20" ht="15">
      <c r="A37" s="129"/>
      <c r="B37" s="129"/>
      <c r="C37" s="129"/>
      <c r="D37" s="129"/>
      <c r="E37" s="129" t="s">
        <v>604</v>
      </c>
      <c r="F37" s="129"/>
      <c r="G37" s="129"/>
      <c r="H37" s="129"/>
      <c r="I37" s="129"/>
      <c r="J37" s="129"/>
      <c r="K37" s="129" t="s">
        <v>40</v>
      </c>
      <c r="L37" s="129"/>
      <c r="M37" s="130">
        <f aca="true" t="shared" si="6" ref="M37:R37">SUM(M35:M36)</f>
        <v>0</v>
      </c>
      <c r="N37" s="130">
        <f t="shared" si="6"/>
        <v>0</v>
      </c>
      <c r="O37" s="130">
        <f t="shared" si="6"/>
        <v>0</v>
      </c>
      <c r="P37" s="130">
        <f t="shared" si="6"/>
        <v>0</v>
      </c>
      <c r="Q37" s="130">
        <f t="shared" si="6"/>
        <v>0</v>
      </c>
      <c r="R37" s="130">
        <f t="shared" si="6"/>
        <v>0</v>
      </c>
      <c r="S37" s="171" t="s">
        <v>21</v>
      </c>
      <c r="T37" s="62">
        <f t="shared" si="0"/>
        <v>0</v>
      </c>
    </row>
    <row r="38" spans="1:20" s="93" customFormat="1" ht="15">
      <c r="A38" s="63" t="s">
        <v>427</v>
      </c>
      <c r="B38" s="63"/>
      <c r="C38" s="63"/>
      <c r="D38" s="63"/>
      <c r="E38" s="63"/>
      <c r="F38" s="63"/>
      <c r="G38" s="63"/>
      <c r="H38" s="63" t="s">
        <v>512</v>
      </c>
      <c r="I38" s="63"/>
      <c r="J38" s="63"/>
      <c r="K38" s="63"/>
      <c r="L38" s="63"/>
      <c r="M38" s="64">
        <f aca="true" t="shared" si="7" ref="M38:R38">SUM(M28,M29,M32,M33,M37)</f>
        <v>638522</v>
      </c>
      <c r="N38" s="64">
        <f t="shared" si="7"/>
        <v>0</v>
      </c>
      <c r="O38" s="64">
        <f t="shared" si="7"/>
        <v>107331</v>
      </c>
      <c r="P38" s="64">
        <f t="shared" si="7"/>
        <v>453523</v>
      </c>
      <c r="Q38" s="64">
        <f t="shared" si="7"/>
        <v>77668</v>
      </c>
      <c r="R38" s="64">
        <f t="shared" si="7"/>
        <v>638522</v>
      </c>
      <c r="S38" s="160"/>
      <c r="T38" s="62">
        <f t="shared" si="0"/>
        <v>638522</v>
      </c>
    </row>
    <row r="39" spans="1:20" ht="15">
      <c r="A39" s="58" t="s">
        <v>430</v>
      </c>
      <c r="G39" s="59" t="s">
        <v>707</v>
      </c>
      <c r="M39" s="62"/>
      <c r="N39" s="62"/>
      <c r="O39" s="62"/>
      <c r="P39" s="62"/>
      <c r="Q39" s="62"/>
      <c r="R39" s="62"/>
      <c r="S39" s="159"/>
      <c r="T39" s="62">
        <f t="shared" si="0"/>
        <v>0</v>
      </c>
    </row>
    <row r="40" spans="1:20" ht="15">
      <c r="A40" s="58"/>
      <c r="D40" s="59" t="s">
        <v>387</v>
      </c>
      <c r="J40" s="59" t="s">
        <v>589</v>
      </c>
      <c r="M40" s="62"/>
      <c r="N40" s="62"/>
      <c r="O40" s="62"/>
      <c r="P40" s="62"/>
      <c r="Q40" s="62"/>
      <c r="R40" s="62"/>
      <c r="S40" s="159"/>
      <c r="T40" s="62">
        <f t="shared" si="0"/>
        <v>0</v>
      </c>
    </row>
    <row r="41" spans="1:20" ht="15">
      <c r="A41" s="58"/>
      <c r="E41" s="59" t="s">
        <v>394</v>
      </c>
      <c r="K41" s="59" t="s">
        <v>590</v>
      </c>
      <c r="M41" s="62">
        <v>130554</v>
      </c>
      <c r="N41" s="62"/>
      <c r="O41" s="62">
        <v>0</v>
      </c>
      <c r="P41" s="62">
        <v>130554</v>
      </c>
      <c r="Q41" s="62">
        <v>0</v>
      </c>
      <c r="R41" s="62">
        <f>M41+N41</f>
        <v>130554</v>
      </c>
      <c r="S41" s="159" t="s">
        <v>591</v>
      </c>
      <c r="T41" s="62">
        <f t="shared" si="0"/>
        <v>130554</v>
      </c>
    </row>
    <row r="42" spans="1:20" ht="15">
      <c r="A42" s="58"/>
      <c r="B42" s="58"/>
      <c r="C42" s="58"/>
      <c r="D42" s="58"/>
      <c r="E42" s="58" t="s">
        <v>409</v>
      </c>
      <c r="F42" s="58"/>
      <c r="G42" s="58"/>
      <c r="H42" s="58"/>
      <c r="I42" s="58"/>
      <c r="J42" s="58"/>
      <c r="K42" s="58" t="s">
        <v>592</v>
      </c>
      <c r="L42" s="58"/>
      <c r="M42" s="65">
        <v>25361</v>
      </c>
      <c r="N42" s="65"/>
      <c r="O42" s="65">
        <v>0</v>
      </c>
      <c r="P42" s="65">
        <v>25361</v>
      </c>
      <c r="Q42" s="65">
        <v>0</v>
      </c>
      <c r="R42" s="65">
        <f>M42+N42</f>
        <v>25361</v>
      </c>
      <c r="S42" s="159" t="s">
        <v>593</v>
      </c>
      <c r="T42" s="62">
        <f t="shared" si="0"/>
        <v>25361</v>
      </c>
    </row>
    <row r="43" spans="1:20" ht="15">
      <c r="A43" s="58"/>
      <c r="B43" s="58"/>
      <c r="C43" s="58"/>
      <c r="D43" s="58"/>
      <c r="E43" s="58" t="s">
        <v>422</v>
      </c>
      <c r="F43" s="58"/>
      <c r="G43" s="58"/>
      <c r="H43" s="58"/>
      <c r="I43" s="58"/>
      <c r="J43" s="58"/>
      <c r="K43" s="58" t="s">
        <v>594</v>
      </c>
      <c r="L43" s="58"/>
      <c r="M43" s="65"/>
      <c r="N43" s="65"/>
      <c r="O43" s="65"/>
      <c r="P43" s="65"/>
      <c r="Q43" s="65"/>
      <c r="R43" s="65"/>
      <c r="S43" s="159" t="s">
        <v>595</v>
      </c>
      <c r="T43" s="62">
        <f t="shared" si="0"/>
        <v>0</v>
      </c>
    </row>
    <row r="44" spans="1:20" ht="15">
      <c r="A44" s="58"/>
      <c r="F44" s="59" t="s">
        <v>598</v>
      </c>
      <c r="L44" s="59" t="s">
        <v>599</v>
      </c>
      <c r="M44" s="62">
        <v>18961</v>
      </c>
      <c r="N44" s="62">
        <v>0</v>
      </c>
      <c r="O44" s="62">
        <v>0</v>
      </c>
      <c r="P44" s="62">
        <v>18961</v>
      </c>
      <c r="Q44" s="62">
        <v>0</v>
      </c>
      <c r="R44" s="62">
        <f>M44+N44</f>
        <v>18961</v>
      </c>
      <c r="S44" s="159" t="s">
        <v>595</v>
      </c>
      <c r="T44" s="62">
        <f t="shared" si="0"/>
        <v>18961</v>
      </c>
    </row>
    <row r="45" spans="1:20" ht="15">
      <c r="A45" s="58"/>
      <c r="E45" s="59" t="s">
        <v>422</v>
      </c>
      <c r="K45" s="59" t="s">
        <v>600</v>
      </c>
      <c r="M45" s="62">
        <f aca="true" t="shared" si="8" ref="M45:R45">SUM(M44)</f>
        <v>18961</v>
      </c>
      <c r="N45" s="62">
        <f t="shared" si="8"/>
        <v>0</v>
      </c>
      <c r="O45" s="62">
        <f t="shared" si="8"/>
        <v>0</v>
      </c>
      <c r="P45" s="62">
        <f t="shared" si="8"/>
        <v>18961</v>
      </c>
      <c r="Q45" s="62">
        <f t="shared" si="8"/>
        <v>0</v>
      </c>
      <c r="R45" s="62">
        <f t="shared" si="8"/>
        <v>18961</v>
      </c>
      <c r="S45" s="159" t="s">
        <v>595</v>
      </c>
      <c r="T45" s="62">
        <f t="shared" si="0"/>
        <v>18961</v>
      </c>
    </row>
    <row r="46" spans="1:20" ht="15">
      <c r="A46" s="58"/>
      <c r="E46" s="59" t="s">
        <v>604</v>
      </c>
      <c r="K46" s="59" t="s">
        <v>20</v>
      </c>
      <c r="M46" s="62"/>
      <c r="N46" s="62"/>
      <c r="O46" s="62"/>
      <c r="P46" s="62"/>
      <c r="Q46" s="62"/>
      <c r="R46" s="62"/>
      <c r="S46" s="159" t="s">
        <v>21</v>
      </c>
      <c r="T46" s="62">
        <f t="shared" si="0"/>
        <v>0</v>
      </c>
    </row>
    <row r="47" spans="1:20" ht="15">
      <c r="A47" s="58"/>
      <c r="F47" s="59" t="s">
        <v>22</v>
      </c>
      <c r="L47" s="59" t="s">
        <v>23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f>M47+N47</f>
        <v>0</v>
      </c>
      <c r="S47" s="159" t="s">
        <v>24</v>
      </c>
      <c r="T47" s="62">
        <f t="shared" si="0"/>
        <v>0</v>
      </c>
    </row>
    <row r="48" spans="1:20" ht="15">
      <c r="A48" s="129"/>
      <c r="B48" s="129"/>
      <c r="C48" s="129"/>
      <c r="D48" s="129"/>
      <c r="E48" s="129" t="s">
        <v>604</v>
      </c>
      <c r="F48" s="129"/>
      <c r="G48" s="129"/>
      <c r="H48" s="129"/>
      <c r="I48" s="129"/>
      <c r="J48" s="129"/>
      <c r="K48" s="129" t="s">
        <v>40</v>
      </c>
      <c r="L48" s="129"/>
      <c r="M48" s="130">
        <f aca="true" t="shared" si="9" ref="M48:R48">SUM(M47)</f>
        <v>0</v>
      </c>
      <c r="N48" s="130">
        <f t="shared" si="9"/>
        <v>0</v>
      </c>
      <c r="O48" s="130">
        <f t="shared" si="9"/>
        <v>0</v>
      </c>
      <c r="P48" s="130">
        <f t="shared" si="9"/>
        <v>0</v>
      </c>
      <c r="Q48" s="130">
        <f t="shared" si="9"/>
        <v>0</v>
      </c>
      <c r="R48" s="130">
        <f t="shared" si="9"/>
        <v>0</v>
      </c>
      <c r="S48" s="171" t="s">
        <v>21</v>
      </c>
      <c r="T48" s="62">
        <f t="shared" si="0"/>
        <v>0</v>
      </c>
    </row>
    <row r="49" spans="1:20" s="93" customFormat="1" ht="15">
      <c r="A49" s="63" t="s">
        <v>430</v>
      </c>
      <c r="B49" s="63"/>
      <c r="C49" s="63"/>
      <c r="D49" s="63"/>
      <c r="E49" s="63"/>
      <c r="F49" s="63"/>
      <c r="G49" s="63"/>
      <c r="H49" s="63" t="s">
        <v>708</v>
      </c>
      <c r="I49" s="63"/>
      <c r="J49" s="63"/>
      <c r="K49" s="63"/>
      <c r="L49" s="63"/>
      <c r="M49" s="64">
        <f aca="true" t="shared" si="10" ref="M49:R49">SUM(M41,M42,M45,M48)</f>
        <v>174876</v>
      </c>
      <c r="N49" s="64">
        <f t="shared" si="10"/>
        <v>0</v>
      </c>
      <c r="O49" s="64">
        <f t="shared" si="10"/>
        <v>0</v>
      </c>
      <c r="P49" s="64">
        <f t="shared" si="10"/>
        <v>174876</v>
      </c>
      <c r="Q49" s="64">
        <f t="shared" si="10"/>
        <v>0</v>
      </c>
      <c r="R49" s="64">
        <f t="shared" si="10"/>
        <v>174876</v>
      </c>
      <c r="S49" s="160"/>
      <c r="T49" s="62">
        <f t="shared" si="0"/>
        <v>174876</v>
      </c>
    </row>
    <row r="50" spans="1:20" ht="15">
      <c r="A50" s="58" t="s">
        <v>513</v>
      </c>
      <c r="G50" s="59" t="s">
        <v>514</v>
      </c>
      <c r="M50" s="62"/>
      <c r="N50" s="62"/>
      <c r="O50" s="62"/>
      <c r="P50" s="62"/>
      <c r="Q50" s="62"/>
      <c r="R50" s="62"/>
      <c r="S50" s="159"/>
      <c r="T50" s="62">
        <f t="shared" si="0"/>
        <v>0</v>
      </c>
    </row>
    <row r="51" spans="1:20" ht="15">
      <c r="A51" s="58"/>
      <c r="D51" s="59" t="s">
        <v>387</v>
      </c>
      <c r="J51" s="59" t="s">
        <v>589</v>
      </c>
      <c r="M51" s="62"/>
      <c r="N51" s="62"/>
      <c r="O51" s="62"/>
      <c r="P51" s="62"/>
      <c r="Q51" s="62"/>
      <c r="R51" s="62"/>
      <c r="S51" s="159"/>
      <c r="T51" s="62">
        <f t="shared" si="0"/>
        <v>0</v>
      </c>
    </row>
    <row r="52" spans="1:20" ht="15">
      <c r="A52" s="58"/>
      <c r="E52" s="59" t="s">
        <v>394</v>
      </c>
      <c r="K52" s="59" t="s">
        <v>590</v>
      </c>
      <c r="M52" s="62">
        <v>76942</v>
      </c>
      <c r="N52" s="62"/>
      <c r="O52" s="62">
        <v>0</v>
      </c>
      <c r="P52" s="62">
        <v>27034</v>
      </c>
      <c r="Q52" s="62">
        <v>49908</v>
      </c>
      <c r="R52" s="62">
        <f>M52+N52</f>
        <v>76942</v>
      </c>
      <c r="S52" s="159" t="s">
        <v>591</v>
      </c>
      <c r="T52" s="62">
        <f t="shared" si="0"/>
        <v>76942</v>
      </c>
    </row>
    <row r="53" spans="1:20" ht="15">
      <c r="A53" s="58"/>
      <c r="E53" s="59" t="s">
        <v>409</v>
      </c>
      <c r="K53" s="59" t="s">
        <v>592</v>
      </c>
      <c r="M53" s="62">
        <v>13113</v>
      </c>
      <c r="N53" s="62"/>
      <c r="O53" s="62">
        <v>0</v>
      </c>
      <c r="P53" s="62">
        <v>4641</v>
      </c>
      <c r="Q53" s="62">
        <v>8472</v>
      </c>
      <c r="R53" s="62">
        <f>M53+N53</f>
        <v>13113</v>
      </c>
      <c r="S53" s="159" t="s">
        <v>593</v>
      </c>
      <c r="T53" s="62">
        <f t="shared" si="0"/>
        <v>13113</v>
      </c>
    </row>
    <row r="54" spans="1:20" ht="15">
      <c r="A54" s="58"/>
      <c r="E54" s="59" t="s">
        <v>422</v>
      </c>
      <c r="K54" s="59" t="s">
        <v>594</v>
      </c>
      <c r="M54" s="62"/>
      <c r="N54" s="62"/>
      <c r="O54" s="62"/>
      <c r="P54" s="62"/>
      <c r="Q54" s="62"/>
      <c r="R54" s="62"/>
      <c r="S54" s="159" t="s">
        <v>595</v>
      </c>
      <c r="T54" s="62">
        <f t="shared" si="0"/>
        <v>0</v>
      </c>
    </row>
    <row r="55" spans="1:20" ht="15">
      <c r="A55" s="58"/>
      <c r="F55" s="59" t="s">
        <v>598</v>
      </c>
      <c r="L55" s="59" t="s">
        <v>599</v>
      </c>
      <c r="M55" s="62">
        <v>100319</v>
      </c>
      <c r="N55" s="62"/>
      <c r="O55" s="62">
        <v>0</v>
      </c>
      <c r="P55" s="62">
        <v>11699</v>
      </c>
      <c r="Q55" s="62">
        <v>88620</v>
      </c>
      <c r="R55" s="62">
        <f>M55+N55</f>
        <v>100319</v>
      </c>
      <c r="S55" s="159" t="s">
        <v>595</v>
      </c>
      <c r="T55" s="62">
        <f t="shared" si="0"/>
        <v>100319</v>
      </c>
    </row>
    <row r="56" spans="1:20" ht="15">
      <c r="A56" s="129"/>
      <c r="B56" s="129"/>
      <c r="C56" s="129"/>
      <c r="D56" s="129"/>
      <c r="E56" s="129" t="s">
        <v>422</v>
      </c>
      <c r="F56" s="129"/>
      <c r="G56" s="129"/>
      <c r="H56" s="129"/>
      <c r="I56" s="129"/>
      <c r="J56" s="129"/>
      <c r="K56" s="129" t="s">
        <v>600</v>
      </c>
      <c r="L56" s="129"/>
      <c r="M56" s="130">
        <f aca="true" t="shared" si="11" ref="M56:R56">SUM(M55)</f>
        <v>100319</v>
      </c>
      <c r="N56" s="130">
        <f t="shared" si="11"/>
        <v>0</v>
      </c>
      <c r="O56" s="130">
        <f t="shared" si="11"/>
        <v>0</v>
      </c>
      <c r="P56" s="130">
        <f t="shared" si="11"/>
        <v>11699</v>
      </c>
      <c r="Q56" s="130">
        <f t="shared" si="11"/>
        <v>88620</v>
      </c>
      <c r="R56" s="130">
        <f t="shared" si="11"/>
        <v>100319</v>
      </c>
      <c r="S56" s="171" t="s">
        <v>595</v>
      </c>
      <c r="T56" s="62">
        <f t="shared" si="0"/>
        <v>100319</v>
      </c>
    </row>
    <row r="57" spans="1:20" s="93" customFormat="1" ht="15">
      <c r="A57" s="63" t="s">
        <v>513</v>
      </c>
      <c r="B57" s="63"/>
      <c r="C57" s="63"/>
      <c r="D57" s="63"/>
      <c r="E57" s="63"/>
      <c r="F57" s="63"/>
      <c r="G57" s="63"/>
      <c r="H57" s="63" t="s">
        <v>544</v>
      </c>
      <c r="I57" s="63"/>
      <c r="J57" s="63"/>
      <c r="K57" s="63"/>
      <c r="L57" s="63"/>
      <c r="M57" s="64">
        <f aca="true" t="shared" si="12" ref="M57:R57">SUM(M52,M53,M56)</f>
        <v>190374</v>
      </c>
      <c r="N57" s="64">
        <f t="shared" si="12"/>
        <v>0</v>
      </c>
      <c r="O57" s="64">
        <f t="shared" si="12"/>
        <v>0</v>
      </c>
      <c r="P57" s="64">
        <f t="shared" si="12"/>
        <v>43374</v>
      </c>
      <c r="Q57" s="64">
        <f t="shared" si="12"/>
        <v>147000</v>
      </c>
      <c r="R57" s="64">
        <f t="shared" si="12"/>
        <v>190374</v>
      </c>
      <c r="S57" s="160"/>
      <c r="T57" s="62">
        <f t="shared" si="0"/>
        <v>190374</v>
      </c>
    </row>
    <row r="58" spans="1:20" ht="15">
      <c r="A58" s="58" t="s">
        <v>516</v>
      </c>
      <c r="G58" s="59" t="s">
        <v>517</v>
      </c>
      <c r="M58" s="62"/>
      <c r="N58" s="62"/>
      <c r="O58" s="62"/>
      <c r="P58" s="62"/>
      <c r="Q58" s="62"/>
      <c r="R58" s="62"/>
      <c r="S58" s="159"/>
      <c r="T58" s="62">
        <f t="shared" si="0"/>
        <v>0</v>
      </c>
    </row>
    <row r="59" spans="1:20" ht="15">
      <c r="A59" s="58"/>
      <c r="D59" s="59" t="s">
        <v>387</v>
      </c>
      <c r="J59" s="59" t="s">
        <v>589</v>
      </c>
      <c r="M59" s="62"/>
      <c r="N59" s="62"/>
      <c r="O59" s="62"/>
      <c r="P59" s="62"/>
      <c r="Q59" s="62"/>
      <c r="R59" s="62"/>
      <c r="S59" s="159"/>
      <c r="T59" s="62">
        <f t="shared" si="0"/>
        <v>0</v>
      </c>
    </row>
    <row r="60" spans="1:20" ht="15">
      <c r="A60" s="58"/>
      <c r="E60" s="59" t="s">
        <v>394</v>
      </c>
      <c r="K60" s="59" t="s">
        <v>590</v>
      </c>
      <c r="M60" s="62">
        <v>59962</v>
      </c>
      <c r="N60" s="62"/>
      <c r="O60" s="62">
        <v>0</v>
      </c>
      <c r="P60" s="62">
        <v>59962</v>
      </c>
      <c r="Q60" s="62">
        <v>0</v>
      </c>
      <c r="R60" s="62">
        <f>M60+N60</f>
        <v>59962</v>
      </c>
      <c r="S60" s="159" t="s">
        <v>591</v>
      </c>
      <c r="T60" s="62">
        <f t="shared" si="0"/>
        <v>59962</v>
      </c>
    </row>
    <row r="61" spans="1:20" ht="15">
      <c r="A61" s="58"/>
      <c r="E61" s="59" t="s">
        <v>409</v>
      </c>
      <c r="K61" s="59" t="s">
        <v>592</v>
      </c>
      <c r="M61" s="62">
        <v>10427</v>
      </c>
      <c r="N61" s="62"/>
      <c r="O61" s="62">
        <v>0</v>
      </c>
      <c r="P61" s="62">
        <v>10427</v>
      </c>
      <c r="Q61" s="62">
        <v>0</v>
      </c>
      <c r="R61" s="62">
        <f>M61+N61</f>
        <v>10427</v>
      </c>
      <c r="S61" s="159" t="s">
        <v>593</v>
      </c>
      <c r="T61" s="62">
        <f t="shared" si="0"/>
        <v>10427</v>
      </c>
    </row>
    <row r="62" spans="1:20" ht="15">
      <c r="A62" s="58"/>
      <c r="E62" s="59" t="s">
        <v>422</v>
      </c>
      <c r="K62" s="59" t="s">
        <v>594</v>
      </c>
      <c r="M62" s="62"/>
      <c r="N62" s="62"/>
      <c r="O62" s="62"/>
      <c r="P62" s="62"/>
      <c r="Q62" s="62"/>
      <c r="R62" s="62"/>
      <c r="S62" s="159" t="s">
        <v>595</v>
      </c>
      <c r="T62" s="62">
        <f t="shared" si="0"/>
        <v>0</v>
      </c>
    </row>
    <row r="63" spans="1:20" ht="15">
      <c r="A63" s="58"/>
      <c r="F63" s="59" t="s">
        <v>598</v>
      </c>
      <c r="L63" s="59" t="s">
        <v>599</v>
      </c>
      <c r="M63" s="62">
        <v>7646</v>
      </c>
      <c r="N63" s="62"/>
      <c r="O63" s="62">
        <v>0</v>
      </c>
      <c r="P63" s="62">
        <v>7646</v>
      </c>
      <c r="Q63" s="62">
        <v>0</v>
      </c>
      <c r="R63" s="62">
        <f>M63+N63</f>
        <v>7646</v>
      </c>
      <c r="S63" s="159" t="s">
        <v>595</v>
      </c>
      <c r="T63" s="62">
        <f t="shared" si="0"/>
        <v>7646</v>
      </c>
    </row>
    <row r="64" spans="1:20" ht="15">
      <c r="A64" s="129"/>
      <c r="B64" s="129"/>
      <c r="C64" s="129"/>
      <c r="D64" s="129"/>
      <c r="E64" s="129" t="s">
        <v>422</v>
      </c>
      <c r="F64" s="129"/>
      <c r="G64" s="129"/>
      <c r="H64" s="129"/>
      <c r="I64" s="129"/>
      <c r="J64" s="129"/>
      <c r="K64" s="129" t="s">
        <v>600</v>
      </c>
      <c r="L64" s="129"/>
      <c r="M64" s="130">
        <f aca="true" t="shared" si="13" ref="M64:R64">SUM(M63)</f>
        <v>7646</v>
      </c>
      <c r="N64" s="130">
        <f t="shared" si="13"/>
        <v>0</v>
      </c>
      <c r="O64" s="130">
        <f t="shared" si="13"/>
        <v>0</v>
      </c>
      <c r="P64" s="130">
        <f t="shared" si="13"/>
        <v>7646</v>
      </c>
      <c r="Q64" s="130">
        <f t="shared" si="13"/>
        <v>0</v>
      </c>
      <c r="R64" s="130">
        <f t="shared" si="13"/>
        <v>7646</v>
      </c>
      <c r="S64" s="171" t="s">
        <v>595</v>
      </c>
      <c r="T64" s="62">
        <f t="shared" si="0"/>
        <v>7646</v>
      </c>
    </row>
    <row r="65" spans="1:20" s="93" customFormat="1" ht="15">
      <c r="A65" s="63" t="s">
        <v>516</v>
      </c>
      <c r="B65" s="63"/>
      <c r="C65" s="63"/>
      <c r="D65" s="63"/>
      <c r="E65" s="63"/>
      <c r="F65" s="63"/>
      <c r="G65" s="63"/>
      <c r="H65" s="63" t="s">
        <v>42</v>
      </c>
      <c r="I65" s="63"/>
      <c r="J65" s="63"/>
      <c r="K65" s="63"/>
      <c r="L65" s="63"/>
      <c r="M65" s="64">
        <f aca="true" t="shared" si="14" ref="M65:R65">SUM(M60,M61,M64)</f>
        <v>78035</v>
      </c>
      <c r="N65" s="64">
        <f t="shared" si="14"/>
        <v>0</v>
      </c>
      <c r="O65" s="64">
        <f t="shared" si="14"/>
        <v>0</v>
      </c>
      <c r="P65" s="64">
        <f t="shared" si="14"/>
        <v>78035</v>
      </c>
      <c r="Q65" s="64">
        <f t="shared" si="14"/>
        <v>0</v>
      </c>
      <c r="R65" s="64">
        <f t="shared" si="14"/>
        <v>78035</v>
      </c>
      <c r="S65" s="160"/>
      <c r="T65" s="62">
        <f t="shared" si="0"/>
        <v>78035</v>
      </c>
    </row>
    <row r="66" spans="1:20" ht="15">
      <c r="A66" s="58"/>
      <c r="M66" s="62"/>
      <c r="N66" s="62"/>
      <c r="O66" s="62"/>
      <c r="P66" s="62"/>
      <c r="Q66" s="62"/>
      <c r="R66" s="62"/>
      <c r="S66" s="159"/>
      <c r="T66" s="62">
        <f t="shared" si="0"/>
        <v>0</v>
      </c>
    </row>
    <row r="67" spans="1:20" ht="15">
      <c r="A67" s="129"/>
      <c r="B67" s="129"/>
      <c r="C67" s="129"/>
      <c r="D67" s="129" t="s">
        <v>387</v>
      </c>
      <c r="E67" s="129"/>
      <c r="F67" s="129"/>
      <c r="G67" s="129"/>
      <c r="H67" s="129"/>
      <c r="I67" s="129"/>
      <c r="J67" s="129" t="s">
        <v>43</v>
      </c>
      <c r="K67" s="129"/>
      <c r="L67" s="129"/>
      <c r="M67" s="130"/>
      <c r="N67" s="130"/>
      <c r="O67" s="130"/>
      <c r="P67" s="130"/>
      <c r="Q67" s="130"/>
      <c r="R67" s="130"/>
      <c r="S67" s="171"/>
      <c r="T67" s="62">
        <f t="shared" si="0"/>
        <v>0</v>
      </c>
    </row>
    <row r="68" spans="1:20" ht="15">
      <c r="A68" s="58"/>
      <c r="E68" s="59" t="s">
        <v>394</v>
      </c>
      <c r="K68" s="59" t="s">
        <v>590</v>
      </c>
      <c r="M68" s="62">
        <f aca="true" t="shared" si="15" ref="M68:R69">SUM(M10+M41+M52+M28+M60)</f>
        <v>826892</v>
      </c>
      <c r="N68" s="62">
        <f t="shared" si="15"/>
        <v>0</v>
      </c>
      <c r="O68" s="62">
        <f t="shared" si="15"/>
        <v>90899</v>
      </c>
      <c r="P68" s="62">
        <f t="shared" si="15"/>
        <v>600152</v>
      </c>
      <c r="Q68" s="62">
        <f t="shared" si="15"/>
        <v>135841</v>
      </c>
      <c r="R68" s="62">
        <f t="shared" si="15"/>
        <v>826892</v>
      </c>
      <c r="S68" s="159" t="s">
        <v>591</v>
      </c>
      <c r="T68" s="62">
        <f t="shared" si="0"/>
        <v>826892</v>
      </c>
    </row>
    <row r="69" spans="1:20" ht="15">
      <c r="A69" s="58"/>
      <c r="E69" s="59" t="s">
        <v>409</v>
      </c>
      <c r="K69" s="59" t="s">
        <v>592</v>
      </c>
      <c r="M69" s="62">
        <f t="shared" si="15"/>
        <v>153461</v>
      </c>
      <c r="N69" s="62">
        <f t="shared" si="15"/>
        <v>0</v>
      </c>
      <c r="O69" s="62">
        <f t="shared" si="15"/>
        <v>16432</v>
      </c>
      <c r="P69" s="62">
        <f t="shared" si="15"/>
        <v>113332</v>
      </c>
      <c r="Q69" s="62">
        <f t="shared" si="15"/>
        <v>23697</v>
      </c>
      <c r="R69" s="62">
        <f t="shared" si="15"/>
        <v>153461</v>
      </c>
      <c r="S69" s="159" t="s">
        <v>593</v>
      </c>
      <c r="T69" s="62">
        <f t="shared" si="0"/>
        <v>153461</v>
      </c>
    </row>
    <row r="70" spans="1:20" ht="15">
      <c r="A70" s="58"/>
      <c r="E70" s="59" t="s">
        <v>422</v>
      </c>
      <c r="K70" s="59" t="s">
        <v>594</v>
      </c>
      <c r="M70" s="62"/>
      <c r="N70" s="62"/>
      <c r="O70" s="62"/>
      <c r="P70" s="62"/>
      <c r="Q70" s="62"/>
      <c r="R70" s="62"/>
      <c r="S70" s="159" t="s">
        <v>595</v>
      </c>
      <c r="T70" s="62">
        <f t="shared" si="0"/>
        <v>0</v>
      </c>
    </row>
    <row r="71" spans="1:20" ht="15">
      <c r="A71" s="58"/>
      <c r="F71" s="59" t="s">
        <v>425</v>
      </c>
      <c r="L71" s="59" t="s">
        <v>596</v>
      </c>
      <c r="M71" s="62">
        <f aca="true" t="shared" si="16" ref="M71:R71">SUM(M13)</f>
        <v>5000</v>
      </c>
      <c r="N71" s="62">
        <f t="shared" si="16"/>
        <v>0</v>
      </c>
      <c r="O71" s="62">
        <f t="shared" si="16"/>
        <v>0</v>
      </c>
      <c r="P71" s="62">
        <f t="shared" si="16"/>
        <v>5000</v>
      </c>
      <c r="Q71" s="62">
        <f t="shared" si="16"/>
        <v>0</v>
      </c>
      <c r="R71" s="62">
        <f t="shared" si="16"/>
        <v>5000</v>
      </c>
      <c r="S71" s="159" t="s">
        <v>597</v>
      </c>
      <c r="T71" s="62">
        <f t="shared" si="0"/>
        <v>5000</v>
      </c>
    </row>
    <row r="72" spans="1:20" ht="15">
      <c r="A72" s="66"/>
      <c r="B72" s="66"/>
      <c r="C72" s="66"/>
      <c r="D72" s="66"/>
      <c r="E72" s="66"/>
      <c r="F72" s="66" t="s">
        <v>598</v>
      </c>
      <c r="G72" s="66"/>
      <c r="H72" s="66"/>
      <c r="I72" s="66"/>
      <c r="J72" s="66"/>
      <c r="K72" s="66"/>
      <c r="L72" s="66" t="s">
        <v>599</v>
      </c>
      <c r="M72" s="67">
        <f>SUM(M14,M44,M31,M55+M63)</f>
        <v>774404</v>
      </c>
      <c r="N72" s="67">
        <f>SUM(N14,N44,N31,N55+N63)</f>
        <v>0</v>
      </c>
      <c r="O72" s="67">
        <f>SUM(O14,O44,O31,O55+O63)</f>
        <v>0</v>
      </c>
      <c r="P72" s="67">
        <f>SUM(P14,P44,P31,P55+P63)</f>
        <v>402615</v>
      </c>
      <c r="Q72" s="67">
        <f>SUM(Q14,Q44,Q31,Q55+Q63)</f>
        <v>371789</v>
      </c>
      <c r="R72" s="67">
        <f>SUM(R14+R45+R56+R32+R64)</f>
        <v>774404</v>
      </c>
      <c r="S72" s="162" t="s">
        <v>595</v>
      </c>
      <c r="T72" s="62">
        <f t="shared" si="0"/>
        <v>774404</v>
      </c>
    </row>
    <row r="73" spans="1:20" ht="15">
      <c r="A73" s="129"/>
      <c r="B73" s="129"/>
      <c r="C73" s="129"/>
      <c r="D73" s="129"/>
      <c r="E73" s="129" t="s">
        <v>422</v>
      </c>
      <c r="F73" s="129"/>
      <c r="G73" s="129"/>
      <c r="H73" s="129"/>
      <c r="I73" s="129"/>
      <c r="J73" s="129"/>
      <c r="K73" s="129" t="s">
        <v>600</v>
      </c>
      <c r="L73" s="129"/>
      <c r="M73" s="130">
        <f aca="true" t="shared" si="17" ref="M73:R73">SUM(M71:M72)</f>
        <v>779404</v>
      </c>
      <c r="N73" s="130">
        <f t="shared" si="17"/>
        <v>0</v>
      </c>
      <c r="O73" s="130">
        <f t="shared" si="17"/>
        <v>0</v>
      </c>
      <c r="P73" s="130">
        <f t="shared" si="17"/>
        <v>407615</v>
      </c>
      <c r="Q73" s="130">
        <f t="shared" si="17"/>
        <v>371789</v>
      </c>
      <c r="R73" s="130">
        <f t="shared" si="17"/>
        <v>779404</v>
      </c>
      <c r="S73" s="171" t="s">
        <v>595</v>
      </c>
      <c r="T73" s="62">
        <f t="shared" si="0"/>
        <v>779404</v>
      </c>
    </row>
    <row r="74" spans="1:20" ht="15">
      <c r="A74" s="58"/>
      <c r="E74" s="59" t="s">
        <v>601</v>
      </c>
      <c r="K74" s="59" t="s">
        <v>602</v>
      </c>
      <c r="M74" s="62">
        <f aca="true" t="shared" si="18" ref="M74:R74">SUM(M16+M33)</f>
        <v>36738</v>
      </c>
      <c r="N74" s="62">
        <f t="shared" si="18"/>
        <v>0</v>
      </c>
      <c r="O74" s="62">
        <f t="shared" si="18"/>
        <v>0</v>
      </c>
      <c r="P74" s="62">
        <f t="shared" si="18"/>
        <v>36738</v>
      </c>
      <c r="Q74" s="62">
        <f t="shared" si="18"/>
        <v>0</v>
      </c>
      <c r="R74" s="62">
        <f t="shared" si="18"/>
        <v>36738</v>
      </c>
      <c r="S74" s="159" t="s">
        <v>603</v>
      </c>
      <c r="T74" s="62">
        <f t="shared" si="0"/>
        <v>36738</v>
      </c>
    </row>
    <row r="75" spans="1:20" ht="15">
      <c r="A75" s="58"/>
      <c r="E75" s="59" t="s">
        <v>604</v>
      </c>
      <c r="K75" s="59" t="s">
        <v>20</v>
      </c>
      <c r="M75" s="62"/>
      <c r="N75" s="62"/>
      <c r="O75" s="62"/>
      <c r="P75" s="62"/>
      <c r="Q75" s="62"/>
      <c r="R75" s="62"/>
      <c r="S75" s="159" t="s">
        <v>21</v>
      </c>
      <c r="T75" s="62">
        <f t="shared" si="0"/>
        <v>0</v>
      </c>
    </row>
    <row r="76" spans="1:20" ht="15">
      <c r="A76" s="58"/>
      <c r="F76" s="59" t="s">
        <v>22</v>
      </c>
      <c r="L76" s="59" t="s">
        <v>23</v>
      </c>
      <c r="M76" s="62">
        <f aca="true" t="shared" si="19" ref="M76:R76">SUM(M47,M18,M35)</f>
        <v>0</v>
      </c>
      <c r="N76" s="62">
        <f t="shared" si="19"/>
        <v>0</v>
      </c>
      <c r="O76" s="62">
        <f t="shared" si="19"/>
        <v>0</v>
      </c>
      <c r="P76" s="62">
        <f t="shared" si="19"/>
        <v>0</v>
      </c>
      <c r="Q76" s="62">
        <f t="shared" si="19"/>
        <v>0</v>
      </c>
      <c r="R76" s="62">
        <f t="shared" si="19"/>
        <v>0</v>
      </c>
      <c r="S76" s="159" t="s">
        <v>24</v>
      </c>
      <c r="T76" s="62">
        <f aca="true" t="shared" si="20" ref="T76:T161">O76+P76+Q76</f>
        <v>0</v>
      </c>
    </row>
    <row r="77" spans="1:20" ht="15">
      <c r="A77" s="58"/>
      <c r="F77" s="59" t="s">
        <v>25</v>
      </c>
      <c r="L77" s="59" t="s">
        <v>26</v>
      </c>
      <c r="M77" s="62">
        <f aca="true" t="shared" si="21" ref="M77:R77">M19</f>
        <v>0</v>
      </c>
      <c r="N77" s="62">
        <f t="shared" si="21"/>
        <v>0</v>
      </c>
      <c r="O77" s="62">
        <f t="shared" si="21"/>
        <v>0</v>
      </c>
      <c r="P77" s="62">
        <f t="shared" si="21"/>
        <v>0</v>
      </c>
      <c r="Q77" s="62">
        <f t="shared" si="21"/>
        <v>0</v>
      </c>
      <c r="R77" s="62">
        <f t="shared" si="21"/>
        <v>0</v>
      </c>
      <c r="S77" s="159" t="s">
        <v>27</v>
      </c>
      <c r="T77" s="62">
        <f t="shared" si="20"/>
        <v>0</v>
      </c>
    </row>
    <row r="78" spans="1:20" ht="15">
      <c r="A78" s="58"/>
      <c r="F78" s="59" t="s">
        <v>28</v>
      </c>
      <c r="L78" s="59" t="s">
        <v>29</v>
      </c>
      <c r="M78" s="62">
        <f aca="true" t="shared" si="22" ref="M78:R78">SUM(M20,M36)</f>
        <v>303370</v>
      </c>
      <c r="N78" s="62">
        <f t="shared" si="22"/>
        <v>0</v>
      </c>
      <c r="O78" s="62">
        <f t="shared" si="22"/>
        <v>0</v>
      </c>
      <c r="P78" s="62">
        <f t="shared" si="22"/>
        <v>303370</v>
      </c>
      <c r="Q78" s="62">
        <f t="shared" si="22"/>
        <v>0</v>
      </c>
      <c r="R78" s="62">
        <f t="shared" si="22"/>
        <v>303370</v>
      </c>
      <c r="S78" s="159" t="s">
        <v>30</v>
      </c>
      <c r="T78" s="62">
        <f t="shared" si="20"/>
        <v>303370</v>
      </c>
    </row>
    <row r="79" spans="1:20" ht="15">
      <c r="A79" s="58"/>
      <c r="F79" s="59" t="s">
        <v>31</v>
      </c>
      <c r="L79" s="59" t="s">
        <v>44</v>
      </c>
      <c r="M79" s="62">
        <f aca="true" t="shared" si="23" ref="M79:R79">SUM(M21)</f>
        <v>0</v>
      </c>
      <c r="N79" s="62">
        <f t="shared" si="23"/>
        <v>0</v>
      </c>
      <c r="O79" s="62">
        <f t="shared" si="23"/>
        <v>0</v>
      </c>
      <c r="P79" s="62">
        <f t="shared" si="23"/>
        <v>0</v>
      </c>
      <c r="Q79" s="62">
        <f t="shared" si="23"/>
        <v>0</v>
      </c>
      <c r="R79" s="62">
        <f t="shared" si="23"/>
        <v>0</v>
      </c>
      <c r="S79" s="159" t="s">
        <v>33</v>
      </c>
      <c r="T79" s="62">
        <f t="shared" si="20"/>
        <v>0</v>
      </c>
    </row>
    <row r="80" spans="1:20" ht="15">
      <c r="A80" s="58"/>
      <c r="F80" s="59" t="s">
        <v>34</v>
      </c>
      <c r="L80" s="59" t="s">
        <v>35</v>
      </c>
      <c r="M80" s="62">
        <f aca="true" t="shared" si="24" ref="M80:R80">M22</f>
        <v>440392</v>
      </c>
      <c r="N80" s="62">
        <f t="shared" si="24"/>
        <v>0</v>
      </c>
      <c r="O80" s="62">
        <f t="shared" si="24"/>
        <v>0</v>
      </c>
      <c r="P80" s="62">
        <f t="shared" si="24"/>
        <v>175780</v>
      </c>
      <c r="Q80" s="62">
        <f t="shared" si="24"/>
        <v>264612</v>
      </c>
      <c r="R80" s="62">
        <f t="shared" si="24"/>
        <v>440392</v>
      </c>
      <c r="S80" s="159" t="s">
        <v>36</v>
      </c>
      <c r="T80" s="62">
        <f t="shared" si="20"/>
        <v>440392</v>
      </c>
    </row>
    <row r="81" spans="1:20" ht="15">
      <c r="A81" s="58"/>
      <c r="F81" s="59" t="s">
        <v>37</v>
      </c>
      <c r="L81" s="59" t="s">
        <v>38</v>
      </c>
      <c r="M81" s="62">
        <f aca="true" t="shared" si="25" ref="M81:R81">SUM(M23)</f>
        <v>69031</v>
      </c>
      <c r="N81" s="62">
        <f t="shared" si="25"/>
        <v>0</v>
      </c>
      <c r="O81" s="62">
        <f t="shared" si="25"/>
        <v>0</v>
      </c>
      <c r="P81" s="62">
        <f t="shared" si="25"/>
        <v>69031</v>
      </c>
      <c r="Q81" s="62">
        <f t="shared" si="25"/>
        <v>0</v>
      </c>
      <c r="R81" s="62">
        <f t="shared" si="25"/>
        <v>69031</v>
      </c>
      <c r="S81" s="159" t="s">
        <v>39</v>
      </c>
      <c r="T81" s="62">
        <f t="shared" si="20"/>
        <v>69031</v>
      </c>
    </row>
    <row r="82" spans="1:20" ht="15">
      <c r="A82" s="129"/>
      <c r="B82" s="129"/>
      <c r="C82" s="129"/>
      <c r="D82" s="129"/>
      <c r="E82" s="129" t="s">
        <v>604</v>
      </c>
      <c r="F82" s="129"/>
      <c r="G82" s="129"/>
      <c r="H82" s="129"/>
      <c r="I82" s="129"/>
      <c r="J82" s="129"/>
      <c r="K82" s="129" t="s">
        <v>40</v>
      </c>
      <c r="L82" s="129"/>
      <c r="M82" s="130">
        <f aca="true" t="shared" si="26" ref="M82:R82">SUM(M76:M81)</f>
        <v>812793</v>
      </c>
      <c r="N82" s="130">
        <f t="shared" si="26"/>
        <v>0</v>
      </c>
      <c r="O82" s="130">
        <f t="shared" si="26"/>
        <v>0</v>
      </c>
      <c r="P82" s="130">
        <f t="shared" si="26"/>
        <v>548181</v>
      </c>
      <c r="Q82" s="130">
        <f t="shared" si="26"/>
        <v>264612</v>
      </c>
      <c r="R82" s="130">
        <f t="shared" si="26"/>
        <v>812793</v>
      </c>
      <c r="S82" s="171" t="s">
        <v>21</v>
      </c>
      <c r="T82" s="62">
        <f t="shared" si="20"/>
        <v>812793</v>
      </c>
    </row>
    <row r="83" spans="1:20" s="93" customFormat="1" ht="15">
      <c r="A83" s="63"/>
      <c r="B83" s="63"/>
      <c r="C83" s="63"/>
      <c r="D83" s="63" t="s">
        <v>387</v>
      </c>
      <c r="E83" s="63"/>
      <c r="F83" s="63"/>
      <c r="G83" s="63"/>
      <c r="H83" s="63"/>
      <c r="I83" s="63"/>
      <c r="J83" s="63" t="s">
        <v>45</v>
      </c>
      <c r="K83" s="63"/>
      <c r="L83" s="63"/>
      <c r="M83" s="64">
        <f aca="true" t="shared" si="27" ref="M83:R83">SUM(M68,M69,M73,M74,M82)</f>
        <v>2609288</v>
      </c>
      <c r="N83" s="64">
        <f t="shared" si="27"/>
        <v>0</v>
      </c>
      <c r="O83" s="64">
        <f t="shared" si="27"/>
        <v>107331</v>
      </c>
      <c r="P83" s="64">
        <f t="shared" si="27"/>
        <v>1706018</v>
      </c>
      <c r="Q83" s="64">
        <f t="shared" si="27"/>
        <v>795939</v>
      </c>
      <c r="R83" s="64">
        <f t="shared" si="27"/>
        <v>2609288</v>
      </c>
      <c r="S83" s="160"/>
      <c r="T83" s="62">
        <f t="shared" si="20"/>
        <v>2609288</v>
      </c>
    </row>
    <row r="84" spans="1:19" ht="15">
      <c r="A84" s="58"/>
      <c r="S84" s="159"/>
    </row>
    <row r="85" spans="1:19" ht="15">
      <c r="A85" s="365" t="s">
        <v>750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</row>
    <row r="86" spans="1:19" ht="15">
      <c r="A86" s="58"/>
      <c r="S86" s="159"/>
    </row>
    <row r="87" spans="1:19" ht="15">
      <c r="A87" s="58"/>
      <c r="Q87" s="367" t="s">
        <v>352</v>
      </c>
      <c r="R87" s="367"/>
      <c r="S87" s="367"/>
    </row>
    <row r="88" spans="1:20" s="158" customFormat="1" ht="95.25">
      <c r="A88" s="127" t="s">
        <v>353</v>
      </c>
      <c r="B88" s="127" t="s">
        <v>354</v>
      </c>
      <c r="C88" s="127" t="s">
        <v>355</v>
      </c>
      <c r="D88" s="127" t="s">
        <v>356</v>
      </c>
      <c r="E88" s="127" t="s">
        <v>357</v>
      </c>
      <c r="F88" s="127" t="s">
        <v>358</v>
      </c>
      <c r="G88" s="127" t="s">
        <v>359</v>
      </c>
      <c r="H88" s="127" t="s">
        <v>360</v>
      </c>
      <c r="I88" s="127" t="s">
        <v>361</v>
      </c>
      <c r="J88" s="127" t="s">
        <v>362</v>
      </c>
      <c r="K88" s="127" t="s">
        <v>363</v>
      </c>
      <c r="L88" s="128" t="s">
        <v>364</v>
      </c>
      <c r="M88" s="128" t="s">
        <v>740</v>
      </c>
      <c r="N88" s="219" t="s">
        <v>520</v>
      </c>
      <c r="O88" s="219" t="s">
        <v>365</v>
      </c>
      <c r="P88" s="219" t="s">
        <v>366</v>
      </c>
      <c r="Q88" s="219" t="s">
        <v>367</v>
      </c>
      <c r="R88" s="219" t="s">
        <v>502</v>
      </c>
      <c r="S88" s="128" t="s">
        <v>368</v>
      </c>
      <c r="T88" s="62"/>
    </row>
    <row r="89" spans="1:20" s="158" customFormat="1" ht="15">
      <c r="A89" s="61" t="s">
        <v>369</v>
      </c>
      <c r="B89" s="61" t="s">
        <v>370</v>
      </c>
      <c r="C89" s="61" t="s">
        <v>371</v>
      </c>
      <c r="D89" s="61" t="s">
        <v>372</v>
      </c>
      <c r="E89" s="61" t="s">
        <v>373</v>
      </c>
      <c r="F89" s="61" t="s">
        <v>374</v>
      </c>
      <c r="G89" s="61" t="s">
        <v>375</v>
      </c>
      <c r="H89" s="61" t="s">
        <v>376</v>
      </c>
      <c r="I89" s="61" t="s">
        <v>377</v>
      </c>
      <c r="J89" s="61" t="s">
        <v>378</v>
      </c>
      <c r="K89" s="61" t="s">
        <v>379</v>
      </c>
      <c r="L89" s="61" t="s">
        <v>380</v>
      </c>
      <c r="M89" s="165" t="s">
        <v>381</v>
      </c>
      <c r="N89" s="165" t="s">
        <v>519</v>
      </c>
      <c r="O89" s="166" t="s">
        <v>382</v>
      </c>
      <c r="P89" s="166" t="s">
        <v>383</v>
      </c>
      <c r="Q89" s="166" t="s">
        <v>384</v>
      </c>
      <c r="R89" s="166" t="s">
        <v>385</v>
      </c>
      <c r="S89" s="61" t="s">
        <v>386</v>
      </c>
      <c r="T89" s="62"/>
    </row>
    <row r="90" spans="1:19" ht="15">
      <c r="A90" s="58"/>
      <c r="D90" s="59" t="s">
        <v>427</v>
      </c>
      <c r="J90" s="59" t="s">
        <v>47</v>
      </c>
      <c r="S90" s="159"/>
    </row>
    <row r="91" spans="1:20" s="93" customFormat="1" ht="15">
      <c r="A91" s="63"/>
      <c r="B91" s="63"/>
      <c r="C91" s="63"/>
      <c r="D91" s="63"/>
      <c r="E91" s="63" t="s">
        <v>452</v>
      </c>
      <c r="F91" s="63"/>
      <c r="G91" s="63"/>
      <c r="H91" s="63"/>
      <c r="I91" s="63"/>
      <c r="J91" s="63"/>
      <c r="K91" s="63" t="s">
        <v>48</v>
      </c>
      <c r="L91" s="63"/>
      <c r="M91" s="64">
        <v>544584</v>
      </c>
      <c r="N91" s="64"/>
      <c r="O91" s="64">
        <v>0</v>
      </c>
      <c r="P91" s="64">
        <v>544584</v>
      </c>
      <c r="Q91" s="64">
        <v>0</v>
      </c>
      <c r="R91" s="64">
        <f>M91+N91</f>
        <v>544584</v>
      </c>
      <c r="S91" s="160" t="s">
        <v>39</v>
      </c>
      <c r="T91" s="62">
        <f t="shared" si="20"/>
        <v>544584</v>
      </c>
    </row>
    <row r="92" spans="1:20" ht="15">
      <c r="A92" s="58"/>
      <c r="E92" s="59" t="s">
        <v>455</v>
      </c>
      <c r="K92" s="59" t="s">
        <v>49</v>
      </c>
      <c r="M92" s="62"/>
      <c r="N92" s="62"/>
      <c r="O92" s="62"/>
      <c r="P92" s="62"/>
      <c r="Q92" s="62"/>
      <c r="R92" s="62"/>
      <c r="S92" s="159" t="s">
        <v>50</v>
      </c>
      <c r="T92" s="62">
        <f t="shared" si="20"/>
        <v>0</v>
      </c>
    </row>
    <row r="93" spans="1:20" ht="15">
      <c r="A93" s="58"/>
      <c r="L93" s="59" t="s">
        <v>558</v>
      </c>
      <c r="M93" s="62">
        <v>1853</v>
      </c>
      <c r="N93" s="62">
        <v>0</v>
      </c>
      <c r="O93" s="62">
        <v>0</v>
      </c>
      <c r="P93" s="62">
        <v>0</v>
      </c>
      <c r="Q93" s="62">
        <v>1853</v>
      </c>
      <c r="R93" s="62">
        <f aca="true" t="shared" si="28" ref="R93:R115">M93+N93</f>
        <v>1853</v>
      </c>
      <c r="S93" s="159" t="s">
        <v>50</v>
      </c>
      <c r="T93" s="62">
        <f t="shared" si="20"/>
        <v>1853</v>
      </c>
    </row>
    <row r="94" spans="1:20" ht="15">
      <c r="A94" s="58"/>
      <c r="L94" s="59" t="s">
        <v>557</v>
      </c>
      <c r="M94" s="62">
        <v>91388</v>
      </c>
      <c r="N94" s="62">
        <v>0</v>
      </c>
      <c r="O94" s="62">
        <v>0</v>
      </c>
      <c r="P94" s="62">
        <v>0</v>
      </c>
      <c r="Q94" s="62">
        <v>91388</v>
      </c>
      <c r="R94" s="62">
        <f t="shared" si="28"/>
        <v>91388</v>
      </c>
      <c r="S94" s="159" t="s">
        <v>50</v>
      </c>
      <c r="T94" s="62">
        <f t="shared" si="20"/>
        <v>91388</v>
      </c>
    </row>
    <row r="95" spans="1:20" ht="15">
      <c r="A95" s="58"/>
      <c r="L95" s="58" t="s">
        <v>103</v>
      </c>
      <c r="M95" s="124">
        <v>0</v>
      </c>
      <c r="N95" s="62">
        <v>0</v>
      </c>
      <c r="O95" s="62">
        <v>0</v>
      </c>
      <c r="P95" s="62">
        <v>0</v>
      </c>
      <c r="Q95" s="62">
        <v>0</v>
      </c>
      <c r="R95" s="62">
        <f t="shared" si="28"/>
        <v>0</v>
      </c>
      <c r="S95" s="159" t="s">
        <v>50</v>
      </c>
      <c r="T95" s="62">
        <f t="shared" si="20"/>
        <v>0</v>
      </c>
    </row>
    <row r="96" spans="1:20" ht="15">
      <c r="A96" s="58"/>
      <c r="L96" s="89" t="s">
        <v>8</v>
      </c>
      <c r="M96" s="123">
        <v>30649</v>
      </c>
      <c r="N96" s="62">
        <v>0</v>
      </c>
      <c r="O96" s="62">
        <v>0</v>
      </c>
      <c r="P96" s="62">
        <v>0</v>
      </c>
      <c r="Q96" s="62">
        <v>30649</v>
      </c>
      <c r="R96" s="62">
        <f t="shared" si="28"/>
        <v>30649</v>
      </c>
      <c r="S96" s="159" t="s">
        <v>50</v>
      </c>
      <c r="T96" s="62">
        <f t="shared" si="20"/>
        <v>30649</v>
      </c>
    </row>
    <row r="97" spans="1:20" ht="15">
      <c r="A97" s="58"/>
      <c r="L97" s="89" t="s">
        <v>9</v>
      </c>
      <c r="M97" s="123">
        <v>57952</v>
      </c>
      <c r="N97" s="62"/>
      <c r="O97" s="62">
        <v>0</v>
      </c>
      <c r="P97" s="62">
        <v>0</v>
      </c>
      <c r="Q97" s="62">
        <v>57952</v>
      </c>
      <c r="R97" s="62">
        <f t="shared" si="28"/>
        <v>57952</v>
      </c>
      <c r="S97" s="159" t="s">
        <v>50</v>
      </c>
      <c r="T97" s="62">
        <f t="shared" si="20"/>
        <v>57952</v>
      </c>
    </row>
    <row r="98" spans="1:20" ht="15">
      <c r="A98" s="58"/>
      <c r="L98" s="89" t="s">
        <v>625</v>
      </c>
      <c r="M98" s="123">
        <v>206755</v>
      </c>
      <c r="N98" s="62">
        <v>0</v>
      </c>
      <c r="O98" s="62">
        <v>0</v>
      </c>
      <c r="P98" s="62">
        <v>0</v>
      </c>
      <c r="Q98" s="62">
        <v>206755</v>
      </c>
      <c r="R98" s="62">
        <f t="shared" si="28"/>
        <v>206755</v>
      </c>
      <c r="S98" s="159" t="s">
        <v>50</v>
      </c>
      <c r="T98" s="62">
        <f t="shared" si="20"/>
        <v>206755</v>
      </c>
    </row>
    <row r="99" spans="1:19" ht="15" customHeight="1">
      <c r="A99" s="58"/>
      <c r="L99" s="89" t="s">
        <v>628</v>
      </c>
      <c r="M99" s="123">
        <v>0</v>
      </c>
      <c r="N99" s="62">
        <v>0</v>
      </c>
      <c r="O99" s="62">
        <v>0</v>
      </c>
      <c r="P99" s="62">
        <v>0</v>
      </c>
      <c r="Q99" s="62">
        <v>0</v>
      </c>
      <c r="R99" s="62">
        <f t="shared" si="28"/>
        <v>0</v>
      </c>
      <c r="S99" s="159" t="s">
        <v>50</v>
      </c>
    </row>
    <row r="100" spans="1:20" ht="15">
      <c r="A100" s="58"/>
      <c r="L100" s="59" t="s">
        <v>219</v>
      </c>
      <c r="M100" s="123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f t="shared" si="28"/>
        <v>0</v>
      </c>
      <c r="S100" s="159" t="s">
        <v>50</v>
      </c>
      <c r="T100" s="62">
        <f t="shared" si="20"/>
        <v>0</v>
      </c>
    </row>
    <row r="101" spans="1:20" ht="15">
      <c r="A101" s="58"/>
      <c r="L101" s="122" t="s">
        <v>218</v>
      </c>
      <c r="M101" s="123">
        <v>7001</v>
      </c>
      <c r="N101" s="62">
        <v>0</v>
      </c>
      <c r="O101" s="62">
        <v>0</v>
      </c>
      <c r="P101" s="62">
        <v>0</v>
      </c>
      <c r="Q101" s="62">
        <v>7001</v>
      </c>
      <c r="R101" s="62">
        <f t="shared" si="28"/>
        <v>7001</v>
      </c>
      <c r="S101" s="159" t="s">
        <v>50</v>
      </c>
      <c r="T101" s="62">
        <f t="shared" si="20"/>
        <v>7001</v>
      </c>
    </row>
    <row r="102" spans="1:19" ht="15">
      <c r="A102" s="58"/>
      <c r="L102" s="89" t="s">
        <v>7</v>
      </c>
      <c r="M102" s="123">
        <v>0</v>
      </c>
      <c r="N102" s="123">
        <v>0</v>
      </c>
      <c r="O102" s="62">
        <v>0</v>
      </c>
      <c r="P102" s="62">
        <v>0</v>
      </c>
      <c r="Q102" s="62">
        <v>0</v>
      </c>
      <c r="R102" s="62">
        <f t="shared" si="28"/>
        <v>0</v>
      </c>
      <c r="S102" s="159" t="s">
        <v>50</v>
      </c>
    </row>
    <row r="103" spans="1:19" ht="15">
      <c r="A103" s="58"/>
      <c r="L103" s="89" t="s">
        <v>635</v>
      </c>
      <c r="M103" s="123">
        <v>20348</v>
      </c>
      <c r="N103" s="123"/>
      <c r="O103" s="62">
        <v>0</v>
      </c>
      <c r="P103" s="62">
        <v>0</v>
      </c>
      <c r="Q103" s="62">
        <v>20348</v>
      </c>
      <c r="R103" s="62">
        <f t="shared" si="28"/>
        <v>20348</v>
      </c>
      <c r="S103" s="159" t="s">
        <v>50</v>
      </c>
    </row>
    <row r="104" spans="1:19" ht="15">
      <c r="A104" s="58"/>
      <c r="L104" s="89" t="s">
        <v>735</v>
      </c>
      <c r="M104" s="123">
        <v>255697</v>
      </c>
      <c r="N104" s="123"/>
      <c r="O104" s="62">
        <v>0</v>
      </c>
      <c r="P104" s="62">
        <v>0</v>
      </c>
      <c r="Q104" s="62">
        <v>255697</v>
      </c>
      <c r="R104" s="62">
        <f t="shared" si="28"/>
        <v>255697</v>
      </c>
      <c r="S104" s="159" t="s">
        <v>50</v>
      </c>
    </row>
    <row r="105" spans="1:19" ht="15">
      <c r="A105" s="58"/>
      <c r="L105" s="89" t="s">
        <v>624</v>
      </c>
      <c r="M105" s="123">
        <v>0</v>
      </c>
      <c r="N105" s="123">
        <v>0</v>
      </c>
      <c r="O105" s="62">
        <v>0</v>
      </c>
      <c r="P105" s="62">
        <v>0</v>
      </c>
      <c r="Q105" s="62">
        <v>0</v>
      </c>
      <c r="R105" s="62">
        <f t="shared" si="28"/>
        <v>0</v>
      </c>
      <c r="S105" s="159" t="s">
        <v>50</v>
      </c>
    </row>
    <row r="106" spans="1:19" ht="15">
      <c r="A106" s="58"/>
      <c r="L106" s="58" t="s">
        <v>736</v>
      </c>
      <c r="M106" s="123">
        <v>0</v>
      </c>
      <c r="N106" s="123"/>
      <c r="O106" s="62">
        <v>0</v>
      </c>
      <c r="P106" s="62">
        <v>0</v>
      </c>
      <c r="Q106" s="62">
        <v>0</v>
      </c>
      <c r="R106" s="62">
        <f t="shared" si="28"/>
        <v>0</v>
      </c>
      <c r="S106" s="159" t="s">
        <v>50</v>
      </c>
    </row>
    <row r="107" spans="1:19" ht="15">
      <c r="A107" s="58"/>
      <c r="L107" s="58" t="s">
        <v>784</v>
      </c>
      <c r="M107" s="123">
        <v>35049</v>
      </c>
      <c r="N107" s="123"/>
      <c r="O107" s="62">
        <v>0</v>
      </c>
      <c r="P107" s="62">
        <v>0</v>
      </c>
      <c r="Q107" s="62">
        <v>35049</v>
      </c>
      <c r="R107" s="62">
        <f t="shared" si="28"/>
        <v>35049</v>
      </c>
      <c r="S107" s="159" t="s">
        <v>50</v>
      </c>
    </row>
    <row r="108" spans="1:20" ht="15">
      <c r="A108" s="58"/>
      <c r="L108" s="59" t="s">
        <v>51</v>
      </c>
      <c r="M108" s="62"/>
      <c r="N108" s="62">
        <v>0</v>
      </c>
      <c r="O108" s="62">
        <v>0</v>
      </c>
      <c r="P108" s="62">
        <v>0</v>
      </c>
      <c r="Q108" s="62">
        <v>0</v>
      </c>
      <c r="R108" s="62">
        <f t="shared" si="28"/>
        <v>0</v>
      </c>
      <c r="S108" s="159" t="s">
        <v>50</v>
      </c>
      <c r="T108" s="62">
        <f t="shared" si="20"/>
        <v>0</v>
      </c>
    </row>
    <row r="109" spans="1:20" ht="15">
      <c r="A109" s="58"/>
      <c r="L109" s="59" t="s">
        <v>52</v>
      </c>
      <c r="M109" s="62">
        <v>0</v>
      </c>
      <c r="N109" s="62"/>
      <c r="O109" s="62">
        <v>0</v>
      </c>
      <c r="P109" s="62">
        <v>0</v>
      </c>
      <c r="Q109" s="62">
        <v>0</v>
      </c>
      <c r="R109" s="62">
        <f t="shared" si="28"/>
        <v>0</v>
      </c>
      <c r="S109" s="159" t="s">
        <v>50</v>
      </c>
      <c r="T109" s="62">
        <f t="shared" si="20"/>
        <v>0</v>
      </c>
    </row>
    <row r="110" spans="1:20" ht="15">
      <c r="A110" s="58"/>
      <c r="L110" s="59" t="s">
        <v>53</v>
      </c>
      <c r="M110" s="62">
        <v>0</v>
      </c>
      <c r="N110" s="62"/>
      <c r="O110" s="62">
        <v>0</v>
      </c>
      <c r="P110" s="62">
        <v>0</v>
      </c>
      <c r="Q110" s="62">
        <v>0</v>
      </c>
      <c r="R110" s="62">
        <f t="shared" si="28"/>
        <v>0</v>
      </c>
      <c r="S110" s="159" t="s">
        <v>50</v>
      </c>
      <c r="T110" s="62">
        <f t="shared" si="20"/>
        <v>0</v>
      </c>
    </row>
    <row r="111" spans="1:19" ht="15">
      <c r="A111" s="58"/>
      <c r="L111" s="59" t="s">
        <v>737</v>
      </c>
      <c r="M111" s="62">
        <v>0</v>
      </c>
      <c r="N111" s="62"/>
      <c r="O111" s="62">
        <v>0</v>
      </c>
      <c r="P111" s="62">
        <v>0</v>
      </c>
      <c r="Q111" s="62">
        <v>0</v>
      </c>
      <c r="R111" s="62">
        <f t="shared" si="28"/>
        <v>0</v>
      </c>
      <c r="S111" s="159" t="s">
        <v>50</v>
      </c>
    </row>
    <row r="112" spans="1:19" ht="15">
      <c r="A112" s="58"/>
      <c r="L112" s="59" t="s">
        <v>751</v>
      </c>
      <c r="M112" s="62">
        <v>0</v>
      </c>
      <c r="N112" s="62"/>
      <c r="O112" s="62">
        <v>0</v>
      </c>
      <c r="P112" s="62">
        <v>0</v>
      </c>
      <c r="Q112" s="62">
        <v>0</v>
      </c>
      <c r="R112" s="62">
        <f t="shared" si="28"/>
        <v>0</v>
      </c>
      <c r="S112" s="159" t="s">
        <v>50</v>
      </c>
    </row>
    <row r="113" spans="1:19" ht="15">
      <c r="A113" s="58"/>
      <c r="L113" s="59" t="s">
        <v>752</v>
      </c>
      <c r="M113" s="62">
        <v>0</v>
      </c>
      <c r="N113" s="62"/>
      <c r="O113" s="62">
        <v>0</v>
      </c>
      <c r="P113" s="62">
        <v>0</v>
      </c>
      <c r="Q113" s="62">
        <v>0</v>
      </c>
      <c r="R113" s="62">
        <f t="shared" si="28"/>
        <v>0</v>
      </c>
      <c r="S113" s="159" t="s">
        <v>50</v>
      </c>
    </row>
    <row r="114" spans="1:19" ht="15">
      <c r="A114" s="58"/>
      <c r="L114" s="59" t="s">
        <v>632</v>
      </c>
      <c r="M114" s="62">
        <v>0</v>
      </c>
      <c r="N114" s="62"/>
      <c r="O114" s="62">
        <v>0</v>
      </c>
      <c r="P114" s="62">
        <v>0</v>
      </c>
      <c r="Q114" s="62">
        <v>0</v>
      </c>
      <c r="R114" s="62">
        <f t="shared" si="28"/>
        <v>0</v>
      </c>
      <c r="S114" s="159" t="s">
        <v>50</v>
      </c>
    </row>
    <row r="115" spans="1:20" ht="15">
      <c r="A115" s="58"/>
      <c r="L115" s="59" t="s">
        <v>54</v>
      </c>
      <c r="M115" s="62">
        <v>13970</v>
      </c>
      <c r="N115" s="62"/>
      <c r="O115" s="62">
        <v>0</v>
      </c>
      <c r="P115" s="62">
        <v>0</v>
      </c>
      <c r="Q115" s="62">
        <v>13970</v>
      </c>
      <c r="R115" s="62">
        <f t="shared" si="28"/>
        <v>13970</v>
      </c>
      <c r="S115" s="159" t="s">
        <v>50</v>
      </c>
      <c r="T115" s="62">
        <f t="shared" si="20"/>
        <v>13970</v>
      </c>
    </row>
    <row r="116" spans="1:20" s="93" customFormat="1" ht="15">
      <c r="A116" s="63"/>
      <c r="B116" s="63"/>
      <c r="C116" s="63"/>
      <c r="D116" s="63"/>
      <c r="E116" s="63" t="s">
        <v>455</v>
      </c>
      <c r="F116" s="63"/>
      <c r="G116" s="63"/>
      <c r="H116" s="63"/>
      <c r="I116" s="63"/>
      <c r="J116" s="63"/>
      <c r="K116" s="63" t="s">
        <v>55</v>
      </c>
      <c r="L116" s="63"/>
      <c r="M116" s="64">
        <f aca="true" t="shared" si="29" ref="M116:R116">SUM(M93:M115)</f>
        <v>720662</v>
      </c>
      <c r="N116" s="64">
        <f t="shared" si="29"/>
        <v>0</v>
      </c>
      <c r="O116" s="64">
        <f t="shared" si="29"/>
        <v>0</v>
      </c>
      <c r="P116" s="64">
        <f t="shared" si="29"/>
        <v>0</v>
      </c>
      <c r="Q116" s="64">
        <f t="shared" si="29"/>
        <v>720662</v>
      </c>
      <c r="R116" s="64">
        <f t="shared" si="29"/>
        <v>720662</v>
      </c>
      <c r="S116" s="160" t="s">
        <v>50</v>
      </c>
      <c r="T116" s="62">
        <f t="shared" si="20"/>
        <v>720662</v>
      </c>
    </row>
    <row r="117" spans="1:20" ht="15">
      <c r="A117" s="58"/>
      <c r="E117" s="59" t="s">
        <v>458</v>
      </c>
      <c r="K117" s="59" t="s">
        <v>56</v>
      </c>
      <c r="M117" s="62"/>
      <c r="N117" s="62"/>
      <c r="O117" s="62"/>
      <c r="P117" s="62"/>
      <c r="Q117" s="62"/>
      <c r="R117" s="62"/>
      <c r="S117" s="159"/>
      <c r="T117" s="62">
        <f t="shared" si="20"/>
        <v>0</v>
      </c>
    </row>
    <row r="118" spans="1:20" ht="15">
      <c r="A118" s="58"/>
      <c r="L118" s="59" t="s">
        <v>51</v>
      </c>
      <c r="M118" s="62">
        <v>72162</v>
      </c>
      <c r="N118" s="62"/>
      <c r="O118" s="62">
        <v>0</v>
      </c>
      <c r="P118" s="62">
        <v>72162</v>
      </c>
      <c r="Q118" s="62">
        <v>0</v>
      </c>
      <c r="R118" s="62">
        <f>M118+N118</f>
        <v>72162</v>
      </c>
      <c r="S118" s="159" t="s">
        <v>57</v>
      </c>
      <c r="T118" s="62">
        <f t="shared" si="20"/>
        <v>72162</v>
      </c>
    </row>
    <row r="119" spans="1:20" ht="15">
      <c r="A119" s="58"/>
      <c r="L119" s="59" t="s">
        <v>557</v>
      </c>
      <c r="M119" s="62">
        <v>0</v>
      </c>
      <c r="N119" s="62"/>
      <c r="O119" s="62">
        <v>0</v>
      </c>
      <c r="P119" s="62">
        <v>0</v>
      </c>
      <c r="Q119" s="62">
        <v>0</v>
      </c>
      <c r="R119" s="62">
        <f aca="true" t="shared" si="30" ref="R119:R131">M119+N119</f>
        <v>0</v>
      </c>
      <c r="S119" s="159" t="s">
        <v>57</v>
      </c>
      <c r="T119" s="62">
        <f t="shared" si="20"/>
        <v>0</v>
      </c>
    </row>
    <row r="120" spans="1:20" ht="15">
      <c r="A120" s="58"/>
      <c r="L120" s="59" t="s">
        <v>559</v>
      </c>
      <c r="M120" s="62">
        <v>75795</v>
      </c>
      <c r="N120" s="62"/>
      <c r="O120" s="62">
        <v>0</v>
      </c>
      <c r="P120" s="62">
        <v>0</v>
      </c>
      <c r="Q120" s="62">
        <v>75795</v>
      </c>
      <c r="R120" s="62">
        <f t="shared" si="30"/>
        <v>75795</v>
      </c>
      <c r="S120" s="159" t="s">
        <v>57</v>
      </c>
      <c r="T120" s="62">
        <f t="shared" si="20"/>
        <v>75795</v>
      </c>
    </row>
    <row r="121" spans="1:20" ht="15">
      <c r="A121" s="58"/>
      <c r="L121" s="89" t="s">
        <v>8</v>
      </c>
      <c r="M121" s="62">
        <v>44565</v>
      </c>
      <c r="N121" s="62"/>
      <c r="O121" s="62">
        <v>0</v>
      </c>
      <c r="P121" s="62">
        <v>0</v>
      </c>
      <c r="Q121" s="62">
        <v>44565</v>
      </c>
      <c r="R121" s="62">
        <f t="shared" si="30"/>
        <v>44565</v>
      </c>
      <c r="S121" s="159" t="s">
        <v>57</v>
      </c>
      <c r="T121" s="62">
        <f t="shared" si="20"/>
        <v>44565</v>
      </c>
    </row>
    <row r="122" spans="1:20" ht="15">
      <c r="A122" s="58"/>
      <c r="L122" s="89" t="s">
        <v>625</v>
      </c>
      <c r="M122" s="62">
        <v>120406</v>
      </c>
      <c r="N122" s="62"/>
      <c r="O122" s="62">
        <v>0</v>
      </c>
      <c r="P122" s="62">
        <v>0</v>
      </c>
      <c r="Q122" s="62">
        <v>120406</v>
      </c>
      <c r="R122" s="62">
        <f t="shared" si="30"/>
        <v>120406</v>
      </c>
      <c r="S122" s="159" t="s">
        <v>57</v>
      </c>
      <c r="T122" s="62">
        <f t="shared" si="20"/>
        <v>120406</v>
      </c>
    </row>
    <row r="123" spans="1:20" ht="15">
      <c r="A123" s="58"/>
      <c r="L123" s="89" t="s">
        <v>820</v>
      </c>
      <c r="M123" s="62">
        <v>50000</v>
      </c>
      <c r="N123" s="62"/>
      <c r="O123" s="62">
        <v>0</v>
      </c>
      <c r="P123" s="62">
        <v>0</v>
      </c>
      <c r="Q123" s="62">
        <v>50000</v>
      </c>
      <c r="R123" s="62">
        <f t="shared" si="30"/>
        <v>50000</v>
      </c>
      <c r="S123" s="159" t="s">
        <v>57</v>
      </c>
      <c r="T123" s="62">
        <f t="shared" si="20"/>
        <v>50000</v>
      </c>
    </row>
    <row r="124" spans="1:20" ht="15">
      <c r="A124" s="58"/>
      <c r="L124" s="59" t="s">
        <v>219</v>
      </c>
      <c r="M124" s="62">
        <v>0</v>
      </c>
      <c r="N124" s="62"/>
      <c r="O124" s="62">
        <v>0</v>
      </c>
      <c r="P124" s="62">
        <v>0</v>
      </c>
      <c r="Q124" s="62">
        <v>0</v>
      </c>
      <c r="R124" s="62">
        <f t="shared" si="30"/>
        <v>0</v>
      </c>
      <c r="S124" s="159" t="s">
        <v>57</v>
      </c>
      <c r="T124" s="62">
        <f t="shared" si="20"/>
        <v>0</v>
      </c>
    </row>
    <row r="125" spans="1:20" ht="15">
      <c r="A125" s="58"/>
      <c r="L125" s="122" t="s">
        <v>218</v>
      </c>
      <c r="M125" s="62">
        <v>7205</v>
      </c>
      <c r="N125" s="62"/>
      <c r="O125" s="62">
        <v>0</v>
      </c>
      <c r="P125" s="62">
        <v>0</v>
      </c>
      <c r="Q125" s="62">
        <v>7205</v>
      </c>
      <c r="R125" s="62">
        <f t="shared" si="30"/>
        <v>7205</v>
      </c>
      <c r="S125" s="159" t="s">
        <v>57</v>
      </c>
      <c r="T125" s="62">
        <f t="shared" si="20"/>
        <v>7205</v>
      </c>
    </row>
    <row r="126" spans="1:20" ht="15">
      <c r="A126" s="58"/>
      <c r="L126" s="89" t="s">
        <v>624</v>
      </c>
      <c r="M126" s="62">
        <v>0</v>
      </c>
      <c r="N126" s="62"/>
      <c r="O126" s="62">
        <v>0</v>
      </c>
      <c r="P126" s="62">
        <v>0</v>
      </c>
      <c r="Q126" s="62">
        <v>0</v>
      </c>
      <c r="R126" s="62">
        <f t="shared" si="30"/>
        <v>0</v>
      </c>
      <c r="S126" s="159" t="s">
        <v>57</v>
      </c>
      <c r="T126" s="62">
        <f t="shared" si="20"/>
        <v>0</v>
      </c>
    </row>
    <row r="127" spans="1:20" ht="15">
      <c r="A127" s="58"/>
      <c r="L127" s="89" t="s">
        <v>735</v>
      </c>
      <c r="M127" s="62">
        <v>256759</v>
      </c>
      <c r="N127" s="62"/>
      <c r="O127" s="62">
        <v>0</v>
      </c>
      <c r="P127" s="62">
        <v>0</v>
      </c>
      <c r="Q127" s="62">
        <v>256759</v>
      </c>
      <c r="R127" s="62">
        <f t="shared" si="30"/>
        <v>256759</v>
      </c>
      <c r="S127" s="159" t="s">
        <v>57</v>
      </c>
      <c r="T127" s="62">
        <f t="shared" si="20"/>
        <v>256759</v>
      </c>
    </row>
    <row r="128" spans="1:20" ht="15">
      <c r="A128" s="58"/>
      <c r="L128" s="89" t="s">
        <v>785</v>
      </c>
      <c r="M128" s="62">
        <v>46150</v>
      </c>
      <c r="N128" s="62"/>
      <c r="O128" s="62">
        <v>0</v>
      </c>
      <c r="P128" s="62">
        <v>0</v>
      </c>
      <c r="Q128" s="62">
        <v>46150</v>
      </c>
      <c r="R128" s="62">
        <f t="shared" si="30"/>
        <v>46150</v>
      </c>
      <c r="S128" s="159" t="s">
        <v>57</v>
      </c>
      <c r="T128" s="62">
        <f t="shared" si="20"/>
        <v>46150</v>
      </c>
    </row>
    <row r="129" spans="1:20" ht="15">
      <c r="A129" s="58"/>
      <c r="L129" s="89" t="s">
        <v>753</v>
      </c>
      <c r="M129" s="62">
        <v>0</v>
      </c>
      <c r="N129" s="62"/>
      <c r="O129" s="62">
        <v>0</v>
      </c>
      <c r="P129" s="62">
        <v>0</v>
      </c>
      <c r="Q129" s="62">
        <v>0</v>
      </c>
      <c r="R129" s="62">
        <f>M129+N129</f>
        <v>0</v>
      </c>
      <c r="S129" s="159" t="s">
        <v>57</v>
      </c>
      <c r="T129" s="62">
        <f t="shared" si="20"/>
        <v>0</v>
      </c>
    </row>
    <row r="130" spans="1:19" ht="15">
      <c r="A130" s="58"/>
      <c r="L130" s="59" t="s">
        <v>627</v>
      </c>
      <c r="M130" s="62">
        <v>0</v>
      </c>
      <c r="N130" s="62"/>
      <c r="O130" s="62">
        <v>0</v>
      </c>
      <c r="P130" s="62">
        <v>0</v>
      </c>
      <c r="Q130" s="62">
        <v>0</v>
      </c>
      <c r="R130" s="62">
        <f t="shared" si="30"/>
        <v>0</v>
      </c>
      <c r="S130" s="159" t="s">
        <v>57</v>
      </c>
    </row>
    <row r="131" spans="1:20" ht="15">
      <c r="A131" s="58"/>
      <c r="L131" s="59" t="s">
        <v>58</v>
      </c>
      <c r="M131" s="62">
        <v>0</v>
      </c>
      <c r="N131" s="62"/>
      <c r="O131" s="62">
        <v>0</v>
      </c>
      <c r="P131" s="62">
        <v>0</v>
      </c>
      <c r="Q131" s="62">
        <v>0</v>
      </c>
      <c r="R131" s="62">
        <f t="shared" si="30"/>
        <v>0</v>
      </c>
      <c r="S131" s="159" t="s">
        <v>57</v>
      </c>
      <c r="T131" s="62">
        <f t="shared" si="20"/>
        <v>0</v>
      </c>
    </row>
    <row r="132" spans="1:20" s="93" customFormat="1" ht="15">
      <c r="A132" s="63"/>
      <c r="B132" s="63"/>
      <c r="C132" s="63"/>
      <c r="D132" s="63"/>
      <c r="E132" s="63" t="s">
        <v>458</v>
      </c>
      <c r="F132" s="63"/>
      <c r="G132" s="63"/>
      <c r="H132" s="63"/>
      <c r="I132" s="63"/>
      <c r="J132" s="63"/>
      <c r="K132" s="63" t="s">
        <v>59</v>
      </c>
      <c r="L132" s="63"/>
      <c r="M132" s="64">
        <f aca="true" t="shared" si="31" ref="M132:R132">SUM(M118:M131)</f>
        <v>673042</v>
      </c>
      <c r="N132" s="64">
        <f t="shared" si="31"/>
        <v>0</v>
      </c>
      <c r="O132" s="64">
        <f t="shared" si="31"/>
        <v>0</v>
      </c>
      <c r="P132" s="64">
        <f t="shared" si="31"/>
        <v>72162</v>
      </c>
      <c r="Q132" s="64">
        <f t="shared" si="31"/>
        <v>600880</v>
      </c>
      <c r="R132" s="64">
        <f t="shared" si="31"/>
        <v>673042</v>
      </c>
      <c r="S132" s="160" t="s">
        <v>57</v>
      </c>
      <c r="T132" s="62">
        <f t="shared" si="20"/>
        <v>673042</v>
      </c>
    </row>
    <row r="133" spans="1:20" ht="15">
      <c r="A133" s="58"/>
      <c r="E133" s="59" t="s">
        <v>461</v>
      </c>
      <c r="K133" s="59" t="s">
        <v>60</v>
      </c>
      <c r="M133" s="62"/>
      <c r="N133" s="62"/>
      <c r="O133" s="62"/>
      <c r="P133" s="62"/>
      <c r="Q133" s="62"/>
      <c r="R133" s="62"/>
      <c r="S133" s="159"/>
      <c r="T133" s="62">
        <f t="shared" si="20"/>
        <v>0</v>
      </c>
    </row>
    <row r="134" spans="1:20" ht="15">
      <c r="A134" s="58"/>
      <c r="F134" s="59" t="s">
        <v>61</v>
      </c>
      <c r="L134" s="59" t="s">
        <v>62</v>
      </c>
      <c r="M134" s="62">
        <f aca="true" t="shared" si="32" ref="M134:R134">SUM(M135:M138)</f>
        <v>251619</v>
      </c>
      <c r="N134" s="62">
        <f t="shared" si="32"/>
        <v>0</v>
      </c>
      <c r="O134" s="62">
        <f t="shared" si="32"/>
        <v>0</v>
      </c>
      <c r="P134" s="62">
        <f t="shared" si="32"/>
        <v>0</v>
      </c>
      <c r="Q134" s="62">
        <f t="shared" si="32"/>
        <v>251619</v>
      </c>
      <c r="R134" s="62">
        <f t="shared" si="32"/>
        <v>251619</v>
      </c>
      <c r="S134" s="159" t="s">
        <v>63</v>
      </c>
      <c r="T134" s="62">
        <f t="shared" si="20"/>
        <v>251619</v>
      </c>
    </row>
    <row r="135" spans="1:19" ht="15">
      <c r="A135" s="58"/>
      <c r="L135" s="214" t="s">
        <v>788</v>
      </c>
      <c r="M135" s="62">
        <v>198309</v>
      </c>
      <c r="N135" s="62"/>
      <c r="O135" s="62">
        <v>0</v>
      </c>
      <c r="P135" s="62">
        <v>0</v>
      </c>
      <c r="Q135" s="62">
        <v>198309</v>
      </c>
      <c r="R135" s="62">
        <f>M135+N135</f>
        <v>198309</v>
      </c>
      <c r="S135" s="159" t="s">
        <v>63</v>
      </c>
    </row>
    <row r="136" spans="1:19" ht="15">
      <c r="A136" s="58"/>
      <c r="L136" s="65" t="s">
        <v>789</v>
      </c>
      <c r="M136" s="62">
        <v>274</v>
      </c>
      <c r="N136" s="62"/>
      <c r="O136" s="62">
        <v>0</v>
      </c>
      <c r="P136" s="62">
        <v>0</v>
      </c>
      <c r="Q136" s="62">
        <v>274</v>
      </c>
      <c r="R136" s="62">
        <f>M136+N136</f>
        <v>274</v>
      </c>
      <c r="S136" s="159" t="s">
        <v>63</v>
      </c>
    </row>
    <row r="137" spans="1:19" ht="15">
      <c r="A137" s="58"/>
      <c r="L137" s="65" t="s">
        <v>790</v>
      </c>
      <c r="M137" s="62">
        <v>31776</v>
      </c>
      <c r="N137" s="62"/>
      <c r="O137" s="62">
        <v>0</v>
      </c>
      <c r="P137" s="62">
        <v>0</v>
      </c>
      <c r="Q137" s="62">
        <v>31776</v>
      </c>
      <c r="R137" s="62">
        <f>M137+N137</f>
        <v>31776</v>
      </c>
      <c r="S137" s="159" t="s">
        <v>63</v>
      </c>
    </row>
    <row r="138" spans="1:19" ht="15">
      <c r="A138" s="58"/>
      <c r="L138" s="65" t="s">
        <v>791</v>
      </c>
      <c r="M138" s="62">
        <v>21260</v>
      </c>
      <c r="N138" s="62"/>
      <c r="O138" s="62">
        <v>0</v>
      </c>
      <c r="P138" s="62">
        <v>0</v>
      </c>
      <c r="Q138" s="62">
        <v>21260</v>
      </c>
      <c r="R138" s="62">
        <f>M138+N138</f>
        <v>21260</v>
      </c>
      <c r="S138" s="159" t="s">
        <v>63</v>
      </c>
    </row>
    <row r="139" spans="1:19" ht="15">
      <c r="A139" s="58"/>
      <c r="F139" s="59" t="s">
        <v>64</v>
      </c>
      <c r="L139" s="59" t="s">
        <v>823</v>
      </c>
      <c r="M139" s="62">
        <f aca="true" t="shared" si="33" ref="M139:R139">SUM(M140)</f>
        <v>4668</v>
      </c>
      <c r="N139" s="62">
        <f t="shared" si="33"/>
        <v>0</v>
      </c>
      <c r="O139" s="62">
        <f t="shared" si="33"/>
        <v>0</v>
      </c>
      <c r="P139" s="62">
        <f t="shared" si="33"/>
        <v>0</v>
      </c>
      <c r="Q139" s="62">
        <f t="shared" si="33"/>
        <v>4668</v>
      </c>
      <c r="R139" s="62">
        <f t="shared" si="33"/>
        <v>4668</v>
      </c>
      <c r="S139" s="159" t="s">
        <v>826</v>
      </c>
    </row>
    <row r="140" spans="1:19" ht="15">
      <c r="A140" s="58"/>
      <c r="L140" s="59" t="s">
        <v>824</v>
      </c>
      <c r="M140" s="62">
        <v>4668</v>
      </c>
      <c r="N140" s="62"/>
      <c r="O140" s="62">
        <v>0</v>
      </c>
      <c r="P140" s="62">
        <v>0</v>
      </c>
      <c r="Q140" s="62">
        <v>4668</v>
      </c>
      <c r="R140" s="62">
        <f>M140+N140</f>
        <v>4668</v>
      </c>
      <c r="S140" s="159" t="s">
        <v>826</v>
      </c>
    </row>
    <row r="141" spans="1:20" ht="15">
      <c r="A141" s="58"/>
      <c r="F141" s="358" t="s">
        <v>825</v>
      </c>
      <c r="L141" s="59" t="s">
        <v>65</v>
      </c>
      <c r="M141" s="62">
        <f aca="true" t="shared" si="34" ref="M141:R141">SUM(M142:M145)</f>
        <v>14435</v>
      </c>
      <c r="N141" s="62">
        <f t="shared" si="34"/>
        <v>0</v>
      </c>
      <c r="O141" s="62">
        <f t="shared" si="34"/>
        <v>0</v>
      </c>
      <c r="P141" s="62">
        <f t="shared" si="34"/>
        <v>4</v>
      </c>
      <c r="Q141" s="62">
        <f t="shared" si="34"/>
        <v>14431</v>
      </c>
      <c r="R141" s="62">
        <f t="shared" si="34"/>
        <v>14435</v>
      </c>
      <c r="S141" s="159" t="s">
        <v>66</v>
      </c>
      <c r="T141" s="62">
        <f t="shared" si="20"/>
        <v>14435</v>
      </c>
    </row>
    <row r="142" spans="1:20" ht="15">
      <c r="A142" s="58"/>
      <c r="L142" s="59" t="s">
        <v>605</v>
      </c>
      <c r="M142" s="62">
        <v>3000</v>
      </c>
      <c r="N142" s="62"/>
      <c r="O142" s="62">
        <v>0</v>
      </c>
      <c r="P142" s="62">
        <v>0</v>
      </c>
      <c r="Q142" s="62">
        <v>3000</v>
      </c>
      <c r="R142" s="62">
        <f>M142+N142</f>
        <v>3000</v>
      </c>
      <c r="S142" s="159" t="s">
        <v>66</v>
      </c>
      <c r="T142" s="62">
        <f t="shared" si="20"/>
        <v>3000</v>
      </c>
    </row>
    <row r="143" spans="1:19" ht="15">
      <c r="A143" s="58"/>
      <c r="L143" s="59" t="s">
        <v>827</v>
      </c>
      <c r="M143" s="62">
        <v>3000</v>
      </c>
      <c r="N143" s="62"/>
      <c r="O143" s="62">
        <v>0</v>
      </c>
      <c r="P143" s="62">
        <v>0</v>
      </c>
      <c r="Q143" s="62">
        <v>3000</v>
      </c>
      <c r="R143" s="62">
        <f>M143+N143</f>
        <v>3000</v>
      </c>
      <c r="S143" s="159" t="s">
        <v>66</v>
      </c>
    </row>
    <row r="144" spans="1:19" ht="15">
      <c r="A144" s="58"/>
      <c r="L144" s="59" t="s">
        <v>828</v>
      </c>
      <c r="M144" s="62">
        <v>8431</v>
      </c>
      <c r="N144" s="62"/>
      <c r="O144" s="62">
        <v>0</v>
      </c>
      <c r="P144" s="62">
        <v>0</v>
      </c>
      <c r="Q144" s="62">
        <v>8431</v>
      </c>
      <c r="R144" s="62">
        <f>M144+N144</f>
        <v>8431</v>
      </c>
      <c r="S144" s="159" t="s">
        <v>66</v>
      </c>
    </row>
    <row r="145" spans="1:20" ht="15">
      <c r="A145" s="58"/>
      <c r="L145" s="59" t="s">
        <v>67</v>
      </c>
      <c r="M145" s="62">
        <v>4</v>
      </c>
      <c r="N145" s="62"/>
      <c r="O145" s="62">
        <v>0</v>
      </c>
      <c r="P145" s="62">
        <v>4</v>
      </c>
      <c r="Q145" s="62">
        <v>0</v>
      </c>
      <c r="R145" s="62">
        <f>M145+N145</f>
        <v>4</v>
      </c>
      <c r="S145" s="159" t="s">
        <v>66</v>
      </c>
      <c r="T145" s="62">
        <f t="shared" si="20"/>
        <v>4</v>
      </c>
    </row>
    <row r="146" spans="1:20" s="93" customFormat="1" ht="15">
      <c r="A146" s="63"/>
      <c r="B146" s="63"/>
      <c r="C146" s="63"/>
      <c r="D146" s="63"/>
      <c r="E146" s="63" t="s">
        <v>461</v>
      </c>
      <c r="F146" s="63"/>
      <c r="G146" s="63"/>
      <c r="H146" s="63"/>
      <c r="I146" s="63"/>
      <c r="J146" s="63"/>
      <c r="K146" s="63" t="s">
        <v>68</v>
      </c>
      <c r="L146" s="63"/>
      <c r="M146" s="64">
        <f aca="true" t="shared" si="35" ref="M146:R146">M134+M139+M141</f>
        <v>270722</v>
      </c>
      <c r="N146" s="64">
        <f t="shared" si="35"/>
        <v>0</v>
      </c>
      <c r="O146" s="64">
        <f t="shared" si="35"/>
        <v>0</v>
      </c>
      <c r="P146" s="64">
        <f t="shared" si="35"/>
        <v>4</v>
      </c>
      <c r="Q146" s="64">
        <f t="shared" si="35"/>
        <v>270718</v>
      </c>
      <c r="R146" s="64">
        <f t="shared" si="35"/>
        <v>270722</v>
      </c>
      <c r="S146" s="160" t="s">
        <v>69</v>
      </c>
      <c r="T146" s="62">
        <f t="shared" si="20"/>
        <v>270722</v>
      </c>
    </row>
    <row r="147" spans="1:20" s="93" customFormat="1" ht="15">
      <c r="A147" s="63" t="s">
        <v>387</v>
      </c>
      <c r="B147" s="63"/>
      <c r="C147" s="63"/>
      <c r="D147" s="63"/>
      <c r="E147" s="63"/>
      <c r="F147" s="63"/>
      <c r="G147" s="63"/>
      <c r="H147" s="63" t="s">
        <v>507</v>
      </c>
      <c r="I147" s="63"/>
      <c r="J147" s="63"/>
      <c r="K147" s="63"/>
      <c r="L147" s="63"/>
      <c r="M147" s="64">
        <f aca="true" t="shared" si="36" ref="M147:R147">M91+M116+M132+M146</f>
        <v>2209010</v>
      </c>
      <c r="N147" s="64">
        <f t="shared" si="36"/>
        <v>0</v>
      </c>
      <c r="O147" s="64">
        <f t="shared" si="36"/>
        <v>0</v>
      </c>
      <c r="P147" s="64">
        <f t="shared" si="36"/>
        <v>616750</v>
      </c>
      <c r="Q147" s="64">
        <f t="shared" si="36"/>
        <v>1592260</v>
      </c>
      <c r="R147" s="64">
        <f t="shared" si="36"/>
        <v>2209010</v>
      </c>
      <c r="S147" s="160"/>
      <c r="T147" s="62">
        <f t="shared" si="20"/>
        <v>2209010</v>
      </c>
    </row>
    <row r="148" spans="1:20" ht="15">
      <c r="A148" s="58" t="s">
        <v>427</v>
      </c>
      <c r="G148" s="59" t="s">
        <v>543</v>
      </c>
      <c r="M148" s="62"/>
      <c r="N148" s="62"/>
      <c r="O148" s="62"/>
      <c r="P148" s="62"/>
      <c r="Q148" s="62"/>
      <c r="R148" s="62"/>
      <c r="S148" s="159"/>
      <c r="T148" s="62">
        <f t="shared" si="20"/>
        <v>0</v>
      </c>
    </row>
    <row r="149" spans="1:20" ht="15">
      <c r="A149" s="58"/>
      <c r="J149" s="59" t="s">
        <v>47</v>
      </c>
      <c r="M149" s="62"/>
      <c r="N149" s="62"/>
      <c r="O149" s="62"/>
      <c r="P149" s="62"/>
      <c r="Q149" s="62"/>
      <c r="R149" s="62"/>
      <c r="S149" s="159"/>
      <c r="T149" s="62">
        <f t="shared" si="20"/>
        <v>0</v>
      </c>
    </row>
    <row r="150" spans="1:20" ht="15">
      <c r="A150" s="58"/>
      <c r="E150" s="59" t="s">
        <v>455</v>
      </c>
      <c r="K150" s="59" t="s">
        <v>49</v>
      </c>
      <c r="M150" s="62"/>
      <c r="N150" s="62"/>
      <c r="O150" s="62"/>
      <c r="P150" s="62"/>
      <c r="Q150" s="62"/>
      <c r="R150" s="62"/>
      <c r="S150" s="159"/>
      <c r="T150" s="62">
        <f t="shared" si="20"/>
        <v>0</v>
      </c>
    </row>
    <row r="151" spans="1:20" ht="15">
      <c r="A151" s="58"/>
      <c r="L151" s="59" t="s">
        <v>70</v>
      </c>
      <c r="M151" s="62">
        <v>38100</v>
      </c>
      <c r="N151" s="62"/>
      <c r="O151" s="62">
        <v>0</v>
      </c>
      <c r="P151" s="62">
        <v>38100</v>
      </c>
      <c r="Q151" s="62">
        <v>0</v>
      </c>
      <c r="R151" s="62">
        <f>M151+N151</f>
        <v>38100</v>
      </c>
      <c r="S151" s="159" t="s">
        <v>50</v>
      </c>
      <c r="T151" s="62">
        <f t="shared" si="20"/>
        <v>38100</v>
      </c>
    </row>
    <row r="152" spans="1:20" ht="15">
      <c r="A152" s="58"/>
      <c r="L152" s="59" t="s">
        <v>606</v>
      </c>
      <c r="M152" s="62">
        <v>0</v>
      </c>
      <c r="N152" s="62"/>
      <c r="O152" s="62">
        <v>0</v>
      </c>
      <c r="P152" s="62">
        <v>0</v>
      </c>
      <c r="Q152" s="62">
        <v>0</v>
      </c>
      <c r="R152" s="62">
        <f>M152+N152</f>
        <v>0</v>
      </c>
      <c r="S152" s="159" t="s">
        <v>50</v>
      </c>
      <c r="T152" s="62">
        <f t="shared" si="20"/>
        <v>0</v>
      </c>
    </row>
    <row r="153" spans="1:20" s="93" customFormat="1" ht="15">
      <c r="A153" s="63" t="s">
        <v>427</v>
      </c>
      <c r="B153" s="63"/>
      <c r="C153" s="63"/>
      <c r="D153" s="63"/>
      <c r="E153" s="63"/>
      <c r="F153" s="63"/>
      <c r="G153" s="63"/>
      <c r="H153" s="63" t="s">
        <v>512</v>
      </c>
      <c r="I153" s="63"/>
      <c r="J153" s="63"/>
      <c r="K153" s="63"/>
      <c r="L153" s="63"/>
      <c r="M153" s="64">
        <f aca="true" t="shared" si="37" ref="M153:R153">SUM(M151:M152)</f>
        <v>38100</v>
      </c>
      <c r="N153" s="64">
        <f t="shared" si="37"/>
        <v>0</v>
      </c>
      <c r="O153" s="64">
        <f t="shared" si="37"/>
        <v>0</v>
      </c>
      <c r="P153" s="64">
        <f t="shared" si="37"/>
        <v>38100</v>
      </c>
      <c r="Q153" s="64">
        <f t="shared" si="37"/>
        <v>0</v>
      </c>
      <c r="R153" s="64">
        <f t="shared" si="37"/>
        <v>38100</v>
      </c>
      <c r="S153" s="160"/>
      <c r="T153" s="62">
        <f t="shared" si="20"/>
        <v>38100</v>
      </c>
    </row>
    <row r="154" spans="1:20" ht="15">
      <c r="A154" s="58" t="s">
        <v>430</v>
      </c>
      <c r="G154" s="59" t="s">
        <v>707</v>
      </c>
      <c r="M154" s="62"/>
      <c r="N154" s="62"/>
      <c r="O154" s="62"/>
      <c r="P154" s="62"/>
      <c r="Q154" s="62"/>
      <c r="R154" s="62"/>
      <c r="S154" s="159"/>
      <c r="T154" s="62">
        <f t="shared" si="20"/>
        <v>0</v>
      </c>
    </row>
    <row r="155" spans="1:20" ht="15">
      <c r="A155" s="58"/>
      <c r="J155" s="59" t="s">
        <v>47</v>
      </c>
      <c r="M155" s="62"/>
      <c r="N155" s="62"/>
      <c r="O155" s="62"/>
      <c r="P155" s="62"/>
      <c r="Q155" s="62"/>
      <c r="R155" s="62"/>
      <c r="S155" s="159"/>
      <c r="T155" s="62">
        <f t="shared" si="20"/>
        <v>0</v>
      </c>
    </row>
    <row r="156" spans="1:20" ht="15">
      <c r="A156" s="58"/>
      <c r="E156" s="59" t="s">
        <v>455</v>
      </c>
      <c r="K156" s="59" t="s">
        <v>49</v>
      </c>
      <c r="M156" s="62"/>
      <c r="N156" s="62"/>
      <c r="O156" s="62"/>
      <c r="P156" s="62"/>
      <c r="Q156" s="62"/>
      <c r="R156" s="62"/>
      <c r="S156" s="159"/>
      <c r="T156" s="62">
        <f t="shared" si="20"/>
        <v>0</v>
      </c>
    </row>
    <row r="157" spans="1:20" ht="15">
      <c r="A157" s="58"/>
      <c r="L157" s="59" t="s">
        <v>54</v>
      </c>
      <c r="M157" s="62">
        <v>400</v>
      </c>
      <c r="N157" s="62"/>
      <c r="O157" s="62">
        <v>0</v>
      </c>
      <c r="P157" s="62">
        <v>400</v>
      </c>
      <c r="Q157" s="62">
        <v>0</v>
      </c>
      <c r="R157" s="62">
        <f>M157+N157</f>
        <v>400</v>
      </c>
      <c r="S157" s="159" t="s">
        <v>50</v>
      </c>
      <c r="T157" s="62">
        <f t="shared" si="20"/>
        <v>400</v>
      </c>
    </row>
    <row r="158" spans="1:20" s="93" customFormat="1" ht="15">
      <c r="A158" s="63" t="s">
        <v>430</v>
      </c>
      <c r="B158" s="63"/>
      <c r="C158" s="63"/>
      <c r="D158" s="63"/>
      <c r="E158" s="63"/>
      <c r="F158" s="63"/>
      <c r="G158" s="63"/>
      <c r="H158" s="63" t="s">
        <v>708</v>
      </c>
      <c r="I158" s="63"/>
      <c r="J158" s="63"/>
      <c r="K158" s="63"/>
      <c r="L158" s="63"/>
      <c r="M158" s="64">
        <f aca="true" t="shared" si="38" ref="M158:R158">SUM(M156:M157)</f>
        <v>400</v>
      </c>
      <c r="N158" s="64">
        <f t="shared" si="38"/>
        <v>0</v>
      </c>
      <c r="O158" s="64">
        <f t="shared" si="38"/>
        <v>0</v>
      </c>
      <c r="P158" s="64">
        <f t="shared" si="38"/>
        <v>400</v>
      </c>
      <c r="Q158" s="64">
        <f t="shared" si="38"/>
        <v>0</v>
      </c>
      <c r="R158" s="64">
        <f t="shared" si="38"/>
        <v>400</v>
      </c>
      <c r="S158" s="160"/>
      <c r="T158" s="62">
        <f t="shared" si="20"/>
        <v>400</v>
      </c>
    </row>
    <row r="159" spans="1:20" ht="15">
      <c r="A159" s="58" t="s">
        <v>513</v>
      </c>
      <c r="G159" s="59" t="s">
        <v>514</v>
      </c>
      <c r="M159" s="62"/>
      <c r="N159" s="62"/>
      <c r="O159" s="62"/>
      <c r="P159" s="62"/>
      <c r="Q159" s="62"/>
      <c r="R159" s="62"/>
      <c r="S159" s="159"/>
      <c r="T159" s="62">
        <f t="shared" si="20"/>
        <v>0</v>
      </c>
    </row>
    <row r="160" spans="1:20" ht="15">
      <c r="A160" s="58"/>
      <c r="J160" s="59" t="s">
        <v>47</v>
      </c>
      <c r="M160" s="62"/>
      <c r="N160" s="62"/>
      <c r="O160" s="62"/>
      <c r="P160" s="62"/>
      <c r="Q160" s="62"/>
      <c r="R160" s="62"/>
      <c r="S160" s="159"/>
      <c r="T160" s="62">
        <f t="shared" si="20"/>
        <v>0</v>
      </c>
    </row>
    <row r="161" spans="1:20" ht="15">
      <c r="A161" s="58"/>
      <c r="E161" s="59" t="s">
        <v>455</v>
      </c>
      <c r="K161" s="59" t="s">
        <v>49</v>
      </c>
      <c r="M161" s="62"/>
      <c r="N161" s="62"/>
      <c r="O161" s="62"/>
      <c r="P161" s="62"/>
      <c r="Q161" s="62"/>
      <c r="R161" s="62"/>
      <c r="S161" s="159"/>
      <c r="T161" s="62">
        <f t="shared" si="20"/>
        <v>0</v>
      </c>
    </row>
    <row r="162" spans="1:20" ht="15">
      <c r="A162" s="58"/>
      <c r="L162" s="59" t="s">
        <v>71</v>
      </c>
      <c r="M162" s="62">
        <v>2613</v>
      </c>
      <c r="N162" s="62"/>
      <c r="O162" s="62">
        <v>0</v>
      </c>
      <c r="P162" s="62">
        <v>50</v>
      </c>
      <c r="Q162" s="62">
        <v>2563</v>
      </c>
      <c r="R162" s="62">
        <f>M162+N162</f>
        <v>2613</v>
      </c>
      <c r="S162" s="159" t="s">
        <v>50</v>
      </c>
      <c r="T162" s="62">
        <f aca="true" t="shared" si="39" ref="T162:T193">O162+P162+Q162</f>
        <v>2613</v>
      </c>
    </row>
    <row r="163" spans="1:20" s="93" customFormat="1" ht="15">
      <c r="A163" s="63" t="s">
        <v>513</v>
      </c>
      <c r="B163" s="63"/>
      <c r="C163" s="63"/>
      <c r="D163" s="63"/>
      <c r="E163" s="63"/>
      <c r="F163" s="63"/>
      <c r="G163" s="63"/>
      <c r="H163" s="63" t="s">
        <v>72</v>
      </c>
      <c r="I163" s="63"/>
      <c r="J163" s="63"/>
      <c r="K163" s="63"/>
      <c r="L163" s="63"/>
      <c r="M163" s="64">
        <f aca="true" t="shared" si="40" ref="M163:R163">SUM(M161:M162)</f>
        <v>2613</v>
      </c>
      <c r="N163" s="64">
        <f t="shared" si="40"/>
        <v>0</v>
      </c>
      <c r="O163" s="64">
        <f t="shared" si="40"/>
        <v>0</v>
      </c>
      <c r="P163" s="64">
        <f t="shared" si="40"/>
        <v>50</v>
      </c>
      <c r="Q163" s="64">
        <f t="shared" si="40"/>
        <v>2563</v>
      </c>
      <c r="R163" s="64">
        <f t="shared" si="40"/>
        <v>2613</v>
      </c>
      <c r="S163" s="160"/>
      <c r="T163" s="62">
        <f t="shared" si="39"/>
        <v>2613</v>
      </c>
    </row>
    <row r="164" spans="1:20" ht="15">
      <c r="A164" s="58" t="s">
        <v>73</v>
      </c>
      <c r="G164" s="59" t="s">
        <v>517</v>
      </c>
      <c r="M164" s="62"/>
      <c r="N164" s="62"/>
      <c r="O164" s="62"/>
      <c r="P164" s="62"/>
      <c r="Q164" s="62"/>
      <c r="R164" s="62"/>
      <c r="S164" s="159"/>
      <c r="T164" s="62">
        <f t="shared" si="39"/>
        <v>0</v>
      </c>
    </row>
    <row r="165" spans="1:20" ht="15">
      <c r="A165" s="58"/>
      <c r="J165" s="59" t="s">
        <v>47</v>
      </c>
      <c r="M165" s="62"/>
      <c r="N165" s="62"/>
      <c r="O165" s="62"/>
      <c r="P165" s="62"/>
      <c r="Q165" s="62"/>
      <c r="R165" s="62"/>
      <c r="S165" s="159"/>
      <c r="T165" s="62">
        <f t="shared" si="39"/>
        <v>0</v>
      </c>
    </row>
    <row r="166" spans="1:20" ht="15">
      <c r="A166" s="58"/>
      <c r="E166" s="59" t="s">
        <v>455</v>
      </c>
      <c r="K166" s="59" t="s">
        <v>49</v>
      </c>
      <c r="M166" s="62"/>
      <c r="N166" s="62"/>
      <c r="O166" s="62"/>
      <c r="P166" s="62"/>
      <c r="Q166" s="62"/>
      <c r="R166" s="62"/>
      <c r="S166" s="159"/>
      <c r="T166" s="62">
        <f t="shared" si="39"/>
        <v>0</v>
      </c>
    </row>
    <row r="167" spans="1:20" ht="15">
      <c r="A167" s="58"/>
      <c r="L167" s="59" t="s">
        <v>54</v>
      </c>
      <c r="M167" s="62">
        <v>508</v>
      </c>
      <c r="N167" s="62"/>
      <c r="O167" s="62">
        <v>0</v>
      </c>
      <c r="P167" s="62">
        <v>508</v>
      </c>
      <c r="Q167" s="62">
        <v>0</v>
      </c>
      <c r="R167" s="62">
        <f>M167+N167</f>
        <v>508</v>
      </c>
      <c r="S167" s="159" t="s">
        <v>50</v>
      </c>
      <c r="T167" s="62">
        <f t="shared" si="39"/>
        <v>508</v>
      </c>
    </row>
    <row r="168" spans="1:20" s="93" customFormat="1" ht="15">
      <c r="A168" s="63" t="s">
        <v>516</v>
      </c>
      <c r="B168" s="63"/>
      <c r="C168" s="63"/>
      <c r="D168" s="63"/>
      <c r="E168" s="63"/>
      <c r="F168" s="63"/>
      <c r="G168" s="63"/>
      <c r="H168" s="63" t="s">
        <v>518</v>
      </c>
      <c r="I168" s="63"/>
      <c r="J168" s="63"/>
      <c r="K168" s="63"/>
      <c r="L168" s="63"/>
      <c r="M168" s="64">
        <f aca="true" t="shared" si="41" ref="M168:R168">SUM(M167:M167)</f>
        <v>508</v>
      </c>
      <c r="N168" s="64">
        <f t="shared" si="41"/>
        <v>0</v>
      </c>
      <c r="O168" s="64">
        <f t="shared" si="41"/>
        <v>0</v>
      </c>
      <c r="P168" s="64">
        <f t="shared" si="41"/>
        <v>508</v>
      </c>
      <c r="Q168" s="64">
        <f t="shared" si="41"/>
        <v>0</v>
      </c>
      <c r="R168" s="64">
        <f t="shared" si="41"/>
        <v>508</v>
      </c>
      <c r="S168" s="160"/>
      <c r="T168" s="62">
        <f t="shared" si="39"/>
        <v>508</v>
      </c>
    </row>
    <row r="169" spans="1:20" ht="15">
      <c r="A169" s="58"/>
      <c r="E169" s="59" t="s">
        <v>452</v>
      </c>
      <c r="K169" s="59" t="s">
        <v>48</v>
      </c>
      <c r="M169" s="62">
        <f aca="true" t="shared" si="42" ref="M169:R169">SUM(M91)</f>
        <v>544584</v>
      </c>
      <c r="N169" s="62">
        <f t="shared" si="42"/>
        <v>0</v>
      </c>
      <c r="O169" s="62">
        <f t="shared" si="42"/>
        <v>0</v>
      </c>
      <c r="P169" s="62">
        <f t="shared" si="42"/>
        <v>544584</v>
      </c>
      <c r="Q169" s="62">
        <f t="shared" si="42"/>
        <v>0</v>
      </c>
      <c r="R169" s="62">
        <f t="shared" si="42"/>
        <v>544584</v>
      </c>
      <c r="S169" s="159" t="s">
        <v>39</v>
      </c>
      <c r="T169" s="62">
        <f t="shared" si="39"/>
        <v>544584</v>
      </c>
    </row>
    <row r="170" spans="1:20" ht="15">
      <c r="A170" s="58"/>
      <c r="E170" s="59" t="s">
        <v>455</v>
      </c>
      <c r="K170" s="59" t="s">
        <v>49</v>
      </c>
      <c r="M170" s="62">
        <f aca="true" t="shared" si="43" ref="M170:R170">SUM(M116,M153,M163,M158,M168)</f>
        <v>762283</v>
      </c>
      <c r="N170" s="62">
        <f t="shared" si="43"/>
        <v>0</v>
      </c>
      <c r="O170" s="62">
        <f t="shared" si="43"/>
        <v>0</v>
      </c>
      <c r="P170" s="62">
        <f t="shared" si="43"/>
        <v>39058</v>
      </c>
      <c r="Q170" s="62">
        <f t="shared" si="43"/>
        <v>723225</v>
      </c>
      <c r="R170" s="62">
        <f t="shared" si="43"/>
        <v>762283</v>
      </c>
      <c r="S170" s="159" t="s">
        <v>50</v>
      </c>
      <c r="T170" s="62">
        <f t="shared" si="39"/>
        <v>762283</v>
      </c>
    </row>
    <row r="171" spans="1:20" ht="15">
      <c r="A171" s="58"/>
      <c r="E171" s="59" t="s">
        <v>458</v>
      </c>
      <c r="K171" s="59" t="s">
        <v>56</v>
      </c>
      <c r="M171" s="62">
        <f aca="true" t="shared" si="44" ref="M171:R171">SUM(M132)</f>
        <v>673042</v>
      </c>
      <c r="N171" s="62">
        <f t="shared" si="44"/>
        <v>0</v>
      </c>
      <c r="O171" s="62">
        <f t="shared" si="44"/>
        <v>0</v>
      </c>
      <c r="P171" s="62">
        <f t="shared" si="44"/>
        <v>72162</v>
      </c>
      <c r="Q171" s="62">
        <f t="shared" si="44"/>
        <v>600880</v>
      </c>
      <c r="R171" s="62">
        <f t="shared" si="44"/>
        <v>673042</v>
      </c>
      <c r="S171" s="159" t="s">
        <v>57</v>
      </c>
      <c r="T171" s="62">
        <f t="shared" si="39"/>
        <v>673042</v>
      </c>
    </row>
    <row r="172" spans="1:20" ht="15">
      <c r="A172" s="58"/>
      <c r="E172" s="59" t="s">
        <v>461</v>
      </c>
      <c r="K172" s="59" t="s">
        <v>60</v>
      </c>
      <c r="M172" s="62">
        <f aca="true" t="shared" si="45" ref="M172:R172">SUM(M146)</f>
        <v>270722</v>
      </c>
      <c r="N172" s="62">
        <f t="shared" si="45"/>
        <v>0</v>
      </c>
      <c r="O172" s="62">
        <f t="shared" si="45"/>
        <v>0</v>
      </c>
      <c r="P172" s="62">
        <f t="shared" si="45"/>
        <v>4</v>
      </c>
      <c r="Q172" s="62">
        <f t="shared" si="45"/>
        <v>270718</v>
      </c>
      <c r="R172" s="62">
        <f t="shared" si="45"/>
        <v>270722</v>
      </c>
      <c r="S172" s="159" t="s">
        <v>69</v>
      </c>
      <c r="T172" s="62">
        <f t="shared" si="39"/>
        <v>270722</v>
      </c>
    </row>
    <row r="173" spans="1:20" s="93" customFormat="1" ht="15">
      <c r="A173" s="63"/>
      <c r="B173" s="63"/>
      <c r="C173" s="63"/>
      <c r="D173" s="63" t="s">
        <v>427</v>
      </c>
      <c r="E173" s="63"/>
      <c r="F173" s="63"/>
      <c r="G173" s="63"/>
      <c r="H173" s="63"/>
      <c r="I173" s="63"/>
      <c r="J173" s="63" t="s">
        <v>75</v>
      </c>
      <c r="K173" s="63"/>
      <c r="L173" s="63"/>
      <c r="M173" s="64">
        <f aca="true" t="shared" si="46" ref="M173:R173">SUM(M169:M172,)</f>
        <v>2250631</v>
      </c>
      <c r="N173" s="64">
        <f t="shared" si="46"/>
        <v>0</v>
      </c>
      <c r="O173" s="64">
        <f t="shared" si="46"/>
        <v>0</v>
      </c>
      <c r="P173" s="64">
        <f t="shared" si="46"/>
        <v>655808</v>
      </c>
      <c r="Q173" s="64">
        <f t="shared" si="46"/>
        <v>1594823</v>
      </c>
      <c r="R173" s="64">
        <f t="shared" si="46"/>
        <v>2250631</v>
      </c>
      <c r="S173" s="160"/>
      <c r="T173" s="62">
        <f>O173+P173+Q173</f>
        <v>2250631</v>
      </c>
    </row>
    <row r="174" spans="1:19" ht="15">
      <c r="A174" s="58"/>
      <c r="S174" s="159"/>
    </row>
    <row r="175" spans="1:19" ht="15">
      <c r="A175" s="58"/>
      <c r="S175" s="159"/>
    </row>
    <row r="176" spans="1:19" ht="15">
      <c r="A176" s="58"/>
      <c r="S176" s="159"/>
    </row>
    <row r="177" spans="1:19" ht="15">
      <c r="A177" s="365" t="s">
        <v>754</v>
      </c>
      <c r="B177" s="365"/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</row>
    <row r="178" spans="1:19" ht="15">
      <c r="A178" s="58"/>
      <c r="S178" s="159"/>
    </row>
    <row r="179" spans="1:19" ht="15">
      <c r="A179" s="58"/>
      <c r="S179" s="159"/>
    </row>
    <row r="180" spans="1:19" ht="15">
      <c r="A180" s="58"/>
      <c r="Q180" s="367" t="s">
        <v>352</v>
      </c>
      <c r="R180" s="367"/>
      <c r="S180" s="367"/>
    </row>
    <row r="181" spans="1:20" s="158" customFormat="1" ht="95.25">
      <c r="A181" s="127" t="s">
        <v>353</v>
      </c>
      <c r="B181" s="127" t="s">
        <v>354</v>
      </c>
      <c r="C181" s="127" t="s">
        <v>355</v>
      </c>
      <c r="D181" s="127" t="s">
        <v>356</v>
      </c>
      <c r="E181" s="127" t="s">
        <v>357</v>
      </c>
      <c r="F181" s="127" t="s">
        <v>358</v>
      </c>
      <c r="G181" s="127" t="s">
        <v>359</v>
      </c>
      <c r="H181" s="127" t="s">
        <v>360</v>
      </c>
      <c r="I181" s="127" t="s">
        <v>361</v>
      </c>
      <c r="J181" s="127" t="s">
        <v>362</v>
      </c>
      <c r="K181" s="127" t="s">
        <v>363</v>
      </c>
      <c r="L181" s="128" t="s">
        <v>364</v>
      </c>
      <c r="M181" s="128" t="s">
        <v>740</v>
      </c>
      <c r="N181" s="219" t="s">
        <v>520</v>
      </c>
      <c r="O181" s="219" t="s">
        <v>365</v>
      </c>
      <c r="P181" s="219" t="s">
        <v>366</v>
      </c>
      <c r="Q181" s="219" t="s">
        <v>367</v>
      </c>
      <c r="R181" s="219" t="s">
        <v>640</v>
      </c>
      <c r="S181" s="128" t="s">
        <v>368</v>
      </c>
      <c r="T181" s="62"/>
    </row>
    <row r="182" spans="1:20" s="158" customFormat="1" ht="15">
      <c r="A182" s="61" t="s">
        <v>369</v>
      </c>
      <c r="B182" s="61" t="s">
        <v>370</v>
      </c>
      <c r="C182" s="61" t="s">
        <v>371</v>
      </c>
      <c r="D182" s="61" t="s">
        <v>372</v>
      </c>
      <c r="E182" s="61" t="s">
        <v>373</v>
      </c>
      <c r="F182" s="61" t="s">
        <v>374</v>
      </c>
      <c r="G182" s="61" t="s">
        <v>375</v>
      </c>
      <c r="H182" s="61" t="s">
        <v>376</v>
      </c>
      <c r="I182" s="61" t="s">
        <v>377</v>
      </c>
      <c r="J182" s="61" t="s">
        <v>378</v>
      </c>
      <c r="K182" s="61" t="s">
        <v>379</v>
      </c>
      <c r="L182" s="61" t="s">
        <v>380</v>
      </c>
      <c r="M182" s="165" t="s">
        <v>220</v>
      </c>
      <c r="N182" s="165" t="s">
        <v>519</v>
      </c>
      <c r="O182" s="166" t="s">
        <v>382</v>
      </c>
      <c r="P182" s="166" t="s">
        <v>383</v>
      </c>
      <c r="Q182" s="166" t="s">
        <v>384</v>
      </c>
      <c r="R182" s="166" t="s">
        <v>385</v>
      </c>
      <c r="S182" s="61" t="s">
        <v>386</v>
      </c>
      <c r="T182" s="62"/>
    </row>
    <row r="183" spans="1:19" ht="15">
      <c r="A183" s="58" t="s">
        <v>76</v>
      </c>
      <c r="G183" s="59" t="s">
        <v>388</v>
      </c>
      <c r="S183" s="159"/>
    </row>
    <row r="184" spans="1:19" ht="15">
      <c r="A184" s="58"/>
      <c r="D184" s="59" t="s">
        <v>430</v>
      </c>
      <c r="J184" s="59" t="s">
        <v>77</v>
      </c>
      <c r="S184" s="159" t="s">
        <v>78</v>
      </c>
    </row>
    <row r="185" spans="1:19" ht="15">
      <c r="A185" s="58"/>
      <c r="E185" s="59" t="s">
        <v>465</v>
      </c>
      <c r="K185" s="59" t="s">
        <v>79</v>
      </c>
      <c r="S185" s="159"/>
    </row>
    <row r="186" spans="1:20" ht="15">
      <c r="A186" s="58"/>
      <c r="L186" s="59" t="s">
        <v>80</v>
      </c>
      <c r="M186" s="62">
        <v>5804</v>
      </c>
      <c r="N186" s="62">
        <v>0</v>
      </c>
      <c r="O186" s="62">
        <v>0</v>
      </c>
      <c r="P186" s="62">
        <v>5804</v>
      </c>
      <c r="Q186" s="62">
        <v>0</v>
      </c>
      <c r="R186" s="62">
        <f>M186+N186</f>
        <v>5804</v>
      </c>
      <c r="S186" s="159" t="s">
        <v>81</v>
      </c>
      <c r="T186" s="62">
        <f t="shared" si="39"/>
        <v>5804</v>
      </c>
    </row>
    <row r="187" spans="1:20" ht="15">
      <c r="A187" s="58"/>
      <c r="L187" s="59" t="s">
        <v>16</v>
      </c>
      <c r="M187" s="62">
        <v>4370</v>
      </c>
      <c r="N187" s="62">
        <v>0</v>
      </c>
      <c r="O187" s="62">
        <v>0</v>
      </c>
      <c r="P187" s="62">
        <v>4370</v>
      </c>
      <c r="Q187" s="62">
        <v>0</v>
      </c>
      <c r="R187" s="62">
        <f>M187+N187</f>
        <v>4370</v>
      </c>
      <c r="S187" s="159" t="s">
        <v>81</v>
      </c>
      <c r="T187" s="62">
        <f t="shared" si="39"/>
        <v>4370</v>
      </c>
    </row>
    <row r="188" spans="1:20" ht="15">
      <c r="A188" s="58"/>
      <c r="L188" s="59" t="s">
        <v>17</v>
      </c>
      <c r="M188" s="62">
        <v>34728</v>
      </c>
      <c r="N188" s="62">
        <v>0</v>
      </c>
      <c r="O188" s="62">
        <v>0</v>
      </c>
      <c r="P188" s="62">
        <v>34728</v>
      </c>
      <c r="Q188" s="62">
        <v>0</v>
      </c>
      <c r="R188" s="62">
        <f>M188+N188</f>
        <v>34728</v>
      </c>
      <c r="S188" s="159" t="s">
        <v>81</v>
      </c>
      <c r="T188" s="62">
        <f t="shared" si="39"/>
        <v>34728</v>
      </c>
    </row>
    <row r="189" spans="1:20" ht="15">
      <c r="A189" s="58"/>
      <c r="E189" s="59" t="s">
        <v>467</v>
      </c>
      <c r="J189" s="59" t="s">
        <v>82</v>
      </c>
      <c r="M189" s="62"/>
      <c r="N189" s="62"/>
      <c r="O189" s="62"/>
      <c r="P189" s="62"/>
      <c r="Q189" s="62"/>
      <c r="R189" s="62"/>
      <c r="S189" s="159"/>
      <c r="T189" s="62">
        <f t="shared" si="39"/>
        <v>0</v>
      </c>
    </row>
    <row r="190" spans="1:20" ht="15">
      <c r="A190" s="58"/>
      <c r="L190" s="59" t="s">
        <v>918</v>
      </c>
      <c r="M190" s="62">
        <v>24743</v>
      </c>
      <c r="N190" s="62">
        <v>0</v>
      </c>
      <c r="O190" s="62">
        <v>0</v>
      </c>
      <c r="P190" s="62">
        <v>24743</v>
      </c>
      <c r="Q190" s="62">
        <v>0</v>
      </c>
      <c r="R190" s="62">
        <f>M190+N190</f>
        <v>24743</v>
      </c>
      <c r="S190" s="159" t="s">
        <v>209</v>
      </c>
      <c r="T190" s="62">
        <f t="shared" si="39"/>
        <v>24743</v>
      </c>
    </row>
    <row r="191" spans="1:20" s="93" customFormat="1" ht="15">
      <c r="A191" s="63" t="s">
        <v>76</v>
      </c>
      <c r="B191" s="63"/>
      <c r="C191" s="63"/>
      <c r="D191" s="63"/>
      <c r="E191" s="63"/>
      <c r="F191" s="63"/>
      <c r="G191" s="63"/>
      <c r="H191" s="63" t="s">
        <v>507</v>
      </c>
      <c r="I191" s="63"/>
      <c r="J191" s="63"/>
      <c r="K191" s="63"/>
      <c r="L191" s="63"/>
      <c r="M191" s="64">
        <f aca="true" t="shared" si="47" ref="M191:R191">SUM(M186:M190)</f>
        <v>69645</v>
      </c>
      <c r="N191" s="64">
        <f t="shared" si="47"/>
        <v>0</v>
      </c>
      <c r="O191" s="64">
        <f t="shared" si="47"/>
        <v>0</v>
      </c>
      <c r="P191" s="64">
        <f t="shared" si="47"/>
        <v>69645</v>
      </c>
      <c r="Q191" s="64">
        <f t="shared" si="47"/>
        <v>0</v>
      </c>
      <c r="R191" s="64">
        <f t="shared" si="47"/>
        <v>69645</v>
      </c>
      <c r="S191" s="160" t="s">
        <v>81</v>
      </c>
      <c r="T191" s="62">
        <f t="shared" si="39"/>
        <v>69645</v>
      </c>
    </row>
    <row r="192" spans="1:20" s="93" customFormat="1" ht="15">
      <c r="A192" s="99"/>
      <c r="B192" s="99"/>
      <c r="C192" s="99"/>
      <c r="D192" s="99" t="s">
        <v>430</v>
      </c>
      <c r="E192" s="99"/>
      <c r="F192" s="99"/>
      <c r="G192" s="99"/>
      <c r="H192" s="99"/>
      <c r="I192" s="99"/>
      <c r="J192" s="99" t="s">
        <v>83</v>
      </c>
      <c r="K192" s="99"/>
      <c r="L192" s="99"/>
      <c r="M192" s="100">
        <f aca="true" t="shared" si="48" ref="M192:R192">SUM(M191)</f>
        <v>69645</v>
      </c>
      <c r="N192" s="100">
        <f t="shared" si="48"/>
        <v>0</v>
      </c>
      <c r="O192" s="100">
        <f t="shared" si="48"/>
        <v>0</v>
      </c>
      <c r="P192" s="100">
        <f t="shared" si="48"/>
        <v>69645</v>
      </c>
      <c r="Q192" s="100">
        <f t="shared" si="48"/>
        <v>0</v>
      </c>
      <c r="R192" s="100">
        <f t="shared" si="48"/>
        <v>69645</v>
      </c>
      <c r="S192" s="202" t="s">
        <v>81</v>
      </c>
      <c r="T192" s="62">
        <f t="shared" si="39"/>
        <v>69645</v>
      </c>
    </row>
    <row r="193" spans="1:20" s="93" customFormat="1" ht="15">
      <c r="A193" s="63"/>
      <c r="B193" s="63" t="s">
        <v>84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4">
        <f aca="true" t="shared" si="49" ref="M193:R193">SUM(M83,M173,M192)</f>
        <v>4929564</v>
      </c>
      <c r="N193" s="64">
        <f t="shared" si="49"/>
        <v>0</v>
      </c>
      <c r="O193" s="64">
        <f t="shared" si="49"/>
        <v>107331</v>
      </c>
      <c r="P193" s="64">
        <f t="shared" si="49"/>
        <v>2431471</v>
      </c>
      <c r="Q193" s="64">
        <f t="shared" si="49"/>
        <v>2390762</v>
      </c>
      <c r="R193" s="64">
        <f t="shared" si="49"/>
        <v>4929564</v>
      </c>
      <c r="S193" s="160"/>
      <c r="T193" s="62">
        <f t="shared" si="39"/>
        <v>4929564</v>
      </c>
    </row>
    <row r="194" ht="15">
      <c r="S194" s="159"/>
    </row>
    <row r="195" spans="8:19" ht="15">
      <c r="H195" s="59" t="s">
        <v>524</v>
      </c>
      <c r="S195" s="159"/>
    </row>
  </sheetData>
  <sheetProtection/>
  <mergeCells count="7">
    <mergeCell ref="M1:S1"/>
    <mergeCell ref="Q87:S87"/>
    <mergeCell ref="A177:S177"/>
    <mergeCell ref="Q180:S180"/>
    <mergeCell ref="Q5:S5"/>
    <mergeCell ref="A3:S3"/>
    <mergeCell ref="A85:S85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38" r:id="rId1"/>
  <headerFooter alignWithMargins="0">
    <oddFooter>&amp;C&amp;P. oldal</oddFooter>
  </headerFooter>
  <rowBreaks count="2" manualBreakCount="2">
    <brk id="84" max="18" man="1"/>
    <brk id="17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="75" zoomScaleSheetLayoutView="75" zoomScalePageLayoutView="0" workbookViewId="0" topLeftCell="A1">
      <pane xSplit="2" ySplit="10" topLeftCell="C1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" sqref="E2:I2"/>
    </sheetView>
  </sheetViews>
  <sheetFormatPr defaultColWidth="9.140625" defaultRowHeight="12.75"/>
  <cols>
    <col min="1" max="1" width="14.7109375" style="59" customWidth="1"/>
    <col min="2" max="2" width="79.28125" style="59" customWidth="1"/>
    <col min="3" max="3" width="13.140625" style="59" customWidth="1"/>
    <col min="4" max="4" width="13.421875" style="59" hidden="1" customWidth="1"/>
    <col min="5" max="5" width="13.8515625" style="59" customWidth="1"/>
    <col min="6" max="6" width="13.28125" style="59" customWidth="1"/>
    <col min="7" max="7" width="12.8515625" style="59" customWidth="1"/>
    <col min="8" max="8" width="15.7109375" style="59" customWidth="1"/>
    <col min="9" max="9" width="9.140625" style="233" customWidth="1"/>
    <col min="10" max="10" width="11.7109375" style="62" bestFit="1" customWidth="1"/>
    <col min="11" max="16384" width="9.140625" style="59" customWidth="1"/>
  </cols>
  <sheetData>
    <row r="1" spans="1:9" ht="15">
      <c r="A1" s="58"/>
      <c r="I1" s="159"/>
    </row>
    <row r="2" spans="1:9" ht="15">
      <c r="A2" s="58"/>
      <c r="C2" s="355"/>
      <c r="D2" s="355"/>
      <c r="E2" s="366"/>
      <c r="F2" s="366"/>
      <c r="G2" s="366"/>
      <c r="H2" s="366"/>
      <c r="I2" s="366"/>
    </row>
    <row r="3" spans="1:9" ht="15">
      <c r="A3" s="58"/>
      <c r="I3" s="159"/>
    </row>
    <row r="4" spans="1:9" ht="15">
      <c r="A4" s="365" t="s">
        <v>755</v>
      </c>
      <c r="B4" s="365"/>
      <c r="C4" s="365"/>
      <c r="D4" s="365"/>
      <c r="E4" s="365"/>
      <c r="F4" s="365"/>
      <c r="G4" s="365"/>
      <c r="H4" s="365"/>
      <c r="I4" s="365"/>
    </row>
    <row r="5" spans="1:9" ht="15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5">
      <c r="A7" s="58"/>
      <c r="I7" s="159"/>
    </row>
    <row r="8" spans="1:9" ht="15">
      <c r="A8" s="58"/>
      <c r="G8" s="367" t="s">
        <v>547</v>
      </c>
      <c r="H8" s="367"/>
      <c r="I8" s="367"/>
    </row>
    <row r="9" spans="1:10" s="221" customFormat="1" ht="30.75">
      <c r="A9" s="372" t="s">
        <v>548</v>
      </c>
      <c r="B9" s="372"/>
      <c r="C9" s="91" t="s">
        <v>740</v>
      </c>
      <c r="D9" s="154" t="s">
        <v>520</v>
      </c>
      <c r="E9" s="154" t="s">
        <v>365</v>
      </c>
      <c r="F9" s="154" t="s">
        <v>366</v>
      </c>
      <c r="G9" s="154" t="s">
        <v>367</v>
      </c>
      <c r="H9" s="154" t="s">
        <v>640</v>
      </c>
      <c r="I9" s="91" t="s">
        <v>368</v>
      </c>
      <c r="J9" s="220"/>
    </row>
    <row r="10" spans="1:10" s="158" customFormat="1" ht="15">
      <c r="A10" s="371" t="s">
        <v>380</v>
      </c>
      <c r="B10" s="371"/>
      <c r="C10" s="156" t="s">
        <v>381</v>
      </c>
      <c r="D10" s="156" t="s">
        <v>519</v>
      </c>
      <c r="E10" s="157" t="s">
        <v>382</v>
      </c>
      <c r="F10" s="157" t="s">
        <v>383</v>
      </c>
      <c r="G10" s="157" t="s">
        <v>384</v>
      </c>
      <c r="H10" s="157" t="s">
        <v>385</v>
      </c>
      <c r="I10" s="61" t="s">
        <v>386</v>
      </c>
      <c r="J10" s="222"/>
    </row>
    <row r="11" spans="1:10" ht="15">
      <c r="A11" s="58" t="s">
        <v>85</v>
      </c>
      <c r="C11" s="62">
        <v>51459</v>
      </c>
      <c r="D11" s="62">
        <v>0</v>
      </c>
      <c r="E11" s="62">
        <v>0</v>
      </c>
      <c r="F11" s="62">
        <v>41958</v>
      </c>
      <c r="G11" s="62">
        <v>9501</v>
      </c>
      <c r="H11" s="62">
        <f aca="true" t="shared" si="0" ref="H11:H16">C11+D11</f>
        <v>51459</v>
      </c>
      <c r="I11" s="159" t="s">
        <v>591</v>
      </c>
      <c r="J11" s="62">
        <f>SUM(E11:G11)</f>
        <v>51459</v>
      </c>
    </row>
    <row r="12" spans="1:10" ht="15">
      <c r="A12" s="58" t="s">
        <v>86</v>
      </c>
      <c r="C12" s="62">
        <v>23532</v>
      </c>
      <c r="D12" s="62"/>
      <c r="E12" s="62">
        <v>0</v>
      </c>
      <c r="F12" s="62">
        <v>0</v>
      </c>
      <c r="G12" s="62">
        <v>23532</v>
      </c>
      <c r="H12" s="62">
        <f t="shared" si="0"/>
        <v>23532</v>
      </c>
      <c r="I12" s="159" t="s">
        <v>591</v>
      </c>
      <c r="J12" s="62">
        <f aca="true" t="shared" si="1" ref="J12:J63">SUM(E12:G12)</f>
        <v>23532</v>
      </c>
    </row>
    <row r="13" spans="1:10" ht="15">
      <c r="A13" s="373" t="s">
        <v>633</v>
      </c>
      <c r="B13" s="373"/>
      <c r="C13" s="62">
        <v>0</v>
      </c>
      <c r="D13" s="62"/>
      <c r="E13" s="62">
        <v>0</v>
      </c>
      <c r="F13" s="62">
        <v>0</v>
      </c>
      <c r="G13" s="62">
        <v>0</v>
      </c>
      <c r="H13" s="62">
        <f t="shared" si="0"/>
        <v>0</v>
      </c>
      <c r="I13" s="159" t="s">
        <v>591</v>
      </c>
      <c r="J13" s="62">
        <f t="shared" si="1"/>
        <v>0</v>
      </c>
    </row>
    <row r="14" spans="1:10" ht="15">
      <c r="A14" s="374" t="s">
        <v>214</v>
      </c>
      <c r="B14" s="374"/>
      <c r="C14" s="62">
        <v>15557</v>
      </c>
      <c r="D14" s="62">
        <v>0</v>
      </c>
      <c r="E14" s="62">
        <v>0</v>
      </c>
      <c r="F14" s="62">
        <v>0</v>
      </c>
      <c r="G14" s="62">
        <v>15557</v>
      </c>
      <c r="H14" s="62">
        <f t="shared" si="0"/>
        <v>15557</v>
      </c>
      <c r="I14" s="159" t="s">
        <v>591</v>
      </c>
      <c r="J14" s="62">
        <f t="shared" si="1"/>
        <v>15557</v>
      </c>
    </row>
    <row r="15" spans="1:10" ht="15">
      <c r="A15" s="374" t="s">
        <v>223</v>
      </c>
      <c r="B15" s="374"/>
      <c r="C15" s="62">
        <v>18616</v>
      </c>
      <c r="D15" s="62">
        <v>0</v>
      </c>
      <c r="E15" s="62">
        <v>0</v>
      </c>
      <c r="F15" s="62">
        <v>0</v>
      </c>
      <c r="G15" s="62">
        <v>18616</v>
      </c>
      <c r="H15" s="62">
        <f t="shared" si="0"/>
        <v>18616</v>
      </c>
      <c r="I15" s="159" t="s">
        <v>591</v>
      </c>
      <c r="J15" s="62">
        <f t="shared" si="1"/>
        <v>18616</v>
      </c>
    </row>
    <row r="16" spans="1:10" ht="15">
      <c r="A16" s="58" t="s">
        <v>215</v>
      </c>
      <c r="C16" s="62">
        <v>25906</v>
      </c>
      <c r="D16" s="62">
        <v>0</v>
      </c>
      <c r="E16" s="62">
        <v>0</v>
      </c>
      <c r="F16" s="62">
        <v>25906</v>
      </c>
      <c r="G16" s="62">
        <v>0</v>
      </c>
      <c r="H16" s="62">
        <f t="shared" si="0"/>
        <v>25906</v>
      </c>
      <c r="I16" s="159" t="s">
        <v>591</v>
      </c>
      <c r="J16" s="62">
        <f t="shared" si="1"/>
        <v>25906</v>
      </c>
    </row>
    <row r="17" spans="1:10" s="93" customFormat="1" ht="15">
      <c r="A17" s="63" t="s">
        <v>87</v>
      </c>
      <c r="B17" s="63"/>
      <c r="C17" s="64">
        <f aca="true" t="shared" si="2" ref="C17:H17">SUM(C11:C16)</f>
        <v>135070</v>
      </c>
      <c r="D17" s="64">
        <f t="shared" si="2"/>
        <v>0</v>
      </c>
      <c r="E17" s="64">
        <f t="shared" si="2"/>
        <v>0</v>
      </c>
      <c r="F17" s="64">
        <f t="shared" si="2"/>
        <v>67864</v>
      </c>
      <c r="G17" s="64">
        <f t="shared" si="2"/>
        <v>67206</v>
      </c>
      <c r="H17" s="64">
        <f t="shared" si="2"/>
        <v>135070</v>
      </c>
      <c r="I17" s="160" t="s">
        <v>591</v>
      </c>
      <c r="J17" s="62">
        <f t="shared" si="1"/>
        <v>135070</v>
      </c>
    </row>
    <row r="18" spans="1:10" ht="15">
      <c r="A18" s="58" t="s">
        <v>88</v>
      </c>
      <c r="C18" s="62">
        <v>9000</v>
      </c>
      <c r="D18" s="62">
        <v>0</v>
      </c>
      <c r="E18" s="62">
        <v>0</v>
      </c>
      <c r="F18" s="62">
        <v>7337</v>
      </c>
      <c r="G18" s="62">
        <v>1663</v>
      </c>
      <c r="H18" s="62">
        <f aca="true" t="shared" si="3" ref="H18:H23">C18+D18</f>
        <v>9000</v>
      </c>
      <c r="I18" s="159" t="s">
        <v>593</v>
      </c>
      <c r="J18" s="62">
        <f t="shared" si="1"/>
        <v>9000</v>
      </c>
    </row>
    <row r="19" spans="1:10" ht="15">
      <c r="A19" s="58" t="s">
        <v>89</v>
      </c>
      <c r="C19" s="62">
        <v>4300</v>
      </c>
      <c r="D19" s="62"/>
      <c r="E19" s="62">
        <v>0</v>
      </c>
      <c r="F19" s="62">
        <v>0</v>
      </c>
      <c r="G19" s="62">
        <v>4300</v>
      </c>
      <c r="H19" s="62">
        <f t="shared" si="3"/>
        <v>4300</v>
      </c>
      <c r="I19" s="159" t="s">
        <v>593</v>
      </c>
      <c r="J19" s="62">
        <f t="shared" si="1"/>
        <v>4300</v>
      </c>
    </row>
    <row r="20" spans="1:10" ht="15">
      <c r="A20" s="373" t="s">
        <v>633</v>
      </c>
      <c r="B20" s="373"/>
      <c r="C20" s="62">
        <v>0</v>
      </c>
      <c r="D20" s="62"/>
      <c r="E20" s="62">
        <v>0</v>
      </c>
      <c r="F20" s="62">
        <v>0</v>
      </c>
      <c r="G20" s="62">
        <v>0</v>
      </c>
      <c r="H20" s="62">
        <f t="shared" si="3"/>
        <v>0</v>
      </c>
      <c r="I20" s="159" t="s">
        <v>593</v>
      </c>
      <c r="J20" s="62">
        <f t="shared" si="1"/>
        <v>0</v>
      </c>
    </row>
    <row r="21" spans="1:10" ht="15">
      <c r="A21" s="374" t="s">
        <v>214</v>
      </c>
      <c r="B21" s="374"/>
      <c r="C21" s="62">
        <v>2723</v>
      </c>
      <c r="D21" s="62">
        <v>0</v>
      </c>
      <c r="E21" s="62">
        <v>0</v>
      </c>
      <c r="F21" s="62">
        <v>0</v>
      </c>
      <c r="G21" s="62">
        <v>2723</v>
      </c>
      <c r="H21" s="62">
        <f t="shared" si="3"/>
        <v>2723</v>
      </c>
      <c r="I21" s="159" t="s">
        <v>593</v>
      </c>
      <c r="J21" s="62">
        <f t="shared" si="1"/>
        <v>2723</v>
      </c>
    </row>
    <row r="22" spans="1:10" ht="15">
      <c r="A22" s="374" t="s">
        <v>223</v>
      </c>
      <c r="B22" s="374"/>
      <c r="C22" s="62">
        <v>3191</v>
      </c>
      <c r="D22" s="62">
        <v>0</v>
      </c>
      <c r="E22" s="62">
        <v>0</v>
      </c>
      <c r="F22" s="62">
        <v>0</v>
      </c>
      <c r="G22" s="62">
        <v>3191</v>
      </c>
      <c r="H22" s="62">
        <f t="shared" si="3"/>
        <v>3191</v>
      </c>
      <c r="I22" s="159" t="s">
        <v>593</v>
      </c>
      <c r="J22" s="62">
        <f t="shared" si="1"/>
        <v>3191</v>
      </c>
    </row>
    <row r="23" spans="1:10" ht="15">
      <c r="A23" s="58" t="s">
        <v>216</v>
      </c>
      <c r="C23" s="62">
        <v>2526</v>
      </c>
      <c r="D23" s="62">
        <v>0</v>
      </c>
      <c r="E23" s="62">
        <v>0</v>
      </c>
      <c r="F23" s="62">
        <v>2526</v>
      </c>
      <c r="G23" s="62">
        <v>0</v>
      </c>
      <c r="H23" s="62">
        <f t="shared" si="3"/>
        <v>2526</v>
      </c>
      <c r="I23" s="159" t="s">
        <v>593</v>
      </c>
      <c r="J23" s="62">
        <f t="shared" si="1"/>
        <v>2526</v>
      </c>
    </row>
    <row r="24" spans="1:10" s="93" customFormat="1" ht="15">
      <c r="A24" s="63" t="s">
        <v>90</v>
      </c>
      <c r="B24" s="63"/>
      <c r="C24" s="64">
        <f aca="true" t="shared" si="4" ref="C24:H24">SUM(C18:C23)</f>
        <v>21740</v>
      </c>
      <c r="D24" s="64">
        <f t="shared" si="4"/>
        <v>0</v>
      </c>
      <c r="E24" s="64">
        <f t="shared" si="4"/>
        <v>0</v>
      </c>
      <c r="F24" s="64">
        <f t="shared" si="4"/>
        <v>9863</v>
      </c>
      <c r="G24" s="64">
        <f t="shared" si="4"/>
        <v>11877</v>
      </c>
      <c r="H24" s="64">
        <f t="shared" si="4"/>
        <v>21740</v>
      </c>
      <c r="I24" s="160" t="s">
        <v>593</v>
      </c>
      <c r="J24" s="62">
        <f t="shared" si="1"/>
        <v>21740</v>
      </c>
    </row>
    <row r="25" spans="1:10" ht="15">
      <c r="A25" s="58" t="s">
        <v>594</v>
      </c>
      <c r="C25" s="62">
        <f>109360+250+5000</f>
        <v>114610</v>
      </c>
      <c r="D25" s="62"/>
      <c r="E25" s="62">
        <v>0</v>
      </c>
      <c r="F25" s="62">
        <f>104679+5000</f>
        <v>109679</v>
      </c>
      <c r="G25" s="62">
        <f>4681+250</f>
        <v>4931</v>
      </c>
      <c r="H25" s="62">
        <f>C25+D25</f>
        <v>114610</v>
      </c>
      <c r="I25" s="159" t="s">
        <v>595</v>
      </c>
      <c r="J25" s="62">
        <f t="shared" si="1"/>
        <v>114610</v>
      </c>
    </row>
    <row r="26" spans="1:10" ht="15">
      <c r="A26" s="58" t="s">
        <v>91</v>
      </c>
      <c r="C26" s="62">
        <v>28000</v>
      </c>
      <c r="D26" s="62">
        <v>0</v>
      </c>
      <c r="E26" s="62">
        <v>0</v>
      </c>
      <c r="F26" s="62">
        <v>28000</v>
      </c>
      <c r="G26" s="62">
        <v>0</v>
      </c>
      <c r="H26" s="62">
        <f>C26+D26</f>
        <v>28000</v>
      </c>
      <c r="I26" s="159" t="s">
        <v>595</v>
      </c>
      <c r="J26" s="62">
        <f t="shared" si="1"/>
        <v>28000</v>
      </c>
    </row>
    <row r="27" spans="1:10" ht="15">
      <c r="A27" s="58" t="s">
        <v>92</v>
      </c>
      <c r="C27" s="62">
        <v>485</v>
      </c>
      <c r="D27" s="62">
        <v>0</v>
      </c>
      <c r="E27" s="62">
        <v>0</v>
      </c>
      <c r="F27" s="62">
        <v>485</v>
      </c>
      <c r="G27" s="62">
        <v>0</v>
      </c>
      <c r="H27" s="62">
        <f>C27+D27</f>
        <v>485</v>
      </c>
      <c r="I27" s="159" t="s">
        <v>595</v>
      </c>
      <c r="J27" s="62">
        <f t="shared" si="1"/>
        <v>485</v>
      </c>
    </row>
    <row r="28" spans="1:10" ht="15">
      <c r="A28" s="66" t="s">
        <v>93</v>
      </c>
      <c r="B28" s="66"/>
      <c r="C28" s="67">
        <f aca="true" t="shared" si="5" ref="C28:H28">SUM(C29:C31)</f>
        <v>18200</v>
      </c>
      <c r="D28" s="67">
        <f t="shared" si="5"/>
        <v>0</v>
      </c>
      <c r="E28" s="67">
        <f t="shared" si="5"/>
        <v>0</v>
      </c>
      <c r="F28" s="67">
        <f t="shared" si="5"/>
        <v>12200</v>
      </c>
      <c r="G28" s="67">
        <f t="shared" si="5"/>
        <v>6000</v>
      </c>
      <c r="H28" s="67">
        <f t="shared" si="5"/>
        <v>18200</v>
      </c>
      <c r="I28" s="162" t="s">
        <v>595</v>
      </c>
      <c r="J28" s="62">
        <f t="shared" si="1"/>
        <v>18200</v>
      </c>
    </row>
    <row r="29" spans="1:10" ht="15">
      <c r="A29" s="58" t="s">
        <v>94</v>
      </c>
      <c r="C29" s="62">
        <v>2200</v>
      </c>
      <c r="D29" s="62"/>
      <c r="E29" s="62">
        <v>0</v>
      </c>
      <c r="F29" s="62">
        <v>2200</v>
      </c>
      <c r="G29" s="62">
        <v>0</v>
      </c>
      <c r="H29" s="62">
        <f>C29+D29</f>
        <v>2200</v>
      </c>
      <c r="I29" s="159" t="s">
        <v>595</v>
      </c>
      <c r="J29" s="62">
        <f t="shared" si="1"/>
        <v>2200</v>
      </c>
    </row>
    <row r="30" spans="1:10" ht="15">
      <c r="A30" s="58" t="s">
        <v>95</v>
      </c>
      <c r="C30" s="62">
        <v>10000</v>
      </c>
      <c r="D30" s="62"/>
      <c r="E30" s="62">
        <v>0</v>
      </c>
      <c r="F30" s="62">
        <v>10000</v>
      </c>
      <c r="G30" s="62">
        <v>0</v>
      </c>
      <c r="H30" s="62">
        <f>C30+D30</f>
        <v>10000</v>
      </c>
      <c r="I30" s="159" t="s">
        <v>595</v>
      </c>
      <c r="J30" s="62">
        <f t="shared" si="1"/>
        <v>10000</v>
      </c>
    </row>
    <row r="31" spans="1:10" ht="15">
      <c r="A31" s="58" t="s">
        <v>96</v>
      </c>
      <c r="C31" s="62">
        <v>6000</v>
      </c>
      <c r="D31" s="62"/>
      <c r="E31" s="62">
        <v>0</v>
      </c>
      <c r="F31" s="62">
        <v>0</v>
      </c>
      <c r="G31" s="62">
        <v>6000</v>
      </c>
      <c r="H31" s="62">
        <f aca="true" t="shared" si="6" ref="H31:H60">C31+D31</f>
        <v>6000</v>
      </c>
      <c r="I31" s="159" t="s">
        <v>595</v>
      </c>
      <c r="J31" s="62">
        <f t="shared" si="1"/>
        <v>6000</v>
      </c>
    </row>
    <row r="32" spans="1:10" ht="15">
      <c r="A32" s="58" t="s">
        <v>97</v>
      </c>
      <c r="C32" s="62">
        <v>2844</v>
      </c>
      <c r="D32" s="62"/>
      <c r="E32" s="62">
        <v>0</v>
      </c>
      <c r="F32" s="62">
        <v>2844</v>
      </c>
      <c r="G32" s="62">
        <v>0</v>
      </c>
      <c r="H32" s="62">
        <f t="shared" si="6"/>
        <v>2844</v>
      </c>
      <c r="I32" s="159" t="s">
        <v>595</v>
      </c>
      <c r="J32" s="62">
        <f t="shared" si="1"/>
        <v>2844</v>
      </c>
    </row>
    <row r="33" spans="1:10" ht="15">
      <c r="A33" s="58" t="s">
        <v>632</v>
      </c>
      <c r="C33" s="62">
        <v>50000</v>
      </c>
      <c r="D33" s="62"/>
      <c r="E33" s="62">
        <v>0</v>
      </c>
      <c r="F33" s="62">
        <v>50000</v>
      </c>
      <c r="G33" s="62">
        <v>0</v>
      </c>
      <c r="H33" s="62">
        <f t="shared" si="6"/>
        <v>50000</v>
      </c>
      <c r="I33" s="159" t="s">
        <v>595</v>
      </c>
      <c r="J33" s="62">
        <f t="shared" si="1"/>
        <v>50000</v>
      </c>
    </row>
    <row r="34" spans="1:10" ht="15">
      <c r="A34" s="58" t="s">
        <v>98</v>
      </c>
      <c r="C34" s="62">
        <v>7560</v>
      </c>
      <c r="D34" s="62"/>
      <c r="E34" s="62">
        <v>0</v>
      </c>
      <c r="F34" s="62">
        <v>0</v>
      </c>
      <c r="G34" s="62">
        <v>7560</v>
      </c>
      <c r="H34" s="62">
        <f t="shared" si="6"/>
        <v>7560</v>
      </c>
      <c r="I34" s="159" t="s">
        <v>595</v>
      </c>
      <c r="J34" s="62">
        <f t="shared" si="1"/>
        <v>7560</v>
      </c>
    </row>
    <row r="35" spans="1:10" ht="15">
      <c r="A35" s="58" t="s">
        <v>99</v>
      </c>
      <c r="C35" s="62">
        <v>6000</v>
      </c>
      <c r="D35" s="62"/>
      <c r="E35" s="62">
        <v>0</v>
      </c>
      <c r="F35" s="62">
        <v>6000</v>
      </c>
      <c r="G35" s="62">
        <v>0</v>
      </c>
      <c r="H35" s="62">
        <f t="shared" si="6"/>
        <v>6000</v>
      </c>
      <c r="I35" s="159" t="s">
        <v>595</v>
      </c>
      <c r="J35" s="62">
        <f t="shared" si="1"/>
        <v>6000</v>
      </c>
    </row>
    <row r="36" spans="1:10" ht="15">
      <c r="A36" s="58" t="s">
        <v>799</v>
      </c>
      <c r="C36" s="62">
        <v>10000</v>
      </c>
      <c r="D36" s="62"/>
      <c r="E36" s="62">
        <v>0</v>
      </c>
      <c r="F36" s="62">
        <v>10000</v>
      </c>
      <c r="G36" s="62">
        <v>0</v>
      </c>
      <c r="H36" s="62">
        <f t="shared" si="6"/>
        <v>10000</v>
      </c>
      <c r="I36" s="159" t="s">
        <v>595</v>
      </c>
      <c r="J36" s="62">
        <f t="shared" si="1"/>
        <v>10000</v>
      </c>
    </row>
    <row r="37" spans="1:10" ht="15">
      <c r="A37" s="58" t="s">
        <v>212</v>
      </c>
      <c r="C37" s="62">
        <v>8000</v>
      </c>
      <c r="D37" s="62"/>
      <c r="E37" s="62">
        <v>0</v>
      </c>
      <c r="F37" s="62">
        <v>8000</v>
      </c>
      <c r="G37" s="62">
        <v>0</v>
      </c>
      <c r="H37" s="62">
        <f t="shared" si="6"/>
        <v>8000</v>
      </c>
      <c r="I37" s="159" t="s">
        <v>595</v>
      </c>
      <c r="J37" s="62">
        <f t="shared" si="1"/>
        <v>8000</v>
      </c>
    </row>
    <row r="38" spans="1:10" ht="15">
      <c r="A38" s="58" t="s">
        <v>100</v>
      </c>
      <c r="C38" s="62">
        <v>50000</v>
      </c>
      <c r="D38" s="62"/>
      <c r="E38" s="62">
        <v>0</v>
      </c>
      <c r="F38" s="62">
        <v>50000</v>
      </c>
      <c r="G38" s="62">
        <v>0</v>
      </c>
      <c r="H38" s="62">
        <f t="shared" si="6"/>
        <v>50000</v>
      </c>
      <c r="I38" s="159" t="s">
        <v>595</v>
      </c>
      <c r="J38" s="62">
        <f t="shared" si="1"/>
        <v>50000</v>
      </c>
    </row>
    <row r="39" spans="1:10" ht="15">
      <c r="A39" s="58" t="s">
        <v>101</v>
      </c>
      <c r="C39" s="62">
        <v>5000</v>
      </c>
      <c r="D39" s="62"/>
      <c r="E39" s="62">
        <v>0</v>
      </c>
      <c r="F39" s="62">
        <v>5000</v>
      </c>
      <c r="G39" s="62">
        <v>0</v>
      </c>
      <c r="H39" s="62">
        <f t="shared" si="6"/>
        <v>5000</v>
      </c>
      <c r="I39" s="159" t="s">
        <v>595</v>
      </c>
      <c r="J39" s="62">
        <f t="shared" si="1"/>
        <v>5000</v>
      </c>
    </row>
    <row r="40" spans="1:10" ht="15">
      <c r="A40" s="58" t="s">
        <v>102</v>
      </c>
      <c r="C40" s="62">
        <v>5156</v>
      </c>
      <c r="D40" s="62"/>
      <c r="E40" s="62">
        <v>0</v>
      </c>
      <c r="F40" s="62">
        <v>5156</v>
      </c>
      <c r="G40" s="62">
        <v>0</v>
      </c>
      <c r="H40" s="62">
        <f t="shared" si="6"/>
        <v>5156</v>
      </c>
      <c r="I40" s="159" t="s">
        <v>595</v>
      </c>
      <c r="J40" s="62">
        <f t="shared" si="1"/>
        <v>5156</v>
      </c>
    </row>
    <row r="41" spans="1:10" ht="15">
      <c r="A41" s="58" t="s">
        <v>733</v>
      </c>
      <c r="C41" s="62">
        <v>1200</v>
      </c>
      <c r="D41" s="62"/>
      <c r="E41" s="62">
        <v>0</v>
      </c>
      <c r="F41" s="62">
        <v>1200</v>
      </c>
      <c r="G41" s="62">
        <v>0</v>
      </c>
      <c r="H41" s="62">
        <f t="shared" si="6"/>
        <v>1200</v>
      </c>
      <c r="I41" s="159" t="s">
        <v>595</v>
      </c>
      <c r="J41" s="62">
        <f t="shared" si="1"/>
        <v>1200</v>
      </c>
    </row>
    <row r="42" spans="1:10" ht="15">
      <c r="A42" s="58" t="s">
        <v>557</v>
      </c>
      <c r="C42" s="62">
        <v>5813</v>
      </c>
      <c r="D42" s="62"/>
      <c r="E42" s="62">
        <v>0</v>
      </c>
      <c r="F42" s="62">
        <v>0</v>
      </c>
      <c r="G42" s="62">
        <v>5813</v>
      </c>
      <c r="H42" s="62">
        <f t="shared" si="6"/>
        <v>5813</v>
      </c>
      <c r="I42" s="159" t="s">
        <v>595</v>
      </c>
      <c r="J42" s="62">
        <f t="shared" si="1"/>
        <v>5813</v>
      </c>
    </row>
    <row r="43" spans="1:10" ht="15">
      <c r="A43" s="58" t="s">
        <v>558</v>
      </c>
      <c r="C43" s="62">
        <v>165</v>
      </c>
      <c r="D43" s="62"/>
      <c r="E43" s="62">
        <v>0</v>
      </c>
      <c r="F43" s="62">
        <v>0</v>
      </c>
      <c r="G43" s="62">
        <v>165</v>
      </c>
      <c r="H43" s="62">
        <f t="shared" si="6"/>
        <v>165</v>
      </c>
      <c r="I43" s="159" t="s">
        <v>595</v>
      </c>
      <c r="J43" s="62">
        <f t="shared" si="1"/>
        <v>165</v>
      </c>
    </row>
    <row r="44" spans="1:10" ht="15">
      <c r="A44" s="58" t="s">
        <v>559</v>
      </c>
      <c r="C44" s="62">
        <v>4193</v>
      </c>
      <c r="D44" s="62"/>
      <c r="E44" s="62">
        <v>0</v>
      </c>
      <c r="F44" s="62">
        <v>0</v>
      </c>
      <c r="G44" s="62">
        <v>4193</v>
      </c>
      <c r="H44" s="62">
        <f t="shared" si="6"/>
        <v>4193</v>
      </c>
      <c r="I44" s="159" t="s">
        <v>595</v>
      </c>
      <c r="J44" s="62">
        <f t="shared" si="1"/>
        <v>4193</v>
      </c>
    </row>
    <row r="45" spans="1:10" ht="15">
      <c r="A45" s="370" t="s">
        <v>8</v>
      </c>
      <c r="B45" s="370"/>
      <c r="C45" s="62">
        <f>1685+546</f>
        <v>2231</v>
      </c>
      <c r="D45" s="62"/>
      <c r="E45" s="62">
        <v>0</v>
      </c>
      <c r="F45" s="62">
        <v>0</v>
      </c>
      <c r="G45" s="62">
        <v>2231</v>
      </c>
      <c r="H45" s="62">
        <f t="shared" si="6"/>
        <v>2231</v>
      </c>
      <c r="I45" s="159" t="s">
        <v>595</v>
      </c>
      <c r="J45" s="62">
        <f t="shared" si="1"/>
        <v>2231</v>
      </c>
    </row>
    <row r="46" spans="1:10" ht="15">
      <c r="A46" s="370" t="s">
        <v>9</v>
      </c>
      <c r="B46" s="370"/>
      <c r="C46" s="62">
        <v>3533</v>
      </c>
      <c r="D46" s="62"/>
      <c r="E46" s="62">
        <v>0</v>
      </c>
      <c r="F46" s="62">
        <v>0</v>
      </c>
      <c r="G46" s="62">
        <v>3533</v>
      </c>
      <c r="H46" s="62">
        <f t="shared" si="6"/>
        <v>3533</v>
      </c>
      <c r="I46" s="159" t="s">
        <v>595</v>
      </c>
      <c r="J46" s="62">
        <f t="shared" si="1"/>
        <v>3533</v>
      </c>
    </row>
    <row r="47" spans="1:10" ht="15">
      <c r="A47" s="370" t="s">
        <v>625</v>
      </c>
      <c r="B47" s="370"/>
      <c r="C47" s="62">
        <v>10271</v>
      </c>
      <c r="D47" s="62"/>
      <c r="E47" s="62">
        <v>0</v>
      </c>
      <c r="F47" s="62">
        <v>0</v>
      </c>
      <c r="G47" s="62">
        <v>10271</v>
      </c>
      <c r="H47" s="62">
        <f t="shared" si="6"/>
        <v>10271</v>
      </c>
      <c r="I47" s="159" t="s">
        <v>595</v>
      </c>
      <c r="J47" s="62">
        <f t="shared" si="1"/>
        <v>10271</v>
      </c>
    </row>
    <row r="48" spans="1:10" ht="15">
      <c r="A48" s="370" t="s">
        <v>629</v>
      </c>
      <c r="B48" s="370"/>
      <c r="C48" s="62">
        <v>50</v>
      </c>
      <c r="D48" s="62"/>
      <c r="E48" s="62">
        <v>0</v>
      </c>
      <c r="F48" s="62">
        <v>0</v>
      </c>
      <c r="G48" s="62">
        <v>50</v>
      </c>
      <c r="H48" s="62">
        <f t="shared" si="6"/>
        <v>50</v>
      </c>
      <c r="I48" s="159" t="s">
        <v>595</v>
      </c>
      <c r="J48" s="62">
        <f t="shared" si="1"/>
        <v>50</v>
      </c>
    </row>
    <row r="49" spans="1:10" ht="15">
      <c r="A49" s="370" t="s">
        <v>635</v>
      </c>
      <c r="B49" s="370"/>
      <c r="C49" s="62">
        <v>2642</v>
      </c>
      <c r="D49" s="62"/>
      <c r="E49" s="62">
        <v>0</v>
      </c>
      <c r="F49" s="62">
        <v>0</v>
      </c>
      <c r="G49" s="62">
        <v>2642</v>
      </c>
      <c r="H49" s="62">
        <f t="shared" si="6"/>
        <v>2642</v>
      </c>
      <c r="I49" s="159" t="s">
        <v>595</v>
      </c>
      <c r="J49" s="62">
        <f t="shared" si="1"/>
        <v>2642</v>
      </c>
    </row>
    <row r="50" spans="1:10" ht="15">
      <c r="A50" s="370" t="s">
        <v>735</v>
      </c>
      <c r="B50" s="370"/>
      <c r="C50" s="62">
        <v>13856</v>
      </c>
      <c r="D50" s="62"/>
      <c r="E50" s="62">
        <v>0</v>
      </c>
      <c r="F50" s="62">
        <v>0</v>
      </c>
      <c r="G50" s="62">
        <v>13856</v>
      </c>
      <c r="H50" s="62">
        <f t="shared" si="6"/>
        <v>13856</v>
      </c>
      <c r="I50" s="159" t="s">
        <v>595</v>
      </c>
      <c r="J50" s="62">
        <f t="shared" si="1"/>
        <v>13856</v>
      </c>
    </row>
    <row r="51" spans="1:10" ht="15">
      <c r="A51" s="370" t="s">
        <v>214</v>
      </c>
      <c r="B51" s="370"/>
      <c r="C51" s="62">
        <v>53905</v>
      </c>
      <c r="D51" s="62"/>
      <c r="E51" s="62">
        <v>0</v>
      </c>
      <c r="F51" s="62">
        <v>0</v>
      </c>
      <c r="G51" s="62">
        <v>53905</v>
      </c>
      <c r="H51" s="62">
        <f t="shared" si="6"/>
        <v>53905</v>
      </c>
      <c r="I51" s="159" t="s">
        <v>595</v>
      </c>
      <c r="J51" s="62">
        <f t="shared" si="1"/>
        <v>53905</v>
      </c>
    </row>
    <row r="52" spans="1:10" ht="15">
      <c r="A52" s="369" t="s">
        <v>223</v>
      </c>
      <c r="B52" s="369"/>
      <c r="C52" s="62">
        <v>75439</v>
      </c>
      <c r="D52" s="62"/>
      <c r="E52" s="62">
        <v>0</v>
      </c>
      <c r="F52" s="62">
        <v>0</v>
      </c>
      <c r="G52" s="62">
        <v>75439</v>
      </c>
      <c r="H52" s="62">
        <f t="shared" si="6"/>
        <v>75439</v>
      </c>
      <c r="I52" s="159" t="s">
        <v>595</v>
      </c>
      <c r="J52" s="62">
        <f t="shared" si="1"/>
        <v>75439</v>
      </c>
    </row>
    <row r="53" spans="1:10" ht="15">
      <c r="A53" s="58" t="s">
        <v>736</v>
      </c>
      <c r="C53" s="62">
        <v>1026</v>
      </c>
      <c r="D53" s="62"/>
      <c r="E53" s="62">
        <v>0</v>
      </c>
      <c r="F53" s="62">
        <v>0</v>
      </c>
      <c r="G53" s="62">
        <v>1026</v>
      </c>
      <c r="H53" s="62">
        <f t="shared" si="6"/>
        <v>1026</v>
      </c>
      <c r="I53" s="159" t="s">
        <v>595</v>
      </c>
      <c r="J53" s="62">
        <f t="shared" si="1"/>
        <v>1026</v>
      </c>
    </row>
    <row r="54" spans="1:10" ht="15">
      <c r="A54" s="58" t="s">
        <v>784</v>
      </c>
      <c r="C54" s="62">
        <v>14451</v>
      </c>
      <c r="D54" s="62"/>
      <c r="E54" s="62">
        <v>0</v>
      </c>
      <c r="F54" s="62">
        <v>0</v>
      </c>
      <c r="G54" s="62">
        <v>14451</v>
      </c>
      <c r="H54" s="62">
        <f t="shared" si="6"/>
        <v>14451</v>
      </c>
      <c r="I54" s="159" t="s">
        <v>595</v>
      </c>
      <c r="J54" s="62">
        <f t="shared" si="1"/>
        <v>14451</v>
      </c>
    </row>
    <row r="55" spans="1:10" ht="15">
      <c r="A55" s="58" t="s">
        <v>786</v>
      </c>
      <c r="C55" s="62">
        <v>350</v>
      </c>
      <c r="D55" s="62"/>
      <c r="E55" s="62">
        <v>0</v>
      </c>
      <c r="F55" s="62">
        <v>0</v>
      </c>
      <c r="G55" s="62">
        <v>350</v>
      </c>
      <c r="H55" s="62">
        <f>C55+D55</f>
        <v>350</v>
      </c>
      <c r="I55" s="159" t="s">
        <v>595</v>
      </c>
      <c r="J55" s="62">
        <f t="shared" si="1"/>
        <v>350</v>
      </c>
    </row>
    <row r="56" spans="1:10" ht="15">
      <c r="A56" s="58" t="s">
        <v>913</v>
      </c>
      <c r="C56" s="62">
        <v>1000</v>
      </c>
      <c r="D56" s="62"/>
      <c r="E56" s="62">
        <v>0</v>
      </c>
      <c r="F56" s="62">
        <v>0</v>
      </c>
      <c r="G56" s="62">
        <v>1000</v>
      </c>
      <c r="H56" s="62">
        <f>C56+D56</f>
        <v>1000</v>
      </c>
      <c r="I56" s="159" t="s">
        <v>595</v>
      </c>
      <c r="J56" s="62">
        <f t="shared" si="1"/>
        <v>1000</v>
      </c>
    </row>
    <row r="57" spans="1:10" ht="15">
      <c r="A57" s="58" t="s">
        <v>634</v>
      </c>
      <c r="C57" s="62">
        <v>4160</v>
      </c>
      <c r="D57" s="62"/>
      <c r="E57" s="62">
        <v>0</v>
      </c>
      <c r="F57" s="62">
        <v>0</v>
      </c>
      <c r="G57" s="62">
        <v>4160</v>
      </c>
      <c r="H57" s="62">
        <f t="shared" si="6"/>
        <v>4160</v>
      </c>
      <c r="I57" s="159" t="s">
        <v>595</v>
      </c>
      <c r="J57" s="62">
        <f t="shared" si="1"/>
        <v>4160</v>
      </c>
    </row>
    <row r="58" spans="1:10" ht="15">
      <c r="A58" s="58" t="s">
        <v>104</v>
      </c>
      <c r="C58" s="62">
        <v>5000</v>
      </c>
      <c r="D58" s="62"/>
      <c r="E58" s="62">
        <v>0</v>
      </c>
      <c r="F58" s="62">
        <v>0</v>
      </c>
      <c r="G58" s="62">
        <v>5000</v>
      </c>
      <c r="H58" s="62">
        <f t="shared" si="6"/>
        <v>5000</v>
      </c>
      <c r="I58" s="159" t="s">
        <v>595</v>
      </c>
      <c r="J58" s="62">
        <f t="shared" si="1"/>
        <v>5000</v>
      </c>
    </row>
    <row r="59" spans="1:10" ht="15">
      <c r="A59" s="58" t="s">
        <v>105</v>
      </c>
      <c r="C59" s="62">
        <v>11000</v>
      </c>
      <c r="D59" s="62"/>
      <c r="E59" s="62">
        <v>0</v>
      </c>
      <c r="F59" s="62">
        <v>0</v>
      </c>
      <c r="G59" s="62">
        <v>11000</v>
      </c>
      <c r="H59" s="62">
        <f t="shared" si="6"/>
        <v>11000</v>
      </c>
      <c r="I59" s="159" t="s">
        <v>595</v>
      </c>
      <c r="J59" s="62">
        <f t="shared" si="1"/>
        <v>11000</v>
      </c>
    </row>
    <row r="60" spans="1:10" ht="15">
      <c r="A60" s="58" t="s">
        <v>106</v>
      </c>
      <c r="C60" s="62">
        <f>C61</f>
        <v>5000</v>
      </c>
      <c r="D60" s="62">
        <f>D61</f>
        <v>0</v>
      </c>
      <c r="E60" s="62">
        <f>E61</f>
        <v>0</v>
      </c>
      <c r="F60" s="62">
        <f>F61</f>
        <v>5000</v>
      </c>
      <c r="G60" s="62">
        <f>G61</f>
        <v>0</v>
      </c>
      <c r="H60" s="62">
        <f t="shared" si="6"/>
        <v>5000</v>
      </c>
      <c r="I60" s="159" t="s">
        <v>597</v>
      </c>
      <c r="J60" s="62">
        <f t="shared" si="1"/>
        <v>5000</v>
      </c>
    </row>
    <row r="61" spans="1:10" ht="15">
      <c r="A61" s="68"/>
      <c r="B61" s="68" t="s">
        <v>107</v>
      </c>
      <c r="C61" s="69">
        <v>5000</v>
      </c>
      <c r="D61" s="69"/>
      <c r="E61" s="69">
        <v>0</v>
      </c>
      <c r="F61" s="69">
        <v>5000</v>
      </c>
      <c r="G61" s="69">
        <v>0</v>
      </c>
      <c r="H61" s="69">
        <v>5000</v>
      </c>
      <c r="I61" s="161" t="s">
        <v>597</v>
      </c>
      <c r="J61" s="62">
        <f t="shared" si="1"/>
        <v>5000</v>
      </c>
    </row>
    <row r="62" spans="1:10" s="93" customFormat="1" ht="15">
      <c r="A62" s="63" t="s">
        <v>600</v>
      </c>
      <c r="B62" s="63"/>
      <c r="C62" s="64">
        <f aca="true" t="shared" si="7" ref="C62:H62">SUM(C25:C28,C32:C60)</f>
        <v>521140</v>
      </c>
      <c r="D62" s="64">
        <f t="shared" si="7"/>
        <v>0</v>
      </c>
      <c r="E62" s="64">
        <f t="shared" si="7"/>
        <v>0</v>
      </c>
      <c r="F62" s="64">
        <f t="shared" si="7"/>
        <v>293564</v>
      </c>
      <c r="G62" s="64">
        <f t="shared" si="7"/>
        <v>227576</v>
      </c>
      <c r="H62" s="64">
        <f t="shared" si="7"/>
        <v>521140</v>
      </c>
      <c r="I62" s="160" t="s">
        <v>595</v>
      </c>
      <c r="J62" s="62">
        <f t="shared" si="1"/>
        <v>521140</v>
      </c>
    </row>
    <row r="63" spans="1:10" s="93" customFormat="1" ht="15">
      <c r="A63" s="70" t="s">
        <v>602</v>
      </c>
      <c r="C63" s="71">
        <v>36738</v>
      </c>
      <c r="D63" s="71"/>
      <c r="E63" s="71">
        <v>0</v>
      </c>
      <c r="F63" s="71">
        <v>36738</v>
      </c>
      <c r="G63" s="71">
        <v>0</v>
      </c>
      <c r="H63" s="64">
        <f>C63+D63</f>
        <v>36738</v>
      </c>
      <c r="I63" s="163" t="s">
        <v>603</v>
      </c>
      <c r="J63" s="62">
        <f t="shared" si="1"/>
        <v>36738</v>
      </c>
    </row>
    <row r="64" spans="1:10" s="93" customFormat="1" ht="15">
      <c r="A64" s="63" t="s">
        <v>23</v>
      </c>
      <c r="B64" s="63"/>
      <c r="C64" s="64">
        <v>0</v>
      </c>
      <c r="D64" s="64"/>
      <c r="E64" s="64">
        <v>0</v>
      </c>
      <c r="F64" s="64">
        <v>0</v>
      </c>
      <c r="G64" s="64">
        <v>0</v>
      </c>
      <c r="H64" s="64">
        <f>C64+D64</f>
        <v>0</v>
      </c>
      <c r="I64" s="160" t="s">
        <v>24</v>
      </c>
      <c r="J64" s="62">
        <f aca="true" t="shared" si="8" ref="J64:J115">SUM(E64:G64)</f>
        <v>0</v>
      </c>
    </row>
    <row r="65" spans="1:10" s="93" customFormat="1" ht="15">
      <c r="A65" s="63" t="s">
        <v>108</v>
      </c>
      <c r="B65" s="63"/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f>C65+D65</f>
        <v>0</v>
      </c>
      <c r="I65" s="160" t="s">
        <v>27</v>
      </c>
      <c r="J65" s="62">
        <f t="shared" si="8"/>
        <v>0</v>
      </c>
    </row>
    <row r="66" spans="1:10" ht="15">
      <c r="A66" s="58" t="s">
        <v>109</v>
      </c>
      <c r="C66" s="62">
        <v>40000</v>
      </c>
      <c r="D66" s="62"/>
      <c r="E66" s="62">
        <v>0</v>
      </c>
      <c r="F66" s="62">
        <v>40000</v>
      </c>
      <c r="G66" s="62">
        <v>0</v>
      </c>
      <c r="H66" s="62">
        <f>C66+D66</f>
        <v>40000</v>
      </c>
      <c r="I66" s="159" t="s">
        <v>30</v>
      </c>
      <c r="J66" s="62">
        <f t="shared" si="8"/>
        <v>40000</v>
      </c>
    </row>
    <row r="67" spans="1:10" ht="15">
      <c r="A67" s="58" t="s">
        <v>110</v>
      </c>
      <c r="C67" s="62">
        <v>20000</v>
      </c>
      <c r="D67" s="62">
        <v>0</v>
      </c>
      <c r="E67" s="62">
        <v>0</v>
      </c>
      <c r="F67" s="62">
        <v>20000</v>
      </c>
      <c r="G67" s="62">
        <v>0</v>
      </c>
      <c r="H67" s="62">
        <f aca="true" t="shared" si="9" ref="H67:H76">C67+D67</f>
        <v>20000</v>
      </c>
      <c r="I67" s="159" t="s">
        <v>30</v>
      </c>
      <c r="J67" s="62">
        <f t="shared" si="8"/>
        <v>20000</v>
      </c>
    </row>
    <row r="68" spans="1:10" ht="15">
      <c r="A68" s="58" t="s">
        <v>210</v>
      </c>
      <c r="C68" s="62">
        <v>235466</v>
      </c>
      <c r="D68" s="62"/>
      <c r="E68" s="62">
        <v>0</v>
      </c>
      <c r="F68" s="62">
        <v>235466</v>
      </c>
      <c r="G68" s="62">
        <v>0</v>
      </c>
      <c r="H68" s="62">
        <f t="shared" si="9"/>
        <v>235466</v>
      </c>
      <c r="I68" s="159" t="s">
        <v>30</v>
      </c>
      <c r="J68" s="62">
        <f t="shared" si="8"/>
        <v>235466</v>
      </c>
    </row>
    <row r="69" spans="1:10" ht="15">
      <c r="A69" s="58" t="s">
        <v>111</v>
      </c>
      <c r="C69" s="62">
        <v>344</v>
      </c>
      <c r="D69" s="62">
        <v>0</v>
      </c>
      <c r="E69" s="62">
        <v>0</v>
      </c>
      <c r="F69" s="62">
        <v>344</v>
      </c>
      <c r="G69" s="62">
        <v>0</v>
      </c>
      <c r="H69" s="62">
        <f t="shared" si="9"/>
        <v>344</v>
      </c>
      <c r="I69" s="159" t="s">
        <v>30</v>
      </c>
      <c r="J69" s="62">
        <f t="shared" si="8"/>
        <v>344</v>
      </c>
    </row>
    <row r="70" spans="1:10" ht="15">
      <c r="A70" s="58" t="s">
        <v>731</v>
      </c>
      <c r="C70" s="62">
        <v>986</v>
      </c>
      <c r="D70" s="62"/>
      <c r="E70" s="62">
        <v>0</v>
      </c>
      <c r="F70" s="62">
        <v>986</v>
      </c>
      <c r="G70" s="62">
        <v>0</v>
      </c>
      <c r="H70" s="62">
        <f t="shared" si="9"/>
        <v>986</v>
      </c>
      <c r="I70" s="159" t="s">
        <v>30</v>
      </c>
      <c r="J70" s="62">
        <f t="shared" si="8"/>
        <v>986</v>
      </c>
    </row>
    <row r="71" spans="1:10" ht="15">
      <c r="A71" s="58" t="s">
        <v>112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f t="shared" si="9"/>
        <v>0</v>
      </c>
      <c r="I71" s="159" t="s">
        <v>30</v>
      </c>
      <c r="J71" s="62">
        <f t="shared" si="8"/>
        <v>0</v>
      </c>
    </row>
    <row r="72" spans="1:10" ht="15">
      <c r="A72" s="58" t="s">
        <v>730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f t="shared" si="9"/>
        <v>0</v>
      </c>
      <c r="I72" s="159" t="s">
        <v>30</v>
      </c>
      <c r="J72" s="62">
        <f t="shared" si="8"/>
        <v>0</v>
      </c>
    </row>
    <row r="73" spans="1:10" ht="15">
      <c r="A73" s="58" t="s">
        <v>350</v>
      </c>
      <c r="C73" s="62">
        <v>1500</v>
      </c>
      <c r="D73" s="62">
        <v>0</v>
      </c>
      <c r="E73" s="62">
        <v>0</v>
      </c>
      <c r="F73" s="62">
        <v>1500</v>
      </c>
      <c r="G73" s="62">
        <v>0</v>
      </c>
      <c r="H73" s="62">
        <f t="shared" si="9"/>
        <v>1500</v>
      </c>
      <c r="I73" s="159" t="s">
        <v>30</v>
      </c>
      <c r="J73" s="62">
        <f t="shared" si="8"/>
        <v>1500</v>
      </c>
    </row>
    <row r="74" spans="1:10" ht="15">
      <c r="A74" s="58" t="s">
        <v>793</v>
      </c>
      <c r="C74" s="62">
        <v>500</v>
      </c>
      <c r="D74" s="62"/>
      <c r="E74" s="62">
        <v>0</v>
      </c>
      <c r="F74" s="62">
        <v>500</v>
      </c>
      <c r="G74" s="62">
        <v>0</v>
      </c>
      <c r="H74" s="62">
        <f t="shared" si="9"/>
        <v>500</v>
      </c>
      <c r="I74" s="159" t="s">
        <v>30</v>
      </c>
      <c r="J74" s="62">
        <f t="shared" si="8"/>
        <v>500</v>
      </c>
    </row>
    <row r="75" spans="1:10" ht="15">
      <c r="A75" s="58" t="s">
        <v>113</v>
      </c>
      <c r="C75" s="62">
        <v>3174</v>
      </c>
      <c r="D75" s="62">
        <v>0</v>
      </c>
      <c r="E75" s="62">
        <v>0</v>
      </c>
      <c r="F75" s="62">
        <v>3174</v>
      </c>
      <c r="G75" s="62">
        <v>0</v>
      </c>
      <c r="H75" s="62">
        <f t="shared" si="9"/>
        <v>3174</v>
      </c>
      <c r="I75" s="159" t="s">
        <v>30</v>
      </c>
      <c r="J75" s="62">
        <f t="shared" si="8"/>
        <v>3174</v>
      </c>
    </row>
    <row r="76" spans="1:10" ht="15">
      <c r="A76" s="58" t="s">
        <v>114</v>
      </c>
      <c r="C76" s="62">
        <v>1400</v>
      </c>
      <c r="D76" s="62">
        <v>0</v>
      </c>
      <c r="E76" s="62">
        <v>0</v>
      </c>
      <c r="F76" s="62">
        <v>1400</v>
      </c>
      <c r="G76" s="62">
        <v>0</v>
      </c>
      <c r="H76" s="62">
        <f t="shared" si="9"/>
        <v>1400</v>
      </c>
      <c r="I76" s="159" t="s">
        <v>30</v>
      </c>
      <c r="J76" s="62">
        <f t="shared" si="8"/>
        <v>1400</v>
      </c>
    </row>
    <row r="77" spans="1:10" s="93" customFormat="1" ht="15">
      <c r="A77" s="63" t="s">
        <v>29</v>
      </c>
      <c r="B77" s="63"/>
      <c r="C77" s="64">
        <f aca="true" t="shared" si="10" ref="C77:H77">SUM(C66:C76)</f>
        <v>303370</v>
      </c>
      <c r="D77" s="64">
        <f t="shared" si="10"/>
        <v>0</v>
      </c>
      <c r="E77" s="64">
        <f t="shared" si="10"/>
        <v>0</v>
      </c>
      <c r="F77" s="64">
        <f t="shared" si="10"/>
        <v>303370</v>
      </c>
      <c r="G77" s="64">
        <f t="shared" si="10"/>
        <v>0</v>
      </c>
      <c r="H77" s="64">
        <f t="shared" si="10"/>
        <v>303370</v>
      </c>
      <c r="I77" s="160" t="s">
        <v>30</v>
      </c>
      <c r="J77" s="62">
        <f t="shared" si="8"/>
        <v>303370</v>
      </c>
    </row>
    <row r="78" spans="1:10" ht="15">
      <c r="A78" s="58" t="s">
        <v>323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f>C78+D78</f>
        <v>0</v>
      </c>
      <c r="I78" s="159" t="s">
        <v>33</v>
      </c>
      <c r="J78" s="62">
        <f t="shared" si="8"/>
        <v>0</v>
      </c>
    </row>
    <row r="79" spans="1:10" ht="15">
      <c r="A79" s="58" t="s">
        <v>115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f>C79+D79</f>
        <v>0</v>
      </c>
      <c r="I79" s="159" t="s">
        <v>33</v>
      </c>
      <c r="J79" s="62">
        <f t="shared" si="8"/>
        <v>0</v>
      </c>
    </row>
    <row r="80" spans="1:10" s="93" customFormat="1" ht="15">
      <c r="A80" s="63" t="s">
        <v>44</v>
      </c>
      <c r="B80" s="63"/>
      <c r="C80" s="64">
        <f aca="true" t="shared" si="11" ref="C80:H80">SUM(C78:C79)</f>
        <v>0</v>
      </c>
      <c r="D80" s="64">
        <f t="shared" si="11"/>
        <v>0</v>
      </c>
      <c r="E80" s="64">
        <f t="shared" si="11"/>
        <v>0</v>
      </c>
      <c r="F80" s="64">
        <f t="shared" si="11"/>
        <v>0</v>
      </c>
      <c r="G80" s="64">
        <f t="shared" si="11"/>
        <v>0</v>
      </c>
      <c r="H80" s="64">
        <f t="shared" si="11"/>
        <v>0</v>
      </c>
      <c r="I80" s="160" t="s">
        <v>33</v>
      </c>
      <c r="J80" s="62">
        <f t="shared" si="8"/>
        <v>0</v>
      </c>
    </row>
    <row r="81" spans="1:10" ht="15">
      <c r="A81" s="58" t="s">
        <v>116</v>
      </c>
      <c r="C81" s="62">
        <v>45390</v>
      </c>
      <c r="D81" s="62"/>
      <c r="E81" s="62">
        <v>0</v>
      </c>
      <c r="F81" s="62">
        <v>0</v>
      </c>
      <c r="G81" s="62">
        <v>45390</v>
      </c>
      <c r="H81" s="62">
        <f>C81+D81</f>
        <v>45390</v>
      </c>
      <c r="I81" s="159" t="s">
        <v>36</v>
      </c>
      <c r="J81" s="62">
        <f t="shared" si="8"/>
        <v>45390</v>
      </c>
    </row>
    <row r="82" spans="1:10" ht="15">
      <c r="A82" s="58" t="s">
        <v>117</v>
      </c>
      <c r="C82" s="62">
        <v>150</v>
      </c>
      <c r="D82" s="62">
        <v>0</v>
      </c>
      <c r="E82" s="62">
        <v>0</v>
      </c>
      <c r="F82" s="62">
        <v>0</v>
      </c>
      <c r="G82" s="62">
        <v>150</v>
      </c>
      <c r="H82" s="62">
        <f aca="true" t="shared" si="12" ref="H82:H112">C82+D82</f>
        <v>150</v>
      </c>
      <c r="I82" s="159" t="s">
        <v>36</v>
      </c>
      <c r="J82" s="62">
        <f t="shared" si="8"/>
        <v>150</v>
      </c>
    </row>
    <row r="83" spans="1:10" ht="15">
      <c r="A83" s="58" t="s">
        <v>118</v>
      </c>
      <c r="C83" s="62">
        <v>2000</v>
      </c>
      <c r="D83" s="62">
        <v>0</v>
      </c>
      <c r="E83" s="62">
        <v>0</v>
      </c>
      <c r="F83" s="62">
        <v>0</v>
      </c>
      <c r="G83" s="62">
        <v>2000</v>
      </c>
      <c r="H83" s="62">
        <f t="shared" si="12"/>
        <v>2000</v>
      </c>
      <c r="I83" s="159" t="s">
        <v>36</v>
      </c>
      <c r="J83" s="62">
        <f t="shared" si="8"/>
        <v>2000</v>
      </c>
    </row>
    <row r="84" spans="1:10" ht="15">
      <c r="A84" s="58" t="s">
        <v>119</v>
      </c>
      <c r="C84" s="62">
        <v>1500</v>
      </c>
      <c r="D84" s="62">
        <v>0</v>
      </c>
      <c r="E84" s="62">
        <v>0</v>
      </c>
      <c r="F84" s="62">
        <v>0</v>
      </c>
      <c r="G84" s="62">
        <v>1500</v>
      </c>
      <c r="H84" s="62">
        <f t="shared" si="12"/>
        <v>1500</v>
      </c>
      <c r="I84" s="159" t="s">
        <v>36</v>
      </c>
      <c r="J84" s="62">
        <f t="shared" si="8"/>
        <v>1500</v>
      </c>
    </row>
    <row r="85" spans="1:10" ht="15">
      <c r="A85" s="58" t="s">
        <v>120</v>
      </c>
      <c r="C85" s="62">
        <v>175780</v>
      </c>
      <c r="D85" s="62">
        <v>0</v>
      </c>
      <c r="E85" s="62">
        <v>0</v>
      </c>
      <c r="F85" s="62">
        <v>175780</v>
      </c>
      <c r="G85" s="62">
        <v>0</v>
      </c>
      <c r="H85" s="62">
        <f t="shared" si="12"/>
        <v>175780</v>
      </c>
      <c r="I85" s="159" t="s">
        <v>36</v>
      </c>
      <c r="J85" s="62">
        <f t="shared" si="8"/>
        <v>175780</v>
      </c>
    </row>
    <row r="86" spans="1:10" ht="15">
      <c r="A86" s="58" t="s">
        <v>121</v>
      </c>
      <c r="C86" s="62">
        <v>15000</v>
      </c>
      <c r="D86" s="62">
        <v>0</v>
      </c>
      <c r="E86" s="62">
        <v>0</v>
      </c>
      <c r="F86" s="62">
        <v>0</v>
      </c>
      <c r="G86" s="62">
        <v>15000</v>
      </c>
      <c r="H86" s="62">
        <f t="shared" si="12"/>
        <v>15000</v>
      </c>
      <c r="I86" s="159" t="s">
        <v>36</v>
      </c>
      <c r="J86" s="62">
        <f t="shared" si="8"/>
        <v>15000</v>
      </c>
    </row>
    <row r="87" spans="1:10" ht="15">
      <c r="A87" s="58" t="s">
        <v>122</v>
      </c>
      <c r="C87" s="62">
        <v>75000</v>
      </c>
      <c r="D87" s="62"/>
      <c r="E87" s="62">
        <v>0</v>
      </c>
      <c r="F87" s="62">
        <v>0</v>
      </c>
      <c r="G87" s="62">
        <v>75000</v>
      </c>
      <c r="H87" s="62">
        <f t="shared" si="12"/>
        <v>75000</v>
      </c>
      <c r="I87" s="159" t="s">
        <v>36</v>
      </c>
      <c r="J87" s="62">
        <f t="shared" si="8"/>
        <v>75000</v>
      </c>
    </row>
    <row r="88" spans="1:10" ht="15">
      <c r="A88" s="58" t="s">
        <v>123</v>
      </c>
      <c r="C88" s="62">
        <v>1500</v>
      </c>
      <c r="D88" s="62">
        <v>0</v>
      </c>
      <c r="E88" s="62">
        <v>0</v>
      </c>
      <c r="F88" s="62">
        <v>0</v>
      </c>
      <c r="G88" s="62">
        <v>1500</v>
      </c>
      <c r="H88" s="62">
        <f t="shared" si="12"/>
        <v>1500</v>
      </c>
      <c r="I88" s="159" t="s">
        <v>36</v>
      </c>
      <c r="J88" s="62">
        <f t="shared" si="8"/>
        <v>1500</v>
      </c>
    </row>
    <row r="89" spans="1:10" ht="15">
      <c r="A89" s="58" t="s">
        <v>188</v>
      </c>
      <c r="C89" s="62">
        <v>3000</v>
      </c>
      <c r="D89" s="62">
        <v>0</v>
      </c>
      <c r="E89" s="62">
        <v>0</v>
      </c>
      <c r="F89" s="62">
        <v>0</v>
      </c>
      <c r="G89" s="62">
        <v>3000</v>
      </c>
      <c r="H89" s="62">
        <f t="shared" si="12"/>
        <v>3000</v>
      </c>
      <c r="I89" s="159" t="s">
        <v>36</v>
      </c>
      <c r="J89" s="62">
        <f t="shared" si="8"/>
        <v>3000</v>
      </c>
    </row>
    <row r="90" spans="1:10" ht="15">
      <c r="A90" s="58" t="s">
        <v>821</v>
      </c>
      <c r="C90" s="62">
        <v>1700</v>
      </c>
      <c r="D90" s="62"/>
      <c r="E90" s="62">
        <v>0</v>
      </c>
      <c r="F90" s="62">
        <v>0</v>
      </c>
      <c r="G90" s="62">
        <v>1700</v>
      </c>
      <c r="H90" s="62">
        <f t="shared" si="12"/>
        <v>1700</v>
      </c>
      <c r="I90" s="159" t="s">
        <v>36</v>
      </c>
      <c r="J90" s="62">
        <f t="shared" si="8"/>
        <v>1700</v>
      </c>
    </row>
    <row r="91" spans="1:10" ht="15">
      <c r="A91" s="58" t="s">
        <v>217</v>
      </c>
      <c r="C91" s="62">
        <v>76350</v>
      </c>
      <c r="D91" s="62">
        <v>0</v>
      </c>
      <c r="E91" s="62">
        <v>0</v>
      </c>
      <c r="F91" s="62">
        <v>0</v>
      </c>
      <c r="G91" s="62">
        <v>76350</v>
      </c>
      <c r="H91" s="62">
        <f t="shared" si="12"/>
        <v>76350</v>
      </c>
      <c r="I91" s="159" t="s">
        <v>36</v>
      </c>
      <c r="J91" s="62">
        <f t="shared" si="8"/>
        <v>76350</v>
      </c>
    </row>
    <row r="92" spans="1:10" ht="15">
      <c r="A92" s="58" t="s">
        <v>637</v>
      </c>
      <c r="C92" s="62">
        <v>6800</v>
      </c>
      <c r="D92" s="62"/>
      <c r="E92" s="62">
        <v>0</v>
      </c>
      <c r="F92" s="62">
        <v>0</v>
      </c>
      <c r="G92" s="62">
        <v>6800</v>
      </c>
      <c r="H92" s="62">
        <f t="shared" si="12"/>
        <v>6800</v>
      </c>
      <c r="I92" s="159" t="s">
        <v>36</v>
      </c>
      <c r="J92" s="62">
        <f t="shared" si="8"/>
        <v>6800</v>
      </c>
    </row>
    <row r="93" spans="1:10" ht="15">
      <c r="A93" s="58" t="s">
        <v>822</v>
      </c>
      <c r="C93" s="62">
        <v>11864</v>
      </c>
      <c r="D93" s="62"/>
      <c r="E93" s="62">
        <v>0</v>
      </c>
      <c r="F93" s="62">
        <v>0</v>
      </c>
      <c r="G93" s="62">
        <v>11864</v>
      </c>
      <c r="H93" s="62">
        <f t="shared" si="12"/>
        <v>11864</v>
      </c>
      <c r="I93" s="159" t="s">
        <v>36</v>
      </c>
      <c r="J93" s="62">
        <f t="shared" si="8"/>
        <v>11864</v>
      </c>
    </row>
    <row r="94" spans="1:10" ht="15">
      <c r="A94" s="58" t="s">
        <v>124</v>
      </c>
      <c r="C94" s="62">
        <v>2925</v>
      </c>
      <c r="D94" s="62">
        <v>0</v>
      </c>
      <c r="E94" s="62">
        <v>0</v>
      </c>
      <c r="F94" s="62">
        <v>0</v>
      </c>
      <c r="G94" s="62">
        <v>2925</v>
      </c>
      <c r="H94" s="62">
        <f t="shared" si="12"/>
        <v>2925</v>
      </c>
      <c r="I94" s="159" t="s">
        <v>36</v>
      </c>
      <c r="J94" s="62">
        <f t="shared" si="8"/>
        <v>2925</v>
      </c>
    </row>
    <row r="95" spans="1:10" ht="15">
      <c r="A95" s="58" t="s">
        <v>125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62">
        <f t="shared" si="12"/>
        <v>0</v>
      </c>
      <c r="I95" s="159" t="s">
        <v>36</v>
      </c>
      <c r="J95" s="62">
        <f t="shared" si="8"/>
        <v>0</v>
      </c>
    </row>
    <row r="96" spans="1:10" ht="15">
      <c r="A96" s="58" t="s">
        <v>126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f t="shared" si="12"/>
        <v>0</v>
      </c>
      <c r="I96" s="159" t="s">
        <v>36</v>
      </c>
      <c r="J96" s="62">
        <f t="shared" si="8"/>
        <v>0</v>
      </c>
    </row>
    <row r="97" spans="1:10" ht="15">
      <c r="A97" s="58" t="s">
        <v>127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f t="shared" si="12"/>
        <v>0</v>
      </c>
      <c r="I97" s="159" t="s">
        <v>36</v>
      </c>
      <c r="J97" s="62">
        <f t="shared" si="8"/>
        <v>0</v>
      </c>
    </row>
    <row r="98" spans="1:10" ht="15">
      <c r="A98" s="58" t="s">
        <v>734</v>
      </c>
      <c r="C98" s="62">
        <v>550</v>
      </c>
      <c r="D98" s="62"/>
      <c r="E98" s="62">
        <v>0</v>
      </c>
      <c r="F98" s="62">
        <v>0</v>
      </c>
      <c r="G98" s="62">
        <v>550</v>
      </c>
      <c r="H98" s="62">
        <f t="shared" si="12"/>
        <v>550</v>
      </c>
      <c r="I98" s="159" t="s">
        <v>36</v>
      </c>
      <c r="J98" s="62">
        <f t="shared" si="8"/>
        <v>550</v>
      </c>
    </row>
    <row r="99" spans="1:10" ht="15">
      <c r="A99" s="58" t="s">
        <v>128</v>
      </c>
      <c r="C99" s="62">
        <v>100</v>
      </c>
      <c r="D99" s="62">
        <v>0</v>
      </c>
      <c r="E99" s="62">
        <v>0</v>
      </c>
      <c r="F99" s="62">
        <v>0</v>
      </c>
      <c r="G99" s="62">
        <v>100</v>
      </c>
      <c r="H99" s="62">
        <f t="shared" si="12"/>
        <v>100</v>
      </c>
      <c r="I99" s="159" t="s">
        <v>36</v>
      </c>
      <c r="J99" s="62">
        <f t="shared" si="8"/>
        <v>100</v>
      </c>
    </row>
    <row r="100" spans="1:10" ht="15">
      <c r="A100" s="58" t="s">
        <v>819</v>
      </c>
      <c r="C100" s="62">
        <v>0</v>
      </c>
      <c r="D100" s="62"/>
      <c r="E100" s="62">
        <v>0</v>
      </c>
      <c r="F100" s="62">
        <v>0</v>
      </c>
      <c r="G100" s="62">
        <v>0</v>
      </c>
      <c r="H100" s="62">
        <f t="shared" si="12"/>
        <v>0</v>
      </c>
      <c r="I100" s="159" t="s">
        <v>36</v>
      </c>
      <c r="J100" s="62">
        <f t="shared" si="8"/>
        <v>0</v>
      </c>
    </row>
    <row r="101" spans="1:10" ht="15">
      <c r="A101" s="58" t="s">
        <v>631</v>
      </c>
      <c r="C101" s="62">
        <v>0</v>
      </c>
      <c r="D101" s="62"/>
      <c r="E101" s="62">
        <v>0</v>
      </c>
      <c r="F101" s="62">
        <v>0</v>
      </c>
      <c r="G101" s="62">
        <v>0</v>
      </c>
      <c r="H101" s="62">
        <f t="shared" si="12"/>
        <v>0</v>
      </c>
      <c r="I101" s="159" t="s">
        <v>36</v>
      </c>
      <c r="J101" s="62">
        <f t="shared" si="8"/>
        <v>0</v>
      </c>
    </row>
    <row r="102" spans="1:10" ht="15">
      <c r="A102" s="58" t="s">
        <v>211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62">
        <f t="shared" si="12"/>
        <v>0</v>
      </c>
      <c r="I102" s="159" t="s">
        <v>36</v>
      </c>
      <c r="J102" s="62">
        <f t="shared" si="8"/>
        <v>0</v>
      </c>
    </row>
    <row r="103" spans="1:10" ht="15">
      <c r="A103" s="58" t="s">
        <v>638</v>
      </c>
      <c r="C103" s="62">
        <v>0</v>
      </c>
      <c r="D103" s="62"/>
      <c r="E103" s="62">
        <v>0</v>
      </c>
      <c r="F103" s="62">
        <v>0</v>
      </c>
      <c r="G103" s="62">
        <v>0</v>
      </c>
      <c r="H103" s="62">
        <f t="shared" si="12"/>
        <v>0</v>
      </c>
      <c r="I103" s="159" t="s">
        <v>36</v>
      </c>
      <c r="J103" s="62">
        <f t="shared" si="8"/>
        <v>0</v>
      </c>
    </row>
    <row r="104" spans="1:10" ht="15">
      <c r="A104" s="58" t="s">
        <v>782</v>
      </c>
      <c r="C104" s="62">
        <v>540</v>
      </c>
      <c r="D104" s="62"/>
      <c r="E104" s="62">
        <v>0</v>
      </c>
      <c r="F104" s="62">
        <v>0</v>
      </c>
      <c r="G104" s="62">
        <v>540</v>
      </c>
      <c r="H104" s="62">
        <f t="shared" si="12"/>
        <v>540</v>
      </c>
      <c r="I104" s="159" t="s">
        <v>36</v>
      </c>
      <c r="J104" s="62">
        <f t="shared" si="8"/>
        <v>540</v>
      </c>
    </row>
    <row r="105" spans="1:10" ht="15">
      <c r="A105" s="58" t="s">
        <v>636</v>
      </c>
      <c r="C105" s="62">
        <v>1200</v>
      </c>
      <c r="D105" s="62"/>
      <c r="E105" s="62">
        <v>0</v>
      </c>
      <c r="F105" s="62">
        <v>0</v>
      </c>
      <c r="G105" s="62">
        <v>1200</v>
      </c>
      <c r="H105" s="62">
        <f t="shared" si="12"/>
        <v>1200</v>
      </c>
      <c r="I105" s="159" t="s">
        <v>36</v>
      </c>
      <c r="J105" s="62">
        <f t="shared" si="8"/>
        <v>1200</v>
      </c>
    </row>
    <row r="106" spans="1:10" ht="15">
      <c r="A106" s="58" t="s">
        <v>351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f t="shared" si="12"/>
        <v>0</v>
      </c>
      <c r="I106" s="159" t="s">
        <v>36</v>
      </c>
      <c r="J106" s="62">
        <f t="shared" si="8"/>
        <v>0</v>
      </c>
    </row>
    <row r="107" spans="1:10" ht="15">
      <c r="A107" s="58" t="s">
        <v>738</v>
      </c>
      <c r="C107" s="62">
        <v>0</v>
      </c>
      <c r="D107" s="62"/>
      <c r="E107" s="62">
        <v>0</v>
      </c>
      <c r="F107" s="62">
        <v>0</v>
      </c>
      <c r="G107" s="62">
        <v>0</v>
      </c>
      <c r="H107" s="62">
        <f t="shared" si="12"/>
        <v>0</v>
      </c>
      <c r="I107" s="159" t="s">
        <v>36</v>
      </c>
      <c r="J107" s="62">
        <f t="shared" si="8"/>
        <v>0</v>
      </c>
    </row>
    <row r="108" spans="1:10" ht="15">
      <c r="A108" s="58" t="s">
        <v>129</v>
      </c>
      <c r="C108" s="62">
        <v>0</v>
      </c>
      <c r="D108" s="62"/>
      <c r="E108" s="62">
        <v>0</v>
      </c>
      <c r="F108" s="62">
        <v>0</v>
      </c>
      <c r="G108" s="62">
        <v>0</v>
      </c>
      <c r="H108" s="62">
        <f t="shared" si="12"/>
        <v>0</v>
      </c>
      <c r="I108" s="159" t="s">
        <v>36</v>
      </c>
      <c r="J108" s="62">
        <f t="shared" si="8"/>
        <v>0</v>
      </c>
    </row>
    <row r="109" spans="1:10" ht="15">
      <c r="A109" s="58" t="s">
        <v>794</v>
      </c>
      <c r="C109" s="62">
        <v>3105</v>
      </c>
      <c r="D109" s="62"/>
      <c r="E109" s="62">
        <v>0</v>
      </c>
      <c r="F109" s="62">
        <v>0</v>
      </c>
      <c r="G109" s="62">
        <v>3105</v>
      </c>
      <c r="H109" s="62">
        <f t="shared" si="12"/>
        <v>3105</v>
      </c>
      <c r="I109" s="159" t="s">
        <v>36</v>
      </c>
      <c r="J109" s="62">
        <f t="shared" si="8"/>
        <v>3105</v>
      </c>
    </row>
    <row r="110" spans="1:10" ht="15">
      <c r="A110" s="58" t="s">
        <v>130</v>
      </c>
      <c r="C110" s="62">
        <v>1313</v>
      </c>
      <c r="D110" s="62"/>
      <c r="E110" s="62">
        <v>0</v>
      </c>
      <c r="F110" s="62">
        <v>0</v>
      </c>
      <c r="G110" s="62">
        <v>1313</v>
      </c>
      <c r="H110" s="62">
        <f t="shared" si="12"/>
        <v>1313</v>
      </c>
      <c r="I110" s="159" t="s">
        <v>36</v>
      </c>
      <c r="J110" s="62">
        <f t="shared" si="8"/>
        <v>1313</v>
      </c>
    </row>
    <row r="111" spans="1:10" ht="15">
      <c r="A111" s="58" t="s">
        <v>131</v>
      </c>
      <c r="C111" s="62">
        <v>6500</v>
      </c>
      <c r="D111" s="62">
        <v>0</v>
      </c>
      <c r="E111" s="62">
        <v>0</v>
      </c>
      <c r="F111" s="62">
        <v>0</v>
      </c>
      <c r="G111" s="62">
        <v>6500</v>
      </c>
      <c r="H111" s="62">
        <f t="shared" si="12"/>
        <v>6500</v>
      </c>
      <c r="I111" s="159" t="s">
        <v>36</v>
      </c>
      <c r="J111" s="62">
        <f t="shared" si="8"/>
        <v>6500</v>
      </c>
    </row>
    <row r="112" spans="1:10" ht="15">
      <c r="A112" s="58" t="s">
        <v>132</v>
      </c>
      <c r="C112" s="62">
        <v>8125</v>
      </c>
      <c r="D112" s="62">
        <v>0</v>
      </c>
      <c r="E112" s="62">
        <v>0</v>
      </c>
      <c r="F112" s="62">
        <v>0</v>
      </c>
      <c r="G112" s="62">
        <v>8125</v>
      </c>
      <c r="H112" s="62">
        <f t="shared" si="12"/>
        <v>8125</v>
      </c>
      <c r="I112" s="159" t="s">
        <v>36</v>
      </c>
      <c r="J112" s="62">
        <f t="shared" si="8"/>
        <v>8125</v>
      </c>
    </row>
    <row r="113" spans="1:10" s="93" customFormat="1" ht="15">
      <c r="A113" s="63" t="s">
        <v>35</v>
      </c>
      <c r="B113" s="63"/>
      <c r="C113" s="64">
        <f aca="true" t="shared" si="13" ref="C113:H113">SUM(C81:C112)</f>
        <v>440392</v>
      </c>
      <c r="D113" s="64">
        <f t="shared" si="13"/>
        <v>0</v>
      </c>
      <c r="E113" s="64">
        <f t="shared" si="13"/>
        <v>0</v>
      </c>
      <c r="F113" s="64">
        <f t="shared" si="13"/>
        <v>175780</v>
      </c>
      <c r="G113" s="64">
        <f t="shared" si="13"/>
        <v>264612</v>
      </c>
      <c r="H113" s="64">
        <f t="shared" si="13"/>
        <v>440392</v>
      </c>
      <c r="I113" s="160" t="s">
        <v>36</v>
      </c>
      <c r="J113" s="62">
        <f t="shared" si="8"/>
        <v>440392</v>
      </c>
    </row>
    <row r="114" spans="1:10" s="93" customFormat="1" ht="15">
      <c r="A114" s="70" t="s">
        <v>40</v>
      </c>
      <c r="C114" s="71">
        <f aca="true" t="shared" si="14" ref="C114:H114">SUM(C64,C77,C113,C80,C65)</f>
        <v>743762</v>
      </c>
      <c r="D114" s="71">
        <f t="shared" si="14"/>
        <v>0</v>
      </c>
      <c r="E114" s="71">
        <f t="shared" si="14"/>
        <v>0</v>
      </c>
      <c r="F114" s="71">
        <f t="shared" si="14"/>
        <v>479150</v>
      </c>
      <c r="G114" s="71">
        <f t="shared" si="14"/>
        <v>264612</v>
      </c>
      <c r="H114" s="71">
        <f t="shared" si="14"/>
        <v>743762</v>
      </c>
      <c r="I114" s="163" t="s">
        <v>21</v>
      </c>
      <c r="J114" s="62">
        <f t="shared" si="8"/>
        <v>743762</v>
      </c>
    </row>
    <row r="115" spans="1:10" s="93" customFormat="1" ht="15">
      <c r="A115" s="63" t="s">
        <v>133</v>
      </c>
      <c r="B115" s="63"/>
      <c r="C115" s="64">
        <f aca="true" t="shared" si="15" ref="C115:H115">SUM(C114,C63,C62,C24,C17)</f>
        <v>1458450</v>
      </c>
      <c r="D115" s="64">
        <f t="shared" si="15"/>
        <v>0</v>
      </c>
      <c r="E115" s="64">
        <f t="shared" si="15"/>
        <v>0</v>
      </c>
      <c r="F115" s="64">
        <f t="shared" si="15"/>
        <v>887179</v>
      </c>
      <c r="G115" s="64">
        <f t="shared" si="15"/>
        <v>571271</v>
      </c>
      <c r="H115" s="64">
        <f t="shared" si="15"/>
        <v>1458450</v>
      </c>
      <c r="I115" s="160"/>
      <c r="J115" s="62">
        <f t="shared" si="8"/>
        <v>1458450</v>
      </c>
    </row>
  </sheetData>
  <sheetProtection/>
  <mergeCells count="19">
    <mergeCell ref="A51:B51"/>
    <mergeCell ref="A48:B48"/>
    <mergeCell ref="A22:B22"/>
    <mergeCell ref="A49:B49"/>
    <mergeCell ref="A50:B50"/>
    <mergeCell ref="A14:B14"/>
    <mergeCell ref="A15:B15"/>
    <mergeCell ref="A20:B20"/>
    <mergeCell ref="A21:B21"/>
    <mergeCell ref="E2:I2"/>
    <mergeCell ref="A52:B52"/>
    <mergeCell ref="A45:B45"/>
    <mergeCell ref="A46:B46"/>
    <mergeCell ref="A47:B47"/>
    <mergeCell ref="A10:B10"/>
    <mergeCell ref="A4:I4"/>
    <mergeCell ref="G8:I8"/>
    <mergeCell ref="A9:B9"/>
    <mergeCell ref="A13:B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44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75" zoomScaleSheetLayoutView="75" zoomScalePageLayoutView="0" workbookViewId="0" topLeftCell="A1">
      <selection activeCell="D2" sqref="D2:H2"/>
    </sheetView>
  </sheetViews>
  <sheetFormatPr defaultColWidth="9.140625" defaultRowHeight="12.75"/>
  <cols>
    <col min="1" max="1" width="71.140625" style="59" bestFit="1" customWidth="1"/>
    <col min="2" max="2" width="12.57421875" style="59" customWidth="1"/>
    <col min="3" max="3" width="0.13671875" style="59" customWidth="1"/>
    <col min="4" max="4" width="14.140625" style="59" customWidth="1"/>
    <col min="5" max="5" width="13.140625" style="59" customWidth="1"/>
    <col min="6" max="6" width="12.57421875" style="59" customWidth="1"/>
    <col min="7" max="7" width="14.00390625" style="59" customWidth="1"/>
    <col min="8" max="8" width="11.28125" style="59" customWidth="1"/>
    <col min="9" max="9" width="9.8515625" style="59" bestFit="1" customWidth="1"/>
    <col min="10" max="16384" width="9.140625" style="59" customWidth="1"/>
  </cols>
  <sheetData>
    <row r="1" spans="1:8" ht="15">
      <c r="A1" s="58"/>
      <c r="H1" s="58"/>
    </row>
    <row r="2" spans="1:8" ht="15">
      <c r="A2" s="58"/>
      <c r="D2" s="366" t="s">
        <v>925</v>
      </c>
      <c r="E2" s="366"/>
      <c r="F2" s="366"/>
      <c r="G2" s="366"/>
      <c r="H2" s="366"/>
    </row>
    <row r="3" spans="1:8" ht="15">
      <c r="A3" s="58"/>
      <c r="H3" s="58"/>
    </row>
    <row r="4" spans="1:8" ht="15">
      <c r="A4" s="365" t="s">
        <v>756</v>
      </c>
      <c r="B4" s="365"/>
      <c r="C4" s="365"/>
      <c r="D4" s="365"/>
      <c r="E4" s="365"/>
      <c r="F4" s="365"/>
      <c r="G4" s="365"/>
      <c r="H4" s="365"/>
    </row>
    <row r="5" spans="1:8" ht="15">
      <c r="A5" s="58"/>
      <c r="H5" s="58"/>
    </row>
    <row r="6" spans="1:8" ht="15">
      <c r="A6" s="58"/>
      <c r="H6" s="58"/>
    </row>
    <row r="7" spans="1:8" ht="15">
      <c r="A7" s="58"/>
      <c r="F7" s="367" t="s">
        <v>547</v>
      </c>
      <c r="G7" s="367"/>
      <c r="H7" s="367"/>
    </row>
    <row r="8" spans="1:8" s="92" customFormat="1" ht="124.5">
      <c r="A8" s="91" t="s">
        <v>548</v>
      </c>
      <c r="B8" s="91" t="s">
        <v>740</v>
      </c>
      <c r="C8" s="154" t="s">
        <v>520</v>
      </c>
      <c r="D8" s="154" t="s">
        <v>365</v>
      </c>
      <c r="E8" s="154" t="s">
        <v>366</v>
      </c>
      <c r="F8" s="154" t="s">
        <v>367</v>
      </c>
      <c r="G8" s="154" t="s">
        <v>640</v>
      </c>
      <c r="H8" s="91" t="s">
        <v>368</v>
      </c>
    </row>
    <row r="9" spans="1:8" s="158" customFormat="1" ht="15">
      <c r="A9" s="61" t="s">
        <v>380</v>
      </c>
      <c r="B9" s="156" t="s">
        <v>381</v>
      </c>
      <c r="C9" s="156" t="s">
        <v>519</v>
      </c>
      <c r="D9" s="157" t="s">
        <v>382</v>
      </c>
      <c r="E9" s="157" t="s">
        <v>383</v>
      </c>
      <c r="F9" s="157" t="s">
        <v>384</v>
      </c>
      <c r="G9" s="157" t="s">
        <v>385</v>
      </c>
      <c r="H9" s="61" t="s">
        <v>386</v>
      </c>
    </row>
    <row r="10" spans="1:9" ht="15">
      <c r="A10" s="58" t="s">
        <v>134</v>
      </c>
      <c r="B10" s="62">
        <v>418759</v>
      </c>
      <c r="C10" s="62"/>
      <c r="D10" s="62">
        <v>90899</v>
      </c>
      <c r="E10" s="62">
        <v>312380</v>
      </c>
      <c r="F10" s="62">
        <v>15480</v>
      </c>
      <c r="G10" s="62">
        <f>B10+C10</f>
        <v>418759</v>
      </c>
      <c r="H10" s="159" t="s">
        <v>591</v>
      </c>
      <c r="I10" s="62">
        <f>D10+E10+F10</f>
        <v>418759</v>
      </c>
    </row>
    <row r="11" spans="1:9" ht="15">
      <c r="A11" s="58" t="s">
        <v>757</v>
      </c>
      <c r="B11" s="62">
        <v>884</v>
      </c>
      <c r="C11" s="62"/>
      <c r="D11" s="62">
        <v>0</v>
      </c>
      <c r="E11" s="62">
        <v>884</v>
      </c>
      <c r="F11" s="62">
        <v>0</v>
      </c>
      <c r="G11" s="62">
        <f>B11+C11</f>
        <v>884</v>
      </c>
      <c r="H11" s="159" t="s">
        <v>591</v>
      </c>
      <c r="I11" s="62">
        <f aca="true" t="shared" si="0" ref="I11:I34">D11+E11+F11</f>
        <v>884</v>
      </c>
    </row>
    <row r="12" spans="1:9" ht="15">
      <c r="A12" s="58" t="s">
        <v>606</v>
      </c>
      <c r="B12" s="62">
        <v>3247</v>
      </c>
      <c r="C12" s="62"/>
      <c r="D12" s="62">
        <v>0</v>
      </c>
      <c r="E12" s="62">
        <v>0</v>
      </c>
      <c r="F12" s="62">
        <v>3247</v>
      </c>
      <c r="G12" s="62">
        <f>B12+C12</f>
        <v>3247</v>
      </c>
      <c r="H12" s="159" t="s">
        <v>591</v>
      </c>
      <c r="I12" s="62">
        <f t="shared" si="0"/>
        <v>3247</v>
      </c>
    </row>
    <row r="13" spans="1:9" ht="15">
      <c r="A13" s="58" t="s">
        <v>778</v>
      </c>
      <c r="B13" s="62">
        <v>1474</v>
      </c>
      <c r="C13" s="62"/>
      <c r="D13" s="62">
        <v>0</v>
      </c>
      <c r="E13" s="62">
        <v>1474</v>
      </c>
      <c r="F13" s="62">
        <v>0</v>
      </c>
      <c r="G13" s="62">
        <f>B13+C13</f>
        <v>1474</v>
      </c>
      <c r="H13" s="159" t="s">
        <v>591</v>
      </c>
      <c r="I13" s="62"/>
    </row>
    <row r="14" spans="1:9" ht="15">
      <c r="A14" s="58" t="s">
        <v>135</v>
      </c>
      <c r="B14" s="62">
        <v>0</v>
      </c>
      <c r="C14" s="62"/>
      <c r="D14" s="62">
        <v>0</v>
      </c>
      <c r="E14" s="62">
        <v>0</v>
      </c>
      <c r="F14" s="62">
        <v>0</v>
      </c>
      <c r="G14" s="62">
        <f>B14+C14</f>
        <v>0</v>
      </c>
      <c r="H14" s="159" t="s">
        <v>591</v>
      </c>
      <c r="I14" s="62">
        <f t="shared" si="0"/>
        <v>0</v>
      </c>
    </row>
    <row r="15" spans="1:9" s="93" customFormat="1" ht="15">
      <c r="A15" s="63" t="s">
        <v>85</v>
      </c>
      <c r="B15" s="64">
        <f aca="true" t="shared" si="1" ref="B15:G15">SUM(B10:B14)</f>
        <v>424364</v>
      </c>
      <c r="C15" s="64">
        <f t="shared" si="1"/>
        <v>0</v>
      </c>
      <c r="D15" s="64">
        <f t="shared" si="1"/>
        <v>90899</v>
      </c>
      <c r="E15" s="64">
        <f t="shared" si="1"/>
        <v>314738</v>
      </c>
      <c r="F15" s="64">
        <f t="shared" si="1"/>
        <v>18727</v>
      </c>
      <c r="G15" s="64">
        <f t="shared" si="1"/>
        <v>424364</v>
      </c>
      <c r="H15" s="160" t="s">
        <v>591</v>
      </c>
      <c r="I15" s="62">
        <f t="shared" si="0"/>
        <v>424364</v>
      </c>
    </row>
    <row r="16" spans="1:9" ht="15">
      <c r="A16" s="58" t="s">
        <v>136</v>
      </c>
      <c r="B16" s="62">
        <v>81917</v>
      </c>
      <c r="C16" s="62"/>
      <c r="D16" s="62">
        <v>16432</v>
      </c>
      <c r="E16" s="62">
        <v>62705</v>
      </c>
      <c r="F16" s="62">
        <v>2780</v>
      </c>
      <c r="G16" s="62">
        <f>B16+C16</f>
        <v>81917</v>
      </c>
      <c r="H16" s="159" t="s">
        <v>593</v>
      </c>
      <c r="I16" s="62">
        <f t="shared" si="0"/>
        <v>81917</v>
      </c>
    </row>
    <row r="17" spans="1:9" ht="15">
      <c r="A17" s="58" t="s">
        <v>758</v>
      </c>
      <c r="B17" s="62">
        <v>77</v>
      </c>
      <c r="C17" s="62"/>
      <c r="D17" s="62">
        <v>0</v>
      </c>
      <c r="E17" s="62">
        <v>77</v>
      </c>
      <c r="F17" s="62">
        <v>0</v>
      </c>
      <c r="G17" s="62">
        <f>B17+C17</f>
        <v>77</v>
      </c>
      <c r="H17" s="159" t="s">
        <v>593</v>
      </c>
      <c r="I17" s="62">
        <f t="shared" si="0"/>
        <v>77</v>
      </c>
    </row>
    <row r="18" spans="1:9" ht="15">
      <c r="A18" s="58" t="s">
        <v>606</v>
      </c>
      <c r="B18" s="62">
        <v>568</v>
      </c>
      <c r="C18" s="62"/>
      <c r="D18" s="62">
        <v>0</v>
      </c>
      <c r="E18" s="62">
        <v>0</v>
      </c>
      <c r="F18" s="62">
        <v>568</v>
      </c>
      <c r="G18" s="62">
        <f>B18+C18</f>
        <v>568</v>
      </c>
      <c r="H18" s="159" t="s">
        <v>593</v>
      </c>
      <c r="I18" s="62">
        <f t="shared" si="0"/>
        <v>568</v>
      </c>
    </row>
    <row r="19" spans="1:9" ht="15">
      <c r="A19" s="58" t="s">
        <v>778</v>
      </c>
      <c r="B19" s="62">
        <v>258</v>
      </c>
      <c r="C19" s="62"/>
      <c r="D19" s="62">
        <v>0</v>
      </c>
      <c r="E19" s="62">
        <v>258</v>
      </c>
      <c r="F19" s="62">
        <v>0</v>
      </c>
      <c r="G19" s="62">
        <f>B19+C19</f>
        <v>258</v>
      </c>
      <c r="H19" s="159" t="s">
        <v>593</v>
      </c>
      <c r="I19" s="62">
        <f t="shared" si="0"/>
        <v>258</v>
      </c>
    </row>
    <row r="20" spans="1:9" ht="15">
      <c r="A20" s="58" t="s">
        <v>137</v>
      </c>
      <c r="B20" s="62">
        <v>0</v>
      </c>
      <c r="C20" s="62"/>
      <c r="D20" s="62">
        <v>0</v>
      </c>
      <c r="E20" s="62">
        <v>0</v>
      </c>
      <c r="F20" s="62">
        <v>0</v>
      </c>
      <c r="G20" s="62">
        <f>B20+C20</f>
        <v>0</v>
      </c>
      <c r="H20" s="159" t="s">
        <v>593</v>
      </c>
      <c r="I20" s="62">
        <f t="shared" si="0"/>
        <v>0</v>
      </c>
    </row>
    <row r="21" spans="1:9" s="93" customFormat="1" ht="15">
      <c r="A21" s="63" t="s">
        <v>88</v>
      </c>
      <c r="B21" s="64">
        <f aca="true" t="shared" si="2" ref="B21:G21">SUM(B16:B20)</f>
        <v>82820</v>
      </c>
      <c r="C21" s="64">
        <f t="shared" si="2"/>
        <v>0</v>
      </c>
      <c r="D21" s="64">
        <f t="shared" si="2"/>
        <v>16432</v>
      </c>
      <c r="E21" s="64">
        <f t="shared" si="2"/>
        <v>63040</v>
      </c>
      <c r="F21" s="64">
        <f t="shared" si="2"/>
        <v>3348</v>
      </c>
      <c r="G21" s="64">
        <f t="shared" si="2"/>
        <v>82820</v>
      </c>
      <c r="H21" s="160" t="s">
        <v>593</v>
      </c>
      <c r="I21" s="62">
        <f t="shared" si="0"/>
        <v>82820</v>
      </c>
    </row>
    <row r="22" spans="1:9" ht="15">
      <c r="A22" s="58" t="s">
        <v>594</v>
      </c>
      <c r="B22" s="62">
        <v>124053</v>
      </c>
      <c r="C22" s="62"/>
      <c r="D22" s="62">
        <v>0</v>
      </c>
      <c r="E22" s="62">
        <v>75745</v>
      </c>
      <c r="F22" s="62">
        <v>48308</v>
      </c>
      <c r="G22" s="62">
        <f>B22+C22</f>
        <v>124053</v>
      </c>
      <c r="H22" s="159" t="s">
        <v>595</v>
      </c>
      <c r="I22" s="62">
        <f t="shared" si="0"/>
        <v>124053</v>
      </c>
    </row>
    <row r="23" spans="1:9" ht="15">
      <c r="A23" s="58" t="s">
        <v>606</v>
      </c>
      <c r="B23" s="62">
        <v>4385</v>
      </c>
      <c r="C23" s="62">
        <v>0</v>
      </c>
      <c r="D23" s="62">
        <v>0</v>
      </c>
      <c r="E23" s="62">
        <v>0</v>
      </c>
      <c r="F23" s="62">
        <v>4385</v>
      </c>
      <c r="G23" s="62">
        <f>B23+C23</f>
        <v>4385</v>
      </c>
      <c r="H23" s="159" t="s">
        <v>595</v>
      </c>
      <c r="I23" s="62">
        <f t="shared" si="0"/>
        <v>4385</v>
      </c>
    </row>
    <row r="24" spans="1:9" ht="15">
      <c r="A24" s="58" t="s">
        <v>138</v>
      </c>
      <c r="B24" s="62">
        <v>400</v>
      </c>
      <c r="C24" s="62">
        <v>0</v>
      </c>
      <c r="D24" s="62">
        <v>0</v>
      </c>
      <c r="E24" s="62">
        <v>0</v>
      </c>
      <c r="F24" s="62">
        <v>400</v>
      </c>
      <c r="G24" s="62">
        <f>B24+C24</f>
        <v>400</v>
      </c>
      <c r="H24" s="159" t="s">
        <v>595</v>
      </c>
      <c r="I24" s="62">
        <f t="shared" si="0"/>
        <v>400</v>
      </c>
    </row>
    <row r="25" spans="1:9" ht="15">
      <c r="A25" s="58" t="s">
        <v>139</v>
      </c>
      <c r="B25" s="62">
        <v>2500</v>
      </c>
      <c r="C25" s="62">
        <v>0</v>
      </c>
      <c r="D25" s="62">
        <v>0</v>
      </c>
      <c r="E25" s="62">
        <v>0</v>
      </c>
      <c r="F25" s="62">
        <v>2500</v>
      </c>
      <c r="G25" s="62">
        <f>B25+C25</f>
        <v>2500</v>
      </c>
      <c r="H25" s="159" t="s">
        <v>595</v>
      </c>
      <c r="I25" s="62">
        <f t="shared" si="0"/>
        <v>2500</v>
      </c>
    </row>
    <row r="26" spans="1:9" s="93" customFormat="1" ht="15">
      <c r="A26" s="63" t="s">
        <v>594</v>
      </c>
      <c r="B26" s="64">
        <f aca="true" t="shared" si="3" ref="B26:G26">SUM(B22:B25)</f>
        <v>131338</v>
      </c>
      <c r="C26" s="64">
        <f t="shared" si="3"/>
        <v>0</v>
      </c>
      <c r="D26" s="64">
        <f t="shared" si="3"/>
        <v>0</v>
      </c>
      <c r="E26" s="64">
        <f t="shared" si="3"/>
        <v>75745</v>
      </c>
      <c r="F26" s="64">
        <f t="shared" si="3"/>
        <v>55593</v>
      </c>
      <c r="G26" s="64">
        <f t="shared" si="3"/>
        <v>131338</v>
      </c>
      <c r="H26" s="160" t="s">
        <v>595</v>
      </c>
      <c r="I26" s="62">
        <f t="shared" si="0"/>
        <v>131338</v>
      </c>
    </row>
    <row r="27" spans="1:9" ht="15">
      <c r="A27" s="58" t="s">
        <v>618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B27+C27</f>
        <v>0</v>
      </c>
      <c r="H27" s="159" t="s">
        <v>24</v>
      </c>
      <c r="I27" s="62"/>
    </row>
    <row r="28" spans="1:9" s="93" customFormat="1" ht="15">
      <c r="A28" s="63" t="s">
        <v>23</v>
      </c>
      <c r="B28" s="64">
        <f aca="true" t="shared" si="4" ref="B28:G28">SUM(B27)</f>
        <v>0</v>
      </c>
      <c r="C28" s="64">
        <f t="shared" si="4"/>
        <v>0</v>
      </c>
      <c r="D28" s="64">
        <f t="shared" si="4"/>
        <v>0</v>
      </c>
      <c r="E28" s="64">
        <f t="shared" si="4"/>
        <v>0</v>
      </c>
      <c r="F28" s="64">
        <f t="shared" si="4"/>
        <v>0</v>
      </c>
      <c r="G28" s="64">
        <f t="shared" si="4"/>
        <v>0</v>
      </c>
      <c r="H28" s="160" t="s">
        <v>24</v>
      </c>
      <c r="I28" s="62">
        <f>SUM(D28:F28)</f>
        <v>0</v>
      </c>
    </row>
    <row r="29" spans="1:9" ht="15">
      <c r="A29" s="58" t="s">
        <v>140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f>B29+C29</f>
        <v>0</v>
      </c>
      <c r="H29" s="159" t="s">
        <v>30</v>
      </c>
      <c r="I29" s="62">
        <f t="shared" si="0"/>
        <v>0</v>
      </c>
    </row>
    <row r="30" spans="1:9" s="93" customFormat="1" ht="15">
      <c r="A30" s="63" t="s">
        <v>29</v>
      </c>
      <c r="B30" s="64">
        <f aca="true" t="shared" si="5" ref="B30:G30">B29</f>
        <v>0</v>
      </c>
      <c r="C30" s="64">
        <f t="shared" si="5"/>
        <v>0</v>
      </c>
      <c r="D30" s="64">
        <f t="shared" si="5"/>
        <v>0</v>
      </c>
      <c r="E30" s="64">
        <f t="shared" si="5"/>
        <v>0</v>
      </c>
      <c r="F30" s="64">
        <f t="shared" si="5"/>
        <v>0</v>
      </c>
      <c r="G30" s="64">
        <f t="shared" si="5"/>
        <v>0</v>
      </c>
      <c r="H30" s="160" t="s">
        <v>30</v>
      </c>
      <c r="I30" s="62">
        <f t="shared" si="0"/>
        <v>0</v>
      </c>
    </row>
    <row r="31" spans="1:9" ht="15">
      <c r="A31" s="58" t="s">
        <v>606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f>B31+C31</f>
        <v>0</v>
      </c>
      <c r="H31" s="159" t="s">
        <v>50</v>
      </c>
      <c r="I31" s="62">
        <f t="shared" si="0"/>
        <v>0</v>
      </c>
    </row>
    <row r="32" spans="1:9" ht="15">
      <c r="A32" s="58" t="s">
        <v>141</v>
      </c>
      <c r="B32" s="62">
        <v>38100</v>
      </c>
      <c r="C32" s="62">
        <v>0</v>
      </c>
      <c r="D32" s="62">
        <v>0</v>
      </c>
      <c r="E32" s="62">
        <v>38100</v>
      </c>
      <c r="F32" s="62">
        <v>0</v>
      </c>
      <c r="G32" s="65">
        <f>B32+C32</f>
        <v>38100</v>
      </c>
      <c r="H32" s="159" t="s">
        <v>50</v>
      </c>
      <c r="I32" s="62">
        <f t="shared" si="0"/>
        <v>38100</v>
      </c>
    </row>
    <row r="33" spans="1:9" s="93" customFormat="1" ht="15">
      <c r="A33" s="63" t="s">
        <v>49</v>
      </c>
      <c r="B33" s="64">
        <f aca="true" t="shared" si="6" ref="B33:G33">SUM(B31:B32)</f>
        <v>38100</v>
      </c>
      <c r="C33" s="64">
        <f t="shared" si="6"/>
        <v>0</v>
      </c>
      <c r="D33" s="64">
        <f t="shared" si="6"/>
        <v>0</v>
      </c>
      <c r="E33" s="64">
        <f t="shared" si="6"/>
        <v>38100</v>
      </c>
      <c r="F33" s="64">
        <f t="shared" si="6"/>
        <v>0</v>
      </c>
      <c r="G33" s="64">
        <f t="shared" si="6"/>
        <v>38100</v>
      </c>
      <c r="H33" s="160" t="s">
        <v>50</v>
      </c>
      <c r="I33" s="62">
        <f t="shared" si="0"/>
        <v>38100</v>
      </c>
    </row>
    <row r="34" spans="1:9" s="93" customFormat="1" ht="15">
      <c r="A34" s="63" t="s">
        <v>142</v>
      </c>
      <c r="B34" s="64">
        <f aca="true" t="shared" si="7" ref="B34:G34">SUM(B26,B21,B15+B30+B33+B28)</f>
        <v>676622</v>
      </c>
      <c r="C34" s="64">
        <f t="shared" si="7"/>
        <v>0</v>
      </c>
      <c r="D34" s="64">
        <f t="shared" si="7"/>
        <v>107331</v>
      </c>
      <c r="E34" s="64">
        <f t="shared" si="7"/>
        <v>491623</v>
      </c>
      <c r="F34" s="64">
        <f t="shared" si="7"/>
        <v>77668</v>
      </c>
      <c r="G34" s="64">
        <f t="shared" si="7"/>
        <v>676622</v>
      </c>
      <c r="H34" s="160"/>
      <c r="I34" s="62">
        <f t="shared" si="0"/>
        <v>676622</v>
      </c>
    </row>
    <row r="35" ht="15">
      <c r="I35" s="62" t="e">
        <f>#REF!</f>
        <v>#REF!</v>
      </c>
    </row>
  </sheetData>
  <sheetProtection/>
  <mergeCells count="3">
    <mergeCell ref="D2:H2"/>
    <mergeCell ref="A4:H4"/>
    <mergeCell ref="F7:H7"/>
  </mergeCells>
  <printOptions/>
  <pageMargins left="0.75" right="0.75" top="1" bottom="1" header="0.5" footer="0.5"/>
  <pageSetup fitToHeight="1" fitToWidth="1" horizontalDpi="600" verticalDpi="600" orientation="portrait" paperSize="9" scale="5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Perei Annamária</dc:creator>
  <cp:keywords/>
  <dc:description/>
  <cp:lastModifiedBy>szecsiagnes</cp:lastModifiedBy>
  <cp:lastPrinted>2020-02-21T09:24:25Z</cp:lastPrinted>
  <dcterms:created xsi:type="dcterms:W3CDTF">2017-12-06T08:21:11Z</dcterms:created>
  <dcterms:modified xsi:type="dcterms:W3CDTF">2020-02-21T09:52:58Z</dcterms:modified>
  <cp:category/>
  <cp:version/>
  <cp:contentType/>
  <cp:contentStatus/>
</cp:coreProperties>
</file>