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6230" yWindow="-225" windowWidth="12660" windowHeight="11640" tabRatio="727" firstSheet="24" activeTab="33"/>
  </bookViews>
  <sheets>
    <sheet name="1.1.sz.mell." sheetId="1" r:id="rId1"/>
    <sheet name="1.2.sz.mell." sheetId="116" r:id="rId2"/>
    <sheet name="1.3.sz.mell." sheetId="117" r:id="rId3"/>
    <sheet name="1.4.sz.mell." sheetId="118" r:id="rId4"/>
    <sheet name="2.1.sz.mell" sheetId="73" r:id="rId5"/>
    <sheet name="2.2.sz.mell" sheetId="61" r:id="rId6"/>
    <sheet name="3.sz.mell." sheetId="62" r:id="rId7"/>
    <sheet name="4.sz.mell." sheetId="77" r:id="rId8"/>
    <sheet name="5.sz.mell." sheetId="78" r:id="rId9"/>
    <sheet name="6.sz.mell." sheetId="63" r:id="rId10"/>
    <sheet name="7.sz.mell." sheetId="64" r:id="rId11"/>
    <sheet name="8. sz. mell. " sheetId="71" r:id="rId12"/>
    <sheet name="9.1. sz. mell" sheetId="3" r:id="rId13"/>
    <sheet name="9.1.1. sz. mell " sheetId="119" r:id="rId14"/>
    <sheet name="9.1.2. sz. mell " sheetId="120" r:id="rId15"/>
    <sheet name="9.1.3. sz. mell" sheetId="121" r:id="rId16"/>
    <sheet name="9.2. sz. mell" sheetId="211" r:id="rId17"/>
    <sheet name="9.2. sz. mell (2-1)" sheetId="212" r:id="rId18"/>
    <sheet name="9.2. sz. mell (2-2)" sheetId="213" r:id="rId19"/>
    <sheet name="9.2.1. sz. mell" sheetId="214" r:id="rId20"/>
    <sheet name="9.2.2. sz.  mell" sheetId="215" r:id="rId21"/>
    <sheet name="9.2.3. sz. mell" sheetId="216" r:id="rId22"/>
    <sheet name="9.3. sz. mell" sheetId="207" r:id="rId23"/>
    <sheet name="9.3.1. sz. mell" sheetId="208" r:id="rId24"/>
    <sheet name="9.3.2. sz. mell" sheetId="209" r:id="rId25"/>
    <sheet name="9.3.3. sz. mell" sheetId="210" r:id="rId26"/>
    <sheet name="10.sz.mell" sheetId="89" r:id="rId27"/>
    <sheet name="1. sz tájékoztató t." sheetId="87" r:id="rId28"/>
    <sheet name="2. sz tájékoztató t" sheetId="66" r:id="rId29"/>
    <sheet name="3. sz tájékoztató t." sheetId="88" r:id="rId30"/>
    <sheet name="4.sz tájékoztató t." sheetId="24" r:id="rId31"/>
    <sheet name="5.sz tájékoztató t." sheetId="2" r:id="rId32"/>
    <sheet name="6.sz tájékoztató t." sheetId="70" r:id="rId33"/>
    <sheet name="7. sz tájékoztató t." sheetId="128" r:id="rId34"/>
  </sheets>
  <externalReferences>
    <externalReference r:id="rId35"/>
  </externalReferences>
  <definedNames>
    <definedName name="_xlnm.Print_Titles" localSheetId="12">'9.1. sz. mell'!$1:$6</definedName>
    <definedName name="_xlnm.Print_Titles" localSheetId="13">'9.1.1. sz. mell '!$1:$5</definedName>
    <definedName name="_xlnm.Print_Titles" localSheetId="14">'9.1.2. sz. mell '!$1:$5</definedName>
    <definedName name="_xlnm.Print_Titles" localSheetId="15">'9.1.3. sz. mell'!$1:$6</definedName>
    <definedName name="_xlnm.Print_Titles" localSheetId="16">'9.2. sz. mell'!$1:$6</definedName>
    <definedName name="_xlnm.Print_Titles" localSheetId="17">'9.2. sz. mell (2-1)'!$1:$6</definedName>
    <definedName name="_xlnm.Print_Titles" localSheetId="18">'9.2. sz. mell (2-2)'!$1:$6</definedName>
    <definedName name="_xlnm.Print_Titles" localSheetId="19">'9.2.1. sz. mell'!$1:$6</definedName>
    <definedName name="_xlnm.Print_Titles" localSheetId="20">'9.2.2. sz.  mell'!$1:$6</definedName>
    <definedName name="_xlnm.Print_Titles" localSheetId="21">'9.2.3. sz. mell'!$1:$6</definedName>
    <definedName name="_xlnm.Print_Titles" localSheetId="22">'9.3. sz. mell'!$1:$6</definedName>
    <definedName name="_xlnm.Print_Titles" localSheetId="23">'9.3.1. sz. mell'!$1:$6</definedName>
    <definedName name="_xlnm.Print_Titles" localSheetId="24">'9.3.2. sz. mell'!$1:$6</definedName>
    <definedName name="_xlnm.Print_Titles" localSheetId="25">'9.3.3. sz. mell'!$1:$6</definedName>
    <definedName name="_xlnm.Print_Area" localSheetId="27">'1. sz tájékoztató t.'!$A$1:$E$155</definedName>
    <definedName name="_xlnm.Print_Area" localSheetId="0">'1.1.sz.mell.'!$A$1:$D$159</definedName>
    <definedName name="_xlnm.Print_Area" localSheetId="1">'1.2.sz.mell.'!$A$1:$D$159</definedName>
    <definedName name="_xlnm.Print_Area" localSheetId="2">'1.3.sz.mell.'!$A$1:$D$155</definedName>
    <definedName name="_xlnm.Print_Area" localSheetId="3">'1.4.sz.mell.'!$A$1:$C$159</definedName>
    <definedName name="_xlnm.Print_Area" localSheetId="33">'7. sz tájékoztató t.'!$A$1:$E$37</definedName>
  </definedNames>
  <calcPr calcId="125725" fullCalcOnLoad="1"/>
</workbook>
</file>

<file path=xl/calcChain.xml><?xml version="1.0" encoding="utf-8"?>
<calcChain xmlns="http://schemas.openxmlformats.org/spreadsheetml/2006/main">
  <c r="B1" i="207"/>
  <c r="B1" i="208"/>
  <c r="D105" i="116"/>
  <c r="D28"/>
  <c r="D28" i="117"/>
  <c r="G12" i="73"/>
  <c r="G11"/>
  <c r="D108" i="3"/>
  <c r="D115"/>
  <c r="D108" i="119"/>
  <c r="D31"/>
  <c r="D31" i="120"/>
  <c r="D115"/>
  <c r="F105" i="87"/>
  <c r="F112"/>
  <c r="G61" i="24"/>
  <c r="G59"/>
  <c r="D117" i="1"/>
  <c r="D115"/>
  <c r="D117" i="116"/>
  <c r="D115"/>
  <c r="G9" i="61"/>
  <c r="G7"/>
  <c r="M10" i="63"/>
  <c r="J10"/>
  <c r="G10"/>
  <c r="D120" i="3"/>
  <c r="D118"/>
  <c r="D118" i="119"/>
  <c r="D120"/>
  <c r="F117" i="87"/>
  <c r="F115"/>
  <c r="G63" i="24"/>
  <c r="G62"/>
  <c r="D96" i="1"/>
  <c r="D96" i="116"/>
  <c r="D21" i="73"/>
  <c r="G9"/>
  <c r="D20" i="61"/>
  <c r="G28" i="63"/>
  <c r="D28"/>
  <c r="H28"/>
  <c r="I28"/>
  <c r="M28"/>
  <c r="D99" i="3"/>
  <c r="D114"/>
  <c r="D99" i="119"/>
  <c r="F96" i="87"/>
  <c r="G56" i="24"/>
  <c r="D40" i="1"/>
  <c r="D36"/>
  <c r="D11" i="73"/>
  <c r="F40" i="87"/>
  <c r="F36"/>
  <c r="D43" i="3"/>
  <c r="D39"/>
  <c r="D43" i="120"/>
  <c r="D39"/>
  <c r="G46" i="24"/>
  <c r="D30" i="119"/>
  <c r="D110" i="1"/>
  <c r="D95"/>
  <c r="D94"/>
  <c r="D73"/>
  <c r="D55"/>
  <c r="D45"/>
  <c r="D37"/>
  <c r="D27"/>
  <c r="D26"/>
  <c r="D17"/>
  <c r="D95" i="116"/>
  <c r="D94"/>
  <c r="D73"/>
  <c r="D42"/>
  <c r="D37"/>
  <c r="D36"/>
  <c r="D97"/>
  <c r="D17"/>
  <c r="D12"/>
  <c r="C62" i="117"/>
  <c r="D58" i="216"/>
  <c r="D52"/>
  <c r="C52"/>
  <c r="D46"/>
  <c r="C46"/>
  <c r="C58"/>
  <c r="D38"/>
  <c r="C38"/>
  <c r="D31"/>
  <c r="C31"/>
  <c r="D26"/>
  <c r="C26"/>
  <c r="D20"/>
  <c r="C20"/>
  <c r="D8"/>
  <c r="D37"/>
  <c r="D42"/>
  <c r="C8"/>
  <c r="C37"/>
  <c r="C42"/>
  <c r="D52" i="215"/>
  <c r="C52"/>
  <c r="D46"/>
  <c r="D58"/>
  <c r="C46"/>
  <c r="C58"/>
  <c r="D38"/>
  <c r="C38"/>
  <c r="D31"/>
  <c r="C31"/>
  <c r="D26"/>
  <c r="C26"/>
  <c r="D20"/>
  <c r="C20"/>
  <c r="D8"/>
  <c r="D37"/>
  <c r="D42"/>
  <c r="C8"/>
  <c r="C37"/>
  <c r="C42"/>
  <c r="D53" i="214"/>
  <c r="D52"/>
  <c r="C52"/>
  <c r="D49"/>
  <c r="D48"/>
  <c r="D47"/>
  <c r="D46"/>
  <c r="D58"/>
  <c r="C46"/>
  <c r="C58"/>
  <c r="D41"/>
  <c r="D39"/>
  <c r="D38"/>
  <c r="C38"/>
  <c r="D31"/>
  <c r="C31"/>
  <c r="D26"/>
  <c r="C26"/>
  <c r="D20"/>
  <c r="C20"/>
  <c r="D8"/>
  <c r="D37"/>
  <c r="D42"/>
  <c r="C8"/>
  <c r="C37"/>
  <c r="C42"/>
  <c r="D52" i="213"/>
  <c r="C52"/>
  <c r="D49"/>
  <c r="D48"/>
  <c r="D47"/>
  <c r="D46"/>
  <c r="D58"/>
  <c r="C46"/>
  <c r="C58"/>
  <c r="D41"/>
  <c r="D38"/>
  <c r="C38"/>
  <c r="D31"/>
  <c r="C31"/>
  <c r="D26"/>
  <c r="C26"/>
  <c r="D20"/>
  <c r="C20"/>
  <c r="D8"/>
  <c r="D37"/>
  <c r="D42"/>
  <c r="C8"/>
  <c r="C37"/>
  <c r="C42"/>
  <c r="D53" i="212"/>
  <c r="D52"/>
  <c r="C52"/>
  <c r="D49"/>
  <c r="D48"/>
  <c r="D47"/>
  <c r="D46"/>
  <c r="D58"/>
  <c r="C46"/>
  <c r="C58"/>
  <c r="D41"/>
  <c r="D39"/>
  <c r="D38"/>
  <c r="C38"/>
  <c r="D31"/>
  <c r="C31"/>
  <c r="D26"/>
  <c r="C26"/>
  <c r="D20"/>
  <c r="C20"/>
  <c r="D8"/>
  <c r="D37"/>
  <c r="D42"/>
  <c r="C8"/>
  <c r="C37"/>
  <c r="C42"/>
  <c r="D53" i="211"/>
  <c r="D52"/>
  <c r="C52"/>
  <c r="D49"/>
  <c r="D48"/>
  <c r="D47"/>
  <c r="D46"/>
  <c r="D58"/>
  <c r="C46"/>
  <c r="C58"/>
  <c r="D41"/>
  <c r="D39"/>
  <c r="D38"/>
  <c r="C38"/>
  <c r="D31"/>
  <c r="C31"/>
  <c r="D26"/>
  <c r="C26"/>
  <c r="D20"/>
  <c r="C20"/>
  <c r="D8"/>
  <c r="D37"/>
  <c r="D42"/>
  <c r="C8"/>
  <c r="C37"/>
  <c r="C42"/>
  <c r="D51" i="210"/>
  <c r="C51"/>
  <c r="D45"/>
  <c r="D57"/>
  <c r="C45"/>
  <c r="C57"/>
  <c r="D37"/>
  <c r="C37"/>
  <c r="C36"/>
  <c r="C41"/>
  <c r="D30"/>
  <c r="C30"/>
  <c r="D26"/>
  <c r="C26"/>
  <c r="D20"/>
  <c r="C20"/>
  <c r="D8"/>
  <c r="D36"/>
  <c r="D41"/>
  <c r="C8"/>
  <c r="B1"/>
  <c r="D51" i="209"/>
  <c r="C51"/>
  <c r="D45"/>
  <c r="D57"/>
  <c r="C45"/>
  <c r="C57"/>
  <c r="D37"/>
  <c r="C37"/>
  <c r="D30"/>
  <c r="C30"/>
  <c r="D26"/>
  <c r="C26"/>
  <c r="D20"/>
  <c r="C20"/>
  <c r="D8"/>
  <c r="D36"/>
  <c r="D41"/>
  <c r="C8"/>
  <c r="C36"/>
  <c r="C41"/>
  <c r="B1"/>
  <c r="D51" i="208"/>
  <c r="C51"/>
  <c r="D45"/>
  <c r="D57"/>
  <c r="C45"/>
  <c r="C57"/>
  <c r="D37"/>
  <c r="C37"/>
  <c r="D30"/>
  <c r="C30"/>
  <c r="D26"/>
  <c r="C26"/>
  <c r="D20"/>
  <c r="C20"/>
  <c r="D8"/>
  <c r="D36"/>
  <c r="D41"/>
  <c r="C8"/>
  <c r="C36"/>
  <c r="C41"/>
  <c r="D51" i="207"/>
  <c r="C51"/>
  <c r="D45"/>
  <c r="D57"/>
  <c r="C45"/>
  <c r="C57"/>
  <c r="D37"/>
  <c r="C37"/>
  <c r="D30"/>
  <c r="C30"/>
  <c r="D26"/>
  <c r="C26"/>
  <c r="D20"/>
  <c r="C20"/>
  <c r="D8"/>
  <c r="D36"/>
  <c r="D41"/>
  <c r="C8"/>
  <c r="C36"/>
  <c r="C41"/>
  <c r="G8" i="73"/>
  <c r="G7"/>
  <c r="D98" i="3"/>
  <c r="D97"/>
  <c r="D98" i="119"/>
  <c r="D97"/>
  <c r="F95" i="87"/>
  <c r="F94"/>
  <c r="G55" i="24"/>
  <c r="G54"/>
  <c r="D7" i="73"/>
  <c r="G42" i="24"/>
  <c r="G29" i="73"/>
  <c r="D155" i="3"/>
  <c r="D155" i="119"/>
  <c r="F152" i="87"/>
  <c r="G65" i="24"/>
  <c r="D53" i="63"/>
  <c r="E53"/>
  <c r="F53"/>
  <c r="G53"/>
  <c r="H53"/>
  <c r="H59"/>
  <c r="I53"/>
  <c r="I59"/>
  <c r="J53"/>
  <c r="K53"/>
  <c r="L53"/>
  <c r="M53"/>
  <c r="C53"/>
  <c r="D118" i="120"/>
  <c r="E26" i="64"/>
  <c r="F26"/>
  <c r="G26"/>
  <c r="C26"/>
  <c r="J26"/>
  <c r="L26"/>
  <c r="M26"/>
  <c r="D117" i="3"/>
  <c r="D113"/>
  <c r="D113" i="120"/>
  <c r="F110" i="87"/>
  <c r="G60" i="24"/>
  <c r="E10" i="70"/>
  <c r="D8" i="73"/>
  <c r="D20" i="3"/>
  <c r="D20" i="119"/>
  <c r="D15"/>
  <c r="F17" i="87"/>
  <c r="G43" i="24"/>
  <c r="D48" i="3"/>
  <c r="D48" i="119"/>
  <c r="F45" i="87"/>
  <c r="K14" i="63"/>
  <c r="J14"/>
  <c r="G14"/>
  <c r="C14"/>
  <c r="D48" i="120"/>
  <c r="D12" i="73"/>
  <c r="D58" i="3"/>
  <c r="D58" i="120"/>
  <c r="F55" i="87"/>
  <c r="G48" i="24"/>
  <c r="D37" i="3"/>
  <c r="D76"/>
  <c r="D76" i="119"/>
  <c r="D35"/>
  <c r="F73" i="87"/>
  <c r="G50" i="24"/>
  <c r="G18" i="61"/>
  <c r="G32"/>
  <c r="D7"/>
  <c r="F24" i="87"/>
  <c r="G47" i="24"/>
  <c r="D36" i="3"/>
  <c r="D35"/>
  <c r="D36" i="119"/>
  <c r="F33" i="87"/>
  <c r="F32"/>
  <c r="G13" i="63"/>
  <c r="G12"/>
  <c r="D12" i="3"/>
  <c r="D8"/>
  <c r="D12" i="119"/>
  <c r="D8"/>
  <c r="F9" i="87"/>
  <c r="D98" i="120"/>
  <c r="D97"/>
  <c r="D145" i="1"/>
  <c r="D140"/>
  <c r="D133"/>
  <c r="D129"/>
  <c r="D153"/>
  <c r="D119"/>
  <c r="D111"/>
  <c r="D98"/>
  <c r="D91"/>
  <c r="D79"/>
  <c r="D75"/>
  <c r="D72"/>
  <c r="D67"/>
  <c r="D63"/>
  <c r="D57"/>
  <c r="D52"/>
  <c r="D46"/>
  <c r="D42"/>
  <c r="D34"/>
  <c r="D19"/>
  <c r="D12"/>
  <c r="D5"/>
  <c r="D145" i="116"/>
  <c r="D140"/>
  <c r="D133"/>
  <c r="D129"/>
  <c r="D153"/>
  <c r="D119"/>
  <c r="D114"/>
  <c r="D110"/>
  <c r="D98"/>
  <c r="D91"/>
  <c r="D79"/>
  <c r="D75"/>
  <c r="D72"/>
  <c r="D67"/>
  <c r="D63"/>
  <c r="D57"/>
  <c r="D52"/>
  <c r="D46"/>
  <c r="D40"/>
  <c r="D39"/>
  <c r="D27"/>
  <c r="D26"/>
  <c r="D62"/>
  <c r="D87"/>
  <c r="D19"/>
  <c r="D5"/>
  <c r="D145" i="117"/>
  <c r="D140"/>
  <c r="D133"/>
  <c r="D129"/>
  <c r="D153"/>
  <c r="D119"/>
  <c r="D114"/>
  <c r="D111"/>
  <c r="D93"/>
  <c r="D128"/>
  <c r="D154"/>
  <c r="D98"/>
  <c r="D91"/>
  <c r="D79"/>
  <c r="D75"/>
  <c r="D72"/>
  <c r="D67"/>
  <c r="D86"/>
  <c r="D63"/>
  <c r="D57"/>
  <c r="D52"/>
  <c r="D48"/>
  <c r="D46"/>
  <c r="D42"/>
  <c r="D37"/>
  <c r="D34"/>
  <c r="D27"/>
  <c r="D26"/>
  <c r="D62"/>
  <c r="D87"/>
  <c r="D19"/>
  <c r="D17"/>
  <c r="D12"/>
  <c r="D5"/>
  <c r="D145" i="118"/>
  <c r="D140"/>
  <c r="D133"/>
  <c r="D129"/>
  <c r="D153"/>
  <c r="D114"/>
  <c r="D93"/>
  <c r="D128"/>
  <c r="D91"/>
  <c r="D79"/>
  <c r="D75"/>
  <c r="D72"/>
  <c r="D67"/>
  <c r="D63"/>
  <c r="D86"/>
  <c r="D159"/>
  <c r="D57"/>
  <c r="D52"/>
  <c r="D46"/>
  <c r="D34"/>
  <c r="D27"/>
  <c r="D26"/>
  <c r="D19"/>
  <c r="D12"/>
  <c r="D5"/>
  <c r="G30" i="73"/>
  <c r="C25"/>
  <c r="C20"/>
  <c r="C30"/>
  <c r="C19"/>
  <c r="F31" i="61"/>
  <c r="F18"/>
  <c r="F32"/>
  <c r="G31"/>
  <c r="C31"/>
  <c r="C25"/>
  <c r="C19"/>
  <c r="C18"/>
  <c r="C32"/>
  <c r="D11" i="77"/>
  <c r="G49" i="63"/>
  <c r="G48"/>
  <c r="G47"/>
  <c r="G46"/>
  <c r="G45"/>
  <c r="G44"/>
  <c r="G43"/>
  <c r="G42"/>
  <c r="G41"/>
  <c r="G39"/>
  <c r="G38"/>
  <c r="G37"/>
  <c r="G36"/>
  <c r="G50"/>
  <c r="G35"/>
  <c r="G32"/>
  <c r="G31"/>
  <c r="G33"/>
  <c r="G30"/>
  <c r="G27"/>
  <c r="G26"/>
  <c r="G25"/>
  <c r="G24"/>
  <c r="G23"/>
  <c r="G22"/>
  <c r="G19"/>
  <c r="G18"/>
  <c r="G17"/>
  <c r="G16"/>
  <c r="G15"/>
  <c r="G11"/>
  <c r="G7"/>
  <c r="G8"/>
  <c r="G5"/>
  <c r="G10" i="64"/>
  <c r="G9"/>
  <c r="G7"/>
  <c r="G5"/>
  <c r="D148" i="3"/>
  <c r="D143"/>
  <c r="D136"/>
  <c r="D132"/>
  <c r="D156"/>
  <c r="D122"/>
  <c r="D101"/>
  <c r="D82"/>
  <c r="D78"/>
  <c r="D75"/>
  <c r="D70"/>
  <c r="D66"/>
  <c r="D89"/>
  <c r="D60"/>
  <c r="D55"/>
  <c r="D51"/>
  <c r="D49"/>
  <c r="D30"/>
  <c r="D22"/>
  <c r="D15"/>
  <c r="D148" i="119"/>
  <c r="D143"/>
  <c r="D156"/>
  <c r="D136"/>
  <c r="D132"/>
  <c r="D122"/>
  <c r="D117"/>
  <c r="D113"/>
  <c r="D101"/>
  <c r="D100"/>
  <c r="D94"/>
  <c r="D82"/>
  <c r="D78"/>
  <c r="D75"/>
  <c r="D89"/>
  <c r="D70"/>
  <c r="D66"/>
  <c r="D60"/>
  <c r="D55"/>
  <c r="D49"/>
  <c r="D42"/>
  <c r="D22"/>
  <c r="D148" i="120"/>
  <c r="D143"/>
  <c r="D136"/>
  <c r="D132"/>
  <c r="D156"/>
  <c r="D122"/>
  <c r="D117"/>
  <c r="D114"/>
  <c r="D101"/>
  <c r="D99"/>
  <c r="D94"/>
  <c r="D82"/>
  <c r="D78"/>
  <c r="D75"/>
  <c r="D70"/>
  <c r="D66"/>
  <c r="D89"/>
  <c r="D60"/>
  <c r="D55"/>
  <c r="D51"/>
  <c r="D49"/>
  <c r="D45"/>
  <c r="D37"/>
  <c r="D40"/>
  <c r="D30"/>
  <c r="D29"/>
  <c r="D65"/>
  <c r="D90"/>
  <c r="D22"/>
  <c r="D20"/>
  <c r="D15"/>
  <c r="D8"/>
  <c r="D146" i="121"/>
  <c r="D140"/>
  <c r="D133"/>
  <c r="D129"/>
  <c r="D154"/>
  <c r="D114"/>
  <c r="D128"/>
  <c r="D93"/>
  <c r="D82"/>
  <c r="D78"/>
  <c r="D75"/>
  <c r="D70"/>
  <c r="D66"/>
  <c r="D89"/>
  <c r="D60"/>
  <c r="D55"/>
  <c r="D49"/>
  <c r="D37"/>
  <c r="D30"/>
  <c r="D29"/>
  <c r="D22"/>
  <c r="D15"/>
  <c r="D8"/>
  <c r="D65"/>
  <c r="D90"/>
  <c r="F145" i="87"/>
  <c r="F140"/>
  <c r="F133"/>
  <c r="F129"/>
  <c r="F153"/>
  <c r="F119"/>
  <c r="F114"/>
  <c r="F111"/>
  <c r="F98"/>
  <c r="F91"/>
  <c r="F79"/>
  <c r="F75"/>
  <c r="F72"/>
  <c r="F86"/>
  <c r="F67"/>
  <c r="F63"/>
  <c r="F57"/>
  <c r="F52"/>
  <c r="F48"/>
  <c r="F46"/>
  <c r="F34"/>
  <c r="F30"/>
  <c r="F28"/>
  <c r="F27"/>
  <c r="F26"/>
  <c r="F19"/>
  <c r="F12"/>
  <c r="F5"/>
  <c r="N65" i="24"/>
  <c r="M65"/>
  <c r="L65"/>
  <c r="K65"/>
  <c r="J65"/>
  <c r="I65"/>
  <c r="H65"/>
  <c r="F65"/>
  <c r="E65"/>
  <c r="D65"/>
  <c r="C65"/>
  <c r="O65"/>
  <c r="N64"/>
  <c r="K64"/>
  <c r="H64"/>
  <c r="E64"/>
  <c r="O64"/>
  <c r="N63"/>
  <c r="M63"/>
  <c r="L63"/>
  <c r="K63"/>
  <c r="J63"/>
  <c r="I63"/>
  <c r="H63"/>
  <c r="F63"/>
  <c r="E63"/>
  <c r="D63"/>
  <c r="C63"/>
  <c r="O63"/>
  <c r="N62"/>
  <c r="M62"/>
  <c r="L62"/>
  <c r="K62"/>
  <c r="J62"/>
  <c r="I62"/>
  <c r="H62"/>
  <c r="F62"/>
  <c r="E62"/>
  <c r="E66"/>
  <c r="D62"/>
  <c r="C62"/>
  <c r="O62"/>
  <c r="O61"/>
  <c r="O60"/>
  <c r="K60"/>
  <c r="E60"/>
  <c r="N59"/>
  <c r="M59"/>
  <c r="L59"/>
  <c r="K59"/>
  <c r="J59"/>
  <c r="I59"/>
  <c r="H59"/>
  <c r="F59"/>
  <c r="F66"/>
  <c r="E59"/>
  <c r="D59"/>
  <c r="C59"/>
  <c r="O59"/>
  <c r="N57"/>
  <c r="M57"/>
  <c r="L57"/>
  <c r="K57"/>
  <c r="J57"/>
  <c r="I57"/>
  <c r="H57"/>
  <c r="G57"/>
  <c r="F57"/>
  <c r="E57"/>
  <c r="D57"/>
  <c r="C57"/>
  <c r="O57"/>
  <c r="N56"/>
  <c r="M56"/>
  <c r="L56"/>
  <c r="K56"/>
  <c r="J56"/>
  <c r="I56"/>
  <c r="H56"/>
  <c r="G66"/>
  <c r="F56"/>
  <c r="E56"/>
  <c r="D56"/>
  <c r="C56"/>
  <c r="O56"/>
  <c r="N55"/>
  <c r="N66"/>
  <c r="M55"/>
  <c r="M66"/>
  <c r="L55"/>
  <c r="L66"/>
  <c r="K55"/>
  <c r="J55"/>
  <c r="J66"/>
  <c r="I55"/>
  <c r="I66"/>
  <c r="H55"/>
  <c r="D55"/>
  <c r="C55"/>
  <c r="O55"/>
  <c r="O54"/>
  <c r="K54"/>
  <c r="K66"/>
  <c r="J54"/>
  <c r="I54"/>
  <c r="H54"/>
  <c r="H66"/>
  <c r="D54"/>
  <c r="D66"/>
  <c r="C54"/>
  <c r="C66"/>
  <c r="O66"/>
  <c r="O50"/>
  <c r="O49"/>
  <c r="O48"/>
  <c r="N47"/>
  <c r="M47"/>
  <c r="L47"/>
  <c r="K47"/>
  <c r="J47"/>
  <c r="I47"/>
  <c r="H47"/>
  <c r="F47"/>
  <c r="E47"/>
  <c r="D47"/>
  <c r="C47"/>
  <c r="O47"/>
  <c r="N46"/>
  <c r="M46"/>
  <c r="L46"/>
  <c r="K46"/>
  <c r="J46"/>
  <c r="I46"/>
  <c r="H46"/>
  <c r="F46"/>
  <c r="E46"/>
  <c r="D46"/>
  <c r="C46"/>
  <c r="O46"/>
  <c r="N45"/>
  <c r="M45"/>
  <c r="L45"/>
  <c r="K45"/>
  <c r="J45"/>
  <c r="I45"/>
  <c r="H45"/>
  <c r="G45"/>
  <c r="F45"/>
  <c r="E45"/>
  <c r="D45"/>
  <c r="C45"/>
  <c r="O45"/>
  <c r="O44"/>
  <c r="N43"/>
  <c r="N51"/>
  <c r="N68"/>
  <c r="M43"/>
  <c r="M51"/>
  <c r="M68"/>
  <c r="L43"/>
  <c r="L51"/>
  <c r="L68"/>
  <c r="K43"/>
  <c r="K51"/>
  <c r="K68"/>
  <c r="J43"/>
  <c r="J51"/>
  <c r="J68"/>
  <c r="I43"/>
  <c r="I51"/>
  <c r="I68"/>
  <c r="H43"/>
  <c r="H51"/>
  <c r="H68"/>
  <c r="F43"/>
  <c r="F51"/>
  <c r="F68"/>
  <c r="E43"/>
  <c r="E51"/>
  <c r="E68"/>
  <c r="D43"/>
  <c r="D51"/>
  <c r="D68"/>
  <c r="C43"/>
  <c r="C51"/>
  <c r="C42"/>
  <c r="C37" i="2"/>
  <c r="C32"/>
  <c r="C41"/>
  <c r="C29"/>
  <c r="C24"/>
  <c r="C19"/>
  <c r="C16"/>
  <c r="C8"/>
  <c r="C6"/>
  <c r="E19" i="70"/>
  <c r="C145" i="117"/>
  <c r="C140"/>
  <c r="C133"/>
  <c r="C129"/>
  <c r="C153"/>
  <c r="C119"/>
  <c r="C114"/>
  <c r="C115"/>
  <c r="C111"/>
  <c r="C110"/>
  <c r="C98"/>
  <c r="C96"/>
  <c r="C95"/>
  <c r="C94"/>
  <c r="C91"/>
  <c r="C79"/>
  <c r="C75"/>
  <c r="C72"/>
  <c r="C67"/>
  <c r="C86"/>
  <c r="C63"/>
  <c r="C57"/>
  <c r="C52"/>
  <c r="C48"/>
  <c r="C46"/>
  <c r="C42"/>
  <c r="C40"/>
  <c r="C34"/>
  <c r="C37"/>
  <c r="C28"/>
  <c r="C27"/>
  <c r="C26"/>
  <c r="C19"/>
  <c r="C17"/>
  <c r="C12"/>
  <c r="C5"/>
  <c r="C101" i="3"/>
  <c r="C31" i="120"/>
  <c r="C5" i="116"/>
  <c r="C17"/>
  <c r="C12"/>
  <c r="C19"/>
  <c r="C30"/>
  <c r="C27"/>
  <c r="C26"/>
  <c r="C36"/>
  <c r="C37"/>
  <c r="C34"/>
  <c r="C39"/>
  <c r="C40"/>
  <c r="C42"/>
  <c r="C46"/>
  <c r="C52"/>
  <c r="C57"/>
  <c r="C63"/>
  <c r="C67"/>
  <c r="C73"/>
  <c r="C72"/>
  <c r="C75"/>
  <c r="C79"/>
  <c r="C91"/>
  <c r="C94"/>
  <c r="C95"/>
  <c r="C96"/>
  <c r="C110"/>
  <c r="C98"/>
  <c r="C93"/>
  <c r="C128"/>
  <c r="C115"/>
  <c r="C114"/>
  <c r="C117"/>
  <c r="C119"/>
  <c r="C129"/>
  <c r="C153"/>
  <c r="C133"/>
  <c r="C140"/>
  <c r="C145"/>
  <c r="C100" i="119"/>
  <c r="C22" i="24"/>
  <c r="N22"/>
  <c r="M22"/>
  <c r="M31"/>
  <c r="M33"/>
  <c r="L22"/>
  <c r="K22"/>
  <c r="J22"/>
  <c r="E22"/>
  <c r="F22"/>
  <c r="G22"/>
  <c r="H22"/>
  <c r="H31"/>
  <c r="H33"/>
  <c r="I22"/>
  <c r="D22"/>
  <c r="D31"/>
  <c r="J31"/>
  <c r="J33"/>
  <c r="N31"/>
  <c r="N33"/>
  <c r="F31"/>
  <c r="F33"/>
  <c r="G31"/>
  <c r="G33"/>
  <c r="K31"/>
  <c r="K33"/>
  <c r="C40" i="1"/>
  <c r="C96"/>
  <c r="C36"/>
  <c r="C99" i="119"/>
  <c r="C43" i="120"/>
  <c r="J21" i="24"/>
  <c r="I21"/>
  <c r="H21"/>
  <c r="L21"/>
  <c r="M21"/>
  <c r="N21"/>
  <c r="K21"/>
  <c r="D21"/>
  <c r="E21"/>
  <c r="F21"/>
  <c r="G21"/>
  <c r="C21"/>
  <c r="J11"/>
  <c r="I11"/>
  <c r="H11"/>
  <c r="L11"/>
  <c r="M11"/>
  <c r="N11"/>
  <c r="K11"/>
  <c r="D11"/>
  <c r="E11"/>
  <c r="F11"/>
  <c r="G11"/>
  <c r="G16"/>
  <c r="C11"/>
  <c r="C24"/>
  <c r="D24"/>
  <c r="E24"/>
  <c r="F24"/>
  <c r="G24"/>
  <c r="O24"/>
  <c r="H24"/>
  <c r="I24"/>
  <c r="J24"/>
  <c r="K24"/>
  <c r="L24"/>
  <c r="M24"/>
  <c r="N24"/>
  <c r="C95" i="1"/>
  <c r="C94"/>
  <c r="C33" i="119"/>
  <c r="C30"/>
  <c r="C29"/>
  <c r="C98"/>
  <c r="C97"/>
  <c r="K20" i="24"/>
  <c r="K19"/>
  <c r="C98" i="120"/>
  <c r="C97"/>
  <c r="H20" i="24"/>
  <c r="J20"/>
  <c r="I20"/>
  <c r="C20"/>
  <c r="L20"/>
  <c r="M20"/>
  <c r="N20"/>
  <c r="D20"/>
  <c r="J19"/>
  <c r="I19"/>
  <c r="H19"/>
  <c r="C19"/>
  <c r="D19"/>
  <c r="H27"/>
  <c r="K26" i="64"/>
  <c r="M10"/>
  <c r="M9"/>
  <c r="M8"/>
  <c r="M7"/>
  <c r="M6"/>
  <c r="J10"/>
  <c r="J9"/>
  <c r="J8"/>
  <c r="J6"/>
  <c r="J7"/>
  <c r="J5"/>
  <c r="L7"/>
  <c r="L8" i="63"/>
  <c r="M8"/>
  <c r="M59"/>
  <c r="L33"/>
  <c r="M33"/>
  <c r="M50"/>
  <c r="K49"/>
  <c r="K48"/>
  <c r="K47"/>
  <c r="K46"/>
  <c r="K45"/>
  <c r="K44"/>
  <c r="K43"/>
  <c r="K42"/>
  <c r="K41"/>
  <c r="K39"/>
  <c r="K38"/>
  <c r="K37"/>
  <c r="K50"/>
  <c r="K36"/>
  <c r="K32"/>
  <c r="K31"/>
  <c r="K33"/>
  <c r="K30"/>
  <c r="K27"/>
  <c r="K26"/>
  <c r="K25"/>
  <c r="K24"/>
  <c r="K23"/>
  <c r="K22"/>
  <c r="K19"/>
  <c r="K18"/>
  <c r="K17"/>
  <c r="K16"/>
  <c r="K15"/>
  <c r="K13"/>
  <c r="K11"/>
  <c r="K28"/>
  <c r="K7"/>
  <c r="K8"/>
  <c r="L50"/>
  <c r="L12"/>
  <c r="L28"/>
  <c r="L59"/>
  <c r="J49"/>
  <c r="J48"/>
  <c r="J47"/>
  <c r="J46"/>
  <c r="J45"/>
  <c r="J44"/>
  <c r="J43"/>
  <c r="J42"/>
  <c r="J41"/>
  <c r="J39"/>
  <c r="J38"/>
  <c r="J37"/>
  <c r="J36"/>
  <c r="J50"/>
  <c r="J35"/>
  <c r="J32"/>
  <c r="J31"/>
  <c r="J33"/>
  <c r="J30"/>
  <c r="J27"/>
  <c r="J26"/>
  <c r="J25"/>
  <c r="J24"/>
  <c r="J23"/>
  <c r="J22"/>
  <c r="J19"/>
  <c r="J18"/>
  <c r="J17"/>
  <c r="J16"/>
  <c r="J15"/>
  <c r="J13"/>
  <c r="J12"/>
  <c r="J11"/>
  <c r="J28"/>
  <c r="J7"/>
  <c r="J5"/>
  <c r="J8"/>
  <c r="C115" i="1"/>
  <c r="C110"/>
  <c r="C42"/>
  <c r="C37"/>
  <c r="C34"/>
  <c r="C28"/>
  <c r="C17"/>
  <c r="C98"/>
  <c r="C30" i="120"/>
  <c r="C120" i="119"/>
  <c r="C118"/>
  <c r="C117"/>
  <c r="C113" i="120"/>
  <c r="C101"/>
  <c r="C96"/>
  <c r="C99"/>
  <c r="C118"/>
  <c r="C113" i="119"/>
  <c r="C101"/>
  <c r="C20" i="120"/>
  <c r="C20" i="119"/>
  <c r="C51" i="120"/>
  <c r="C49"/>
  <c r="C40"/>
  <c r="C45"/>
  <c r="C42" i="119"/>
  <c r="C43"/>
  <c r="C37"/>
  <c r="C51" i="3"/>
  <c r="C49"/>
  <c r="F18" i="63"/>
  <c r="F15"/>
  <c r="D8"/>
  <c r="D59"/>
  <c r="F16"/>
  <c r="C16"/>
  <c r="E15"/>
  <c r="E28"/>
  <c r="C15"/>
  <c r="F25"/>
  <c r="C25"/>
  <c r="F5"/>
  <c r="F8"/>
  <c r="D50"/>
  <c r="E50"/>
  <c r="D33"/>
  <c r="E33"/>
  <c r="F27"/>
  <c r="F26"/>
  <c r="C27"/>
  <c r="C26"/>
  <c r="F49"/>
  <c r="F48"/>
  <c r="F47"/>
  <c r="F46"/>
  <c r="C49"/>
  <c r="C48"/>
  <c r="C47"/>
  <c r="C46"/>
  <c r="F44"/>
  <c r="F45"/>
  <c r="C45"/>
  <c r="C44"/>
  <c r="F24"/>
  <c r="F23"/>
  <c r="F22"/>
  <c r="C24"/>
  <c r="C23"/>
  <c r="C22"/>
  <c r="F7"/>
  <c r="C7"/>
  <c r="F43"/>
  <c r="C43"/>
  <c r="F32"/>
  <c r="C32"/>
  <c r="F42"/>
  <c r="C42"/>
  <c r="F41"/>
  <c r="C41"/>
  <c r="F39"/>
  <c r="C39"/>
  <c r="F19"/>
  <c r="C19"/>
  <c r="C18"/>
  <c r="F17"/>
  <c r="C17"/>
  <c r="F38"/>
  <c r="F37"/>
  <c r="F36"/>
  <c r="F35"/>
  <c r="F50"/>
  <c r="F31"/>
  <c r="F33"/>
  <c r="F30"/>
  <c r="F13"/>
  <c r="F12"/>
  <c r="F11"/>
  <c r="F10"/>
  <c r="F28"/>
  <c r="E5"/>
  <c r="E8"/>
  <c r="E59"/>
  <c r="C5"/>
  <c r="C8"/>
  <c r="C38"/>
  <c r="C37"/>
  <c r="C31"/>
  <c r="C33"/>
  <c r="C30"/>
  <c r="C36"/>
  <c r="C35"/>
  <c r="C50"/>
  <c r="C13"/>
  <c r="C12"/>
  <c r="C11"/>
  <c r="C10"/>
  <c r="C28"/>
  <c r="F5" i="64"/>
  <c r="C5"/>
  <c r="F10"/>
  <c r="F9"/>
  <c r="F8"/>
  <c r="F7"/>
  <c r="F6"/>
  <c r="C10"/>
  <c r="C9"/>
  <c r="H9"/>
  <c r="C8"/>
  <c r="H8"/>
  <c r="C7"/>
  <c r="C6"/>
  <c r="H6"/>
  <c r="C119" i="87"/>
  <c r="C93"/>
  <c r="C98"/>
  <c r="D5"/>
  <c r="E48"/>
  <c r="E28"/>
  <c r="E30"/>
  <c r="J27" i="24"/>
  <c r="I27"/>
  <c r="D27"/>
  <c r="E27"/>
  <c r="F27"/>
  <c r="G27"/>
  <c r="K27"/>
  <c r="L27"/>
  <c r="M27"/>
  <c r="N27"/>
  <c r="C27"/>
  <c r="I31"/>
  <c r="E29"/>
  <c r="N29"/>
  <c r="K29"/>
  <c r="H29"/>
  <c r="O29"/>
  <c r="C30"/>
  <c r="E30"/>
  <c r="F30"/>
  <c r="G30"/>
  <c r="H30"/>
  <c r="I30"/>
  <c r="J30"/>
  <c r="K30"/>
  <c r="L30"/>
  <c r="M30"/>
  <c r="N30"/>
  <c r="D30"/>
  <c r="C28"/>
  <c r="D28"/>
  <c r="E28"/>
  <c r="F28"/>
  <c r="G28"/>
  <c r="H28"/>
  <c r="I28"/>
  <c r="J28"/>
  <c r="K28"/>
  <c r="L28"/>
  <c r="M28"/>
  <c r="N28"/>
  <c r="O28"/>
  <c r="O25"/>
  <c r="O26"/>
  <c r="K25"/>
  <c r="E25"/>
  <c r="L31"/>
  <c r="L33"/>
  <c r="C8"/>
  <c r="D8"/>
  <c r="E8"/>
  <c r="F8"/>
  <c r="F16"/>
  <c r="G8"/>
  <c r="H8"/>
  <c r="I8"/>
  <c r="J8"/>
  <c r="K8"/>
  <c r="L8"/>
  <c r="M8"/>
  <c r="M16"/>
  <c r="N8"/>
  <c r="N16"/>
  <c r="O8"/>
  <c r="E12"/>
  <c r="D12"/>
  <c r="F12"/>
  <c r="G12"/>
  <c r="H12"/>
  <c r="I12"/>
  <c r="J12"/>
  <c r="J16"/>
  <c r="K12"/>
  <c r="L12"/>
  <c r="M12"/>
  <c r="N12"/>
  <c r="C12"/>
  <c r="C10"/>
  <c r="D10"/>
  <c r="E10"/>
  <c r="F10"/>
  <c r="G10"/>
  <c r="H10"/>
  <c r="I10"/>
  <c r="J10"/>
  <c r="K10"/>
  <c r="L10"/>
  <c r="M10"/>
  <c r="N10"/>
  <c r="O10"/>
  <c r="C7"/>
  <c r="O7"/>
  <c r="B8" i="2"/>
  <c r="C26" i="128"/>
  <c r="D26"/>
  <c r="E26"/>
  <c r="E29"/>
  <c r="E33"/>
  <c r="E35"/>
  <c r="D29"/>
  <c r="D33"/>
  <c r="D35"/>
  <c r="E20"/>
  <c r="E22"/>
  <c r="D20"/>
  <c r="D22"/>
  <c r="E9"/>
  <c r="E8"/>
  <c r="D9"/>
  <c r="D8"/>
  <c r="D19" i="73"/>
  <c r="C8" i="119"/>
  <c r="E111" i="87"/>
  <c r="C119" i="1"/>
  <c r="C114"/>
  <c r="C111"/>
  <c r="C93"/>
  <c r="D18" i="61"/>
  <c r="D98" i="87"/>
  <c r="D93"/>
  <c r="D119"/>
  <c r="D114"/>
  <c r="D27"/>
  <c r="D26"/>
  <c r="D34"/>
  <c r="E119"/>
  <c r="E98"/>
  <c r="D19"/>
  <c r="C5"/>
  <c r="C12"/>
  <c r="C19"/>
  <c r="C27"/>
  <c r="C26"/>
  <c r="C34"/>
  <c r="C46"/>
  <c r="C52"/>
  <c r="C57"/>
  <c r="C63"/>
  <c r="C67"/>
  <c r="C72"/>
  <c r="C86"/>
  <c r="C75"/>
  <c r="C79"/>
  <c r="D16" i="24"/>
  <c r="D33"/>
  <c r="B32" i="2"/>
  <c r="B16"/>
  <c r="B6"/>
  <c r="D19" i="70"/>
  <c r="C63" i="1"/>
  <c r="C86"/>
  <c r="C159"/>
  <c r="C67"/>
  <c r="C72"/>
  <c r="C75"/>
  <c r="C79"/>
  <c r="C129"/>
  <c r="C153"/>
  <c r="C133"/>
  <c r="C140"/>
  <c r="C145"/>
  <c r="C5"/>
  <c r="C12"/>
  <c r="C19"/>
  <c r="C27"/>
  <c r="C26"/>
  <c r="C62"/>
  <c r="C46"/>
  <c r="C52"/>
  <c r="C57"/>
  <c r="C91"/>
  <c r="C114" i="3"/>
  <c r="C122"/>
  <c r="C117"/>
  <c r="C132"/>
  <c r="C136"/>
  <c r="C143"/>
  <c r="C156"/>
  <c r="C148"/>
  <c r="C8"/>
  <c r="C15"/>
  <c r="C22"/>
  <c r="C30"/>
  <c r="C29"/>
  <c r="C37"/>
  <c r="C55"/>
  <c r="C60"/>
  <c r="C66"/>
  <c r="C70"/>
  <c r="C75"/>
  <c r="C89"/>
  <c r="C78"/>
  <c r="C82"/>
  <c r="C122" i="119"/>
  <c r="C132"/>
  <c r="C136"/>
  <c r="C156"/>
  <c r="C143"/>
  <c r="C148"/>
  <c r="C94"/>
  <c r="C15"/>
  <c r="C22"/>
  <c r="C49"/>
  <c r="C55"/>
  <c r="C60"/>
  <c r="C66"/>
  <c r="C70"/>
  <c r="C75"/>
  <c r="C89"/>
  <c r="C78"/>
  <c r="C82"/>
  <c r="C114" i="120"/>
  <c r="C122"/>
  <c r="C117"/>
  <c r="C132"/>
  <c r="C156"/>
  <c r="C136"/>
  <c r="C143"/>
  <c r="C148"/>
  <c r="C94"/>
  <c r="C8"/>
  <c r="C15"/>
  <c r="C22"/>
  <c r="C29"/>
  <c r="C65"/>
  <c r="C90"/>
  <c r="C55"/>
  <c r="C60"/>
  <c r="C66"/>
  <c r="C89"/>
  <c r="C70"/>
  <c r="C75"/>
  <c r="C78"/>
  <c r="C82"/>
  <c r="H16" i="24"/>
  <c r="L16"/>
  <c r="O15"/>
  <c r="O14"/>
  <c r="O13"/>
  <c r="O9"/>
  <c r="B19" i="2"/>
  <c r="B24"/>
  <c r="B29"/>
  <c r="B37"/>
  <c r="F19" i="73"/>
  <c r="F31"/>
  <c r="F30"/>
  <c r="D20"/>
  <c r="D30"/>
  <c r="D31"/>
  <c r="D25"/>
  <c r="D19" i="61"/>
  <c r="D31"/>
  <c r="D32"/>
  <c r="D129" i="87"/>
  <c r="D133"/>
  <c r="D140"/>
  <c r="D153"/>
  <c r="D145"/>
  <c r="E114"/>
  <c r="E129"/>
  <c r="E133"/>
  <c r="E140"/>
  <c r="E153"/>
  <c r="E145"/>
  <c r="C114"/>
  <c r="C128"/>
  <c r="C129"/>
  <c r="C133"/>
  <c r="C140"/>
  <c r="C153"/>
  <c r="C145"/>
  <c r="D12"/>
  <c r="D62"/>
  <c r="D46"/>
  <c r="D52"/>
  <c r="D57"/>
  <c r="D72"/>
  <c r="D86"/>
  <c r="D75"/>
  <c r="D63"/>
  <c r="D67"/>
  <c r="D79"/>
  <c r="E52"/>
  <c r="E62"/>
  <c r="E88"/>
  <c r="E57"/>
  <c r="E5"/>
  <c r="E12"/>
  <c r="E19"/>
  <c r="E34"/>
  <c r="E46"/>
  <c r="E63"/>
  <c r="E67"/>
  <c r="E72"/>
  <c r="E86"/>
  <c r="E75"/>
  <c r="E79"/>
  <c r="H10" i="64"/>
  <c r="H12"/>
  <c r="H13"/>
  <c r="H14"/>
  <c r="H15"/>
  <c r="H16"/>
  <c r="H17"/>
  <c r="H18"/>
  <c r="H19"/>
  <c r="H20"/>
  <c r="H21"/>
  <c r="H22"/>
  <c r="H23"/>
  <c r="H24"/>
  <c r="H25"/>
  <c r="N59" i="63"/>
  <c r="C146" i="121"/>
  <c r="C140"/>
  <c r="C154"/>
  <c r="C129"/>
  <c r="C133"/>
  <c r="C93"/>
  <c r="C128"/>
  <c r="C155"/>
  <c r="C114"/>
  <c r="C29" i="128"/>
  <c r="C9"/>
  <c r="C8"/>
  <c r="C20"/>
  <c r="C22"/>
  <c r="C82" i="121"/>
  <c r="C78"/>
  <c r="C75"/>
  <c r="C70"/>
  <c r="C66"/>
  <c r="C89"/>
  <c r="C60"/>
  <c r="C55"/>
  <c r="C49"/>
  <c r="C37"/>
  <c r="C30"/>
  <c r="C29"/>
  <c r="C22"/>
  <c r="C65"/>
  <c r="C90"/>
  <c r="C15"/>
  <c r="C8"/>
  <c r="C145" i="118"/>
  <c r="C140"/>
  <c r="C133"/>
  <c r="C129"/>
  <c r="C153"/>
  <c r="C114"/>
  <c r="C93"/>
  <c r="C128"/>
  <c r="C79"/>
  <c r="C75"/>
  <c r="C72"/>
  <c r="C86"/>
  <c r="C159"/>
  <c r="C67"/>
  <c r="C63"/>
  <c r="C57"/>
  <c r="C52"/>
  <c r="C46"/>
  <c r="C34"/>
  <c r="C27"/>
  <c r="C26"/>
  <c r="C62"/>
  <c r="C19"/>
  <c r="C12"/>
  <c r="C5"/>
  <c r="C91"/>
  <c r="C91" i="87"/>
  <c r="D91"/>
  <c r="D14" i="71"/>
  <c r="D27"/>
  <c r="D37"/>
  <c r="C14"/>
  <c r="C27"/>
  <c r="C37"/>
  <c r="B14"/>
  <c r="B27"/>
  <c r="B37"/>
  <c r="H16" i="66"/>
  <c r="G16"/>
  <c r="F16"/>
  <c r="E16"/>
  <c r="I16"/>
  <c r="D16"/>
  <c r="H14"/>
  <c r="G14"/>
  <c r="F14"/>
  <c r="I14"/>
  <c r="E14"/>
  <c r="D14"/>
  <c r="H12"/>
  <c r="G12"/>
  <c r="F12"/>
  <c r="E12"/>
  <c r="D12"/>
  <c r="H9"/>
  <c r="H18"/>
  <c r="G9"/>
  <c r="F9"/>
  <c r="E9"/>
  <c r="D9"/>
  <c r="D18"/>
  <c r="H6"/>
  <c r="G6"/>
  <c r="G18"/>
  <c r="F6"/>
  <c r="E6"/>
  <c r="E18"/>
  <c r="D6"/>
  <c r="D30" i="88"/>
  <c r="C30"/>
  <c r="D25" i="61"/>
  <c r="E16" i="89"/>
  <c r="G16"/>
  <c r="F16"/>
  <c r="D16"/>
  <c r="C16"/>
  <c r="G15"/>
  <c r="G14"/>
  <c r="G13"/>
  <c r="G12"/>
  <c r="G11"/>
  <c r="G10"/>
  <c r="C8" i="78"/>
  <c r="C11" i="77"/>
  <c r="C11" i="62"/>
  <c r="D11"/>
  <c r="E11"/>
  <c r="F8"/>
  <c r="F9"/>
  <c r="F10"/>
  <c r="F7"/>
  <c r="F6"/>
  <c r="F11"/>
  <c r="I17" i="66"/>
  <c r="B35" i="71"/>
  <c r="E28"/>
  <c r="E30"/>
  <c r="E31"/>
  <c r="E32"/>
  <c r="E33"/>
  <c r="E34"/>
  <c r="E35"/>
  <c r="D35"/>
  <c r="C35"/>
  <c r="E5"/>
  <c r="E12"/>
  <c r="E7"/>
  <c r="E8"/>
  <c r="E9"/>
  <c r="E10"/>
  <c r="E11"/>
  <c r="D12"/>
  <c r="C12"/>
  <c r="B12"/>
  <c r="E6"/>
  <c r="E15"/>
  <c r="E22"/>
  <c r="E16"/>
  <c r="E17"/>
  <c r="E18"/>
  <c r="E19"/>
  <c r="E20"/>
  <c r="E21"/>
  <c r="B22"/>
  <c r="C22"/>
  <c r="D22"/>
  <c r="E29"/>
  <c r="E38"/>
  <c r="E45"/>
  <c r="E39"/>
  <c r="E40"/>
  <c r="E41"/>
  <c r="E42"/>
  <c r="E43"/>
  <c r="E44"/>
  <c r="B45"/>
  <c r="C45"/>
  <c r="D45"/>
  <c r="D52"/>
  <c r="I6" i="66"/>
  <c r="I12"/>
  <c r="I7"/>
  <c r="I8"/>
  <c r="I10"/>
  <c r="I11"/>
  <c r="I13"/>
  <c r="I15"/>
  <c r="E91" i="87"/>
  <c r="C33" i="128"/>
  <c r="C35"/>
  <c r="C158" i="118"/>
  <c r="C87"/>
  <c r="C154"/>
  <c r="I9" i="66"/>
  <c r="I18"/>
  <c r="F18"/>
  <c r="B41" i="2"/>
  <c r="C155" i="87"/>
  <c r="D88"/>
  <c r="D128"/>
  <c r="D155"/>
  <c r="E27"/>
  <c r="E26"/>
  <c r="C62"/>
  <c r="C88"/>
  <c r="E31" i="24"/>
  <c r="E33"/>
  <c r="O30"/>
  <c r="C31"/>
  <c r="C33"/>
  <c r="O27"/>
  <c r="O19"/>
  <c r="O12"/>
  <c r="E16"/>
  <c r="I16"/>
  <c r="I33"/>
  <c r="K16"/>
  <c r="C16"/>
  <c r="C37" i="120"/>
  <c r="C65" i="3"/>
  <c r="C90"/>
  <c r="H7" i="64"/>
  <c r="H26"/>
  <c r="O20" i="24"/>
  <c r="C96" i="3"/>
  <c r="C131"/>
  <c r="C157"/>
  <c r="O21" i="24"/>
  <c r="O11"/>
  <c r="O22"/>
  <c r="C93" i="117"/>
  <c r="C128"/>
  <c r="C154"/>
  <c r="C87"/>
  <c r="E93" i="87"/>
  <c r="E128"/>
  <c r="E155"/>
  <c r="O31" i="24"/>
  <c r="O16"/>
  <c r="O33"/>
  <c r="C68"/>
  <c r="O43"/>
  <c r="D29" i="3"/>
  <c r="G51" i="24"/>
  <c r="O51"/>
  <c r="O68"/>
  <c r="O42"/>
  <c r="D62" i="118"/>
  <c r="D154"/>
  <c r="C31" i="73"/>
  <c r="G6" i="64"/>
  <c r="D43" i="119"/>
  <c r="D37"/>
  <c r="D96" i="120"/>
  <c r="D131"/>
  <c r="D157"/>
  <c r="D155" i="121"/>
  <c r="D87" i="118"/>
  <c r="D158"/>
  <c r="F62" i="87"/>
  <c r="F88"/>
  <c r="D65" i="3"/>
  <c r="D90"/>
  <c r="D96" i="119"/>
  <c r="F93" i="87"/>
  <c r="G68" i="24"/>
  <c r="G19" i="73"/>
  <c r="G31"/>
  <c r="C131" i="120"/>
  <c r="C157"/>
  <c r="C96" i="119"/>
  <c r="C131"/>
  <c r="C157"/>
  <c r="C65"/>
  <c r="C90"/>
  <c r="D29"/>
  <c r="D65"/>
  <c r="D90"/>
  <c r="C87" i="1"/>
  <c r="C158"/>
  <c r="C128"/>
  <c r="C154"/>
  <c r="D86"/>
  <c r="D159"/>
  <c r="D114"/>
  <c r="D93"/>
  <c r="D62"/>
  <c r="D87"/>
  <c r="C62" i="116"/>
  <c r="C154"/>
  <c r="C86"/>
  <c r="C159"/>
  <c r="D86"/>
  <c r="D159"/>
  <c r="D34"/>
  <c r="D93"/>
  <c r="C87"/>
  <c r="C158"/>
  <c r="G59" i="63"/>
  <c r="F59"/>
  <c r="J59"/>
  <c r="K59"/>
  <c r="C59"/>
  <c r="D96" i="3"/>
  <c r="D131"/>
  <c r="D157"/>
  <c r="D128" i="1"/>
  <c r="D154"/>
  <c r="D128" i="116"/>
  <c r="D154"/>
  <c r="D131" i="119"/>
  <c r="D157"/>
  <c r="F128" i="87"/>
  <c r="F155"/>
  <c r="D158" i="116"/>
  <c r="D158" i="1"/>
</calcChain>
</file>

<file path=xl/sharedStrings.xml><?xml version="1.0" encoding="utf-8"?>
<sst xmlns="http://schemas.openxmlformats.org/spreadsheetml/2006/main" count="4935" uniqueCount="739">
  <si>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</si>
  <si>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</si>
  <si>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</si>
  <si>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</si>
  <si>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</si>
  <si>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</si>
  <si>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</si>
  <si>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</si>
  <si>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</si>
  <si>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</si>
  <si>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</si>
  <si>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</si>
  <si>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</si>
  <si>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</si>
  <si>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</si>
  <si>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</si>
  <si>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</si>
  <si>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</si>
  <si>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</si>
  <si>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</si>
  <si>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</si>
  <si>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</si>
  <si>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</si>
  <si>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</si>
  <si>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</si>
  <si>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</si>
  <si>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</si>
  <si>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</si>
  <si>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</si>
  <si>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</si>
  <si>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</si>
  <si>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</si>
  <si>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</si>
  <si>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</si>
  <si>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</si>
  <si>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</si>
  <si>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</si>
  <si>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</si>
  <si>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</si>
  <si>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</si>
  <si>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</si>
  <si>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</si>
  <si>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</si>
  <si>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</si>
  <si>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</si>
  <si>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</si>
  <si>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</si>
  <si>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</si>
  <si>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</si>
  <si>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</si>
  <si>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</si>
  <si>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</si>
  <si>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Előirányzat-csoport, kiemelt előirányzat megnevezése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</si>
  <si>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</si>
  <si>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</si>
  <si>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</si>
  <si>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</si>
  <si>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</si>
  <si>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</si>
  <si>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</si>
  <si>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</si>
  <si>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</si>
  <si>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</si>
  <si>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</si>
  <si>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</si>
  <si>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</si>
  <si>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</si>
  <si>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</si>
  <si>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</si>
  <si>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</si>
  <si>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</si>
  <si>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</si>
  <si>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</si>
  <si>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</si>
  <si>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</si>
  <si>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</si>
  <si>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</si>
  <si>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</si>
  <si>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</si>
  <si>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</si>
  <si>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</si>
  <si>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</si>
  <si>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</si>
  <si>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</si>
  <si>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</si>
  <si>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</si>
  <si>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</si>
  <si>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</si>
  <si>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</si>
  <si>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</si>
  <si>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</si>
  <si>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</si>
  <si>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</si>
  <si>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</si>
  <si>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</si>
  <si>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</si>
  <si>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</si>
  <si>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</si>
  <si>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</si>
  <si>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</si>
  <si>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</si>
  <si>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</si>
  <si>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</si>
  <si>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</si>
  <si>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</si>
  <si>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</si>
  <si>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</si>
  <si>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</si>
  <si>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</si>
  <si>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</si>
  <si>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</si>
  <si>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</si>
  <si>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</si>
  <si>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</si>
  <si>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</si>
  <si>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</si>
  <si>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</si>
  <si>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</si>
  <si>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</si>
  <si>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</si>
  <si>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</si>
  <si>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</si>
  <si>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</si>
  <si>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</si>
  <si>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</si>
  <si>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</si>
  <si>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</si>
  <si>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</si>
  <si>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</si>
  <si>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</si>
  <si>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</si>
  <si>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</si>
  <si>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</si>
  <si>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</si>
  <si>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</si>
  <si>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</si>
  <si>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</si>
  <si>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</si>
  <si>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</si>
  <si>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</si>
  <si>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</si>
  <si>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</si>
  <si>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</si>
  <si>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</si>
  <si>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</si>
  <si>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</si>
  <si>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</si>
  <si>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</si>
  <si>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</si>
  <si>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</si>
  <si>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</si>
  <si>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</si>
  <si>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</si>
  <si>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</si>
  <si>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</si>
  <si>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</si>
  <si>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</si>
  <si>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</si>
  <si>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</si>
  <si>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</si>
  <si>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</si>
  <si>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</si>
  <si>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</si>
  <si>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</si>
  <si>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</si>
  <si>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</si>
  <si>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</si>
  <si>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</si>
  <si>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</si>
  <si>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</si>
  <si>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</si>
  <si>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</si>
  <si>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</si>
  <si>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</si>
  <si>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</si>
  <si>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</si>
  <si>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</si>
  <si>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</si>
  <si>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</si>
  <si>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</si>
  <si>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</si>
  <si>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</si>
  <si>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</si>
  <si>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</si>
  <si>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</si>
  <si>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</si>
  <si>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</si>
  <si>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</si>
  <si>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</si>
  <si>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</si>
  <si>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</si>
  <si>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</si>
  <si>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</si>
  <si>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Feladat megnevezése</t>
  </si>
  <si>
    <t>Költségvetési szerv megnevezése</t>
  </si>
  <si>
    <t>Száma</t>
  </si>
  <si>
    <t>Közfoglalkoztatottak létszáma (fő)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</si>
  <si>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</si>
  <si>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</si>
  <si>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</si>
  <si>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</si>
  <si>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Költségvetési szerv számlaszáma: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</si>
  <si>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</si>
  <si>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</si>
  <si>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</si>
  <si>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</si>
  <si>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</si>
  <si>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</si>
  <si>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</si>
  <si>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</si>
  <si>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</si>
  <si>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</si>
  <si>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</si>
  <si>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</si>
  <si>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</si>
  <si>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</si>
  <si>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</si>
  <si>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</si>
  <si>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</si>
  <si>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</si>
  <si>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</si>
  <si>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</si>
  <si>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</si>
  <si>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</si>
  <si>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</si>
  <si>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</si>
  <si>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</si>
  <si>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</si>
  <si>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</si>
  <si>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</si>
  <si>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</si>
  <si>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</si>
  <si>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</si>
  <si>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</si>
  <si>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</si>
  <si>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</si>
  <si>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</si>
  <si>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</si>
  <si>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</si>
  <si>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</si>
  <si>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</si>
  <si>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</si>
  <si>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</si>
  <si>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</si>
  <si>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</si>
  <si>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</si>
  <si>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</si>
  <si>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</si>
  <si>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</si>
  <si>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</si>
  <si>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</si>
  <si>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</si>
  <si>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</si>
  <si>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</si>
  <si>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</si>
  <si>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</si>
  <si>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</si>
  <si>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</si>
  <si>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</si>
  <si>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</si>
  <si>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</si>
  <si>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</si>
  <si>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</si>
  <si>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</si>
  <si>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</si>
  <si>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</si>
  <si>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</si>
  <si>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</si>
  <si>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</si>
  <si>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</si>
  <si>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</si>
  <si>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</si>
  <si>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</si>
  <si>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</si>
  <si>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</si>
  <si>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</si>
  <si>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</si>
  <si>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</si>
  <si>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</si>
  <si>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</si>
  <si>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</si>
  <si>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</si>
  <si>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</si>
  <si>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</si>
  <si>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</si>
  <si>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</si>
  <si>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</si>
  <si>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</si>
  <si>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</si>
  <si>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</si>
  <si>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</si>
  <si>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</si>
  <si>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</si>
  <si>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</si>
  <si>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</si>
  <si>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</si>
  <si>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</si>
  <si>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</si>
  <si>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</si>
  <si>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</si>
  <si>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</si>
  <si>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</si>
  <si>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</si>
  <si>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</si>
  <si>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</si>
  <si>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</si>
  <si>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</si>
  <si>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</si>
  <si>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</si>
  <si>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</si>
  <si>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</si>
  <si>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</si>
  <si>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</si>
  <si>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</si>
  <si>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</si>
  <si>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</si>
  <si>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</si>
  <si>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</si>
  <si>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</si>
  <si>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</si>
  <si>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</si>
  <si>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</si>
  <si>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</si>
  <si>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</si>
  <si>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</si>
  <si>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</si>
  <si>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</si>
  <si>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</si>
  <si>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</si>
  <si>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</si>
  <si>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</si>
  <si>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</si>
  <si>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</si>
  <si>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</si>
  <si>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</si>
  <si>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</si>
  <si>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</si>
  <si>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</si>
  <si>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</si>
  <si>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</si>
  <si>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</si>
  <si>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</si>
  <si>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</si>
  <si>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</si>
  <si>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</si>
  <si>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</si>
  <si>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</si>
  <si>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</si>
  <si>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</si>
  <si>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</si>
  <si>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</si>
  <si>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</si>
  <si>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</si>
  <si>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</si>
  <si>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</si>
  <si>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</si>
  <si>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</si>
  <si>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</si>
  <si>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</si>
  <si>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</si>
  <si>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</si>
  <si>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</si>
  <si>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</si>
  <si>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</si>
  <si>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</si>
  <si>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</si>
  <si>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</si>
  <si>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</si>
  <si>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</si>
  <si>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</si>
  <si>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</si>
  <si>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</si>
  <si>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</si>
  <si>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</si>
  <si>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</si>
  <si>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</si>
  <si>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</si>
  <si>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</si>
  <si>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</si>
  <si>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</si>
  <si>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</si>
  <si>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</si>
  <si>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</si>
  <si>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</si>
  <si>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</si>
  <si>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</si>
  <si>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</si>
  <si>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</si>
  <si>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</si>
  <si>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</si>
  <si>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</si>
  <si>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</si>
  <si>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</si>
  <si>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</si>
  <si>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</si>
  <si>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</si>
  <si>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</si>
  <si>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</si>
  <si>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</si>
  <si>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</si>
  <si>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</si>
  <si>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</si>
  <si>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</si>
  <si>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</si>
  <si>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</si>
  <si>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</si>
  <si>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</si>
  <si>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</si>
  <si>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</si>
  <si>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</si>
  <si>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</si>
  <si>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</si>
  <si>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</si>
  <si>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</si>
  <si>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</si>
  <si>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</si>
  <si>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</si>
  <si>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</si>
  <si>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</si>
  <si>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</si>
  <si>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</si>
  <si>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</si>
  <si>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</si>
  <si>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</si>
  <si>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</si>
  <si>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</si>
  <si>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</si>
  <si>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</si>
  <si>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</si>
  <si>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</si>
  <si>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</si>
  <si>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</si>
  <si>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</si>
  <si>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</si>
  <si>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</si>
  <si>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4.1.3.</t>
  </si>
  <si>
    <t>- Értékesítési és forgalmi adók (iparűzési adó)</t>
  </si>
  <si>
    <t>Helyi adók  (4.1.1.+...+4.1.3.)</t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</si>
  <si>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</si>
  <si>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</si>
  <si>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</si>
  <si>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</si>
  <si>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</si>
  <si>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</si>
  <si>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</si>
  <si>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</si>
  <si>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</si>
  <si>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</si>
  <si>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</si>
  <si>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</si>
  <si>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</si>
  <si>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</si>
  <si>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</si>
  <si>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</si>
  <si>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</si>
  <si>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</si>
  <si>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</si>
  <si>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</si>
  <si>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</si>
  <si>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</si>
  <si>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</si>
  <si>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</si>
  <si>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</si>
  <si>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</si>
  <si>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</si>
  <si>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</si>
  <si>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</si>
  <si>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</si>
  <si>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</si>
  <si>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</si>
  <si>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</si>
  <si>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</si>
  <si>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</si>
  <si>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</si>
  <si>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</si>
  <si>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</si>
  <si>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</si>
  <si>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</si>
  <si>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</si>
  <si>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</si>
  <si>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</si>
  <si>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</si>
  <si>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</si>
  <si>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</si>
  <si>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</si>
  <si>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</si>
  <si>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</si>
  <si>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</si>
  <si>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</si>
  <si>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</si>
  <si>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</si>
  <si>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</si>
  <si>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</si>
  <si>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F=(B-D-E)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</si>
  <si>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</si>
  <si>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</si>
  <si>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</si>
  <si>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</si>
  <si>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</si>
  <si>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</si>
  <si>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</si>
  <si>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</si>
  <si>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</si>
  <si>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</si>
  <si>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</si>
  <si>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</si>
  <si>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</si>
  <si>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</si>
  <si>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</si>
  <si>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</si>
  <si>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</si>
  <si>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</si>
  <si>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</si>
  <si>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</si>
  <si>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</si>
  <si>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</si>
  <si>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</si>
  <si>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</si>
  <si>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</si>
  <si>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</si>
  <si>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</si>
  <si>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</si>
  <si>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</si>
  <si>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Államigazgatási feladatok bevételei, kiadása</t>
  </si>
  <si>
    <t>KIADÁSOK ÖSSZESEN: (1.+2.+3.)</t>
  </si>
  <si>
    <t>Államigazgatási feladatok bevételei, kiadásai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</si>
  <si>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</si>
  <si>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</si>
  <si>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</si>
  <si>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</si>
  <si>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</si>
  <si>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</si>
  <si>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</si>
  <si>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</si>
  <si>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</si>
  <si>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</si>
  <si>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</si>
  <si>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</si>
  <si>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</si>
  <si>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 xml:space="preserve">Vonyarcvashegy Nagyközség Önkormányzata </t>
  </si>
  <si>
    <t>Vonyarcvashegy Nagyközség Önkormányzata</t>
  </si>
  <si>
    <t>Vonyarcvashegyi Közös Önkormányzati Hivatal</t>
  </si>
  <si>
    <t>Művelődési Ház és Könyvtár</t>
  </si>
  <si>
    <t>Vonyarcvashegy Nagyközség Önkormányzata adósságot keletkeztető ügyletekből és kezességvállalásokból fennálló kötelezettségei</t>
  </si>
  <si>
    <t>Vonyarcvashegy Nagyközség Önkormányzata saját bevételeinek részletezése az adósságot keletkeztető ügyletből származó tárgyévi fizetési kötelezettség megállapításához</t>
  </si>
  <si>
    <t>Központi, irányítószervi támogatás (intézményfinanszírozás)</t>
  </si>
  <si>
    <t>Szentmihályhegy Védő Vendégváró Egyesület</t>
  </si>
  <si>
    <t>Balaton-felvidéki Borvidék Hegyközsége</t>
  </si>
  <si>
    <t>Polgárőr Egyesület</t>
  </si>
  <si>
    <t>Kék Balaton Fúvós Egyesület (Zalai Balaton-Part Ifjúsági Fúvószenekar)</t>
  </si>
  <si>
    <t>Vonyarcvashegy Tanulóiért Alapítvány</t>
  </si>
  <si>
    <t>Turisztikai Egyesület</t>
  </si>
  <si>
    <t>Nyugat-Balatoni Turisztikai Nonprofit Kft</t>
  </si>
  <si>
    <t>Vonyarcvashegy Kézilabda-utánpótlásért Alapítvány</t>
  </si>
  <si>
    <t>Balaton Art Alkotóközösség</t>
  </si>
  <si>
    <t>Vonyarcvashegyi Közös Önkormányzati Hivatal - Vonyarcvashegy</t>
  </si>
  <si>
    <t>Vonyarcvashegyi Közös Önkormányzati Hivatal - Balatongyörök</t>
  </si>
  <si>
    <t>11749039-1543436</t>
  </si>
  <si>
    <t>Tartalék</t>
  </si>
  <si>
    <t>Függő, átfutó, kiegyenlítő bevételek</t>
  </si>
  <si>
    <t>Függő, átfutó, kiegyenlítő kiadások</t>
  </si>
  <si>
    <t>Helyi adók</t>
  </si>
  <si>
    <t>Díjak, pótlékok, bírságok</t>
  </si>
  <si>
    <t>Önkormányzat működésének általános támogatása</t>
  </si>
  <si>
    <t>Hivatal  működésének támogatása</t>
  </si>
  <si>
    <t>Település üzemeltetéshez kapcsolódó feladatellátás támogatása összesen:</t>
  </si>
  <si>
    <t>Zöldterület gazdálkodással kapcsolatos feladatok</t>
  </si>
  <si>
    <t>Közvilágítás fenntartása</t>
  </si>
  <si>
    <t>Köztemető fenntartásásával kapcsolatos feladatok</t>
  </si>
  <si>
    <t>Közútak fenntartása</t>
  </si>
  <si>
    <t>Önkormányzat egyes köznevelési és gyermekétkeztetési feladatainak támogatása</t>
  </si>
  <si>
    <t xml:space="preserve">Óvodaműködtetés </t>
  </si>
  <si>
    <t>Szociális  feladatok egyéb támogatása</t>
  </si>
  <si>
    <t>Szociális étkezés</t>
  </si>
  <si>
    <t>Jövedelempótló támogatások összesen</t>
  </si>
  <si>
    <t>foglalkoztatást helyettesítő támogatás</t>
  </si>
  <si>
    <t>rendszeres szociális segély</t>
  </si>
  <si>
    <t>lakásfenntartási támogatás</t>
  </si>
  <si>
    <t>Központosított előirányzat</t>
  </si>
  <si>
    <t>Gyermekétkeztetés dolgozói bértámogatása</t>
  </si>
  <si>
    <t>Gyermekétkeztetés üzemeltetési támogatása</t>
  </si>
  <si>
    <t>Üdülőhelyi feladatok</t>
  </si>
  <si>
    <t>Prémium Éves program támogatás</t>
  </si>
  <si>
    <t>Bérkompenzáció</t>
  </si>
  <si>
    <t>Lakossági víz-csatorna támogatása</t>
  </si>
  <si>
    <t>Központi, irányítószervi támogatás</t>
  </si>
  <si>
    <t>működési költségek</t>
  </si>
  <si>
    <t>Lakossági közműfejlesztési támogatás</t>
  </si>
  <si>
    <t>Egyéb áruhasználati és szolgáltatási adók (idegenforgalmi adó)</t>
  </si>
  <si>
    <t>ÁHT-on belüli megelőlegezések visszafizetése</t>
  </si>
  <si>
    <t>BEVÉTELEK</t>
  </si>
  <si>
    <t>2018. évi</t>
  </si>
  <si>
    <t>2019. évi</t>
  </si>
  <si>
    <t>Sorszám</t>
  </si>
  <si>
    <t>Len-Ki Baba Kft</t>
  </si>
  <si>
    <t>Általános Iskola Alapítványa</t>
  </si>
  <si>
    <t xml:space="preserve">K I M U T A T Á S </t>
  </si>
  <si>
    <t>Ft</t>
  </si>
  <si>
    <t>személyes szabadság korlátozása</t>
  </si>
  <si>
    <t>Egyéb kötelező önkormányzati feladat</t>
  </si>
  <si>
    <t>Óvodapedagógusok és az óvodapedagógusok munkáját közvetlenül segítők bértámogatása</t>
  </si>
  <si>
    <t>Könyvtári, közművelődési feladatok támogatása</t>
  </si>
  <si>
    <t>Önkormányzat szociális és gyermekjóléti feladatainak támogatása</t>
  </si>
  <si>
    <t>Önkormányzat kulturális feladatainak támogatása</t>
  </si>
  <si>
    <t xml:space="preserve">ÁLLAMI TÁMOGATÁS                                                                                                                      </t>
  </si>
  <si>
    <t>2017.</t>
  </si>
  <si>
    <t>2018.</t>
  </si>
  <si>
    <t>Viziközmű kiépítése, gazdasági bejárattól K-re (strand)</t>
  </si>
  <si>
    <t>Szemétgyűjtő (strand)</t>
  </si>
  <si>
    <t>Templom körüli térkő kialakítása (temető)</t>
  </si>
  <si>
    <t>Temetői urnasír vásárlása (temető)</t>
  </si>
  <si>
    <t>Arany János utcai járda építése (905/1 Hrsz) (adósságkonszolidáció) (út)</t>
  </si>
  <si>
    <t>Forint</t>
  </si>
  <si>
    <t>Eredeti előirányzat (2017.01)</t>
  </si>
  <si>
    <t>a 2017. évben céljelleggel juttatott támogatásokról</t>
  </si>
  <si>
    <t>Támogatás összege (2017.01)</t>
  </si>
  <si>
    <t>2020. évi</t>
  </si>
  <si>
    <t>2017. évi támogatás (2017.01)</t>
  </si>
  <si>
    <t>A 2017. évi működési és felhalmozási feladatok állami támogatásának alakulása jogcímenként</t>
  </si>
  <si>
    <t>Bérkompenzáció (2016. év)</t>
  </si>
  <si>
    <t>Előirányzat-felhasználási terv 2017. évre</t>
  </si>
  <si>
    <t>(2017.01)</t>
  </si>
  <si>
    <t>Felhalmozási célú támogatások Áht-n belül</t>
  </si>
  <si>
    <t>Működési célú támogatások Áht-n belül</t>
  </si>
  <si>
    <t>Működési célú támogatások Áht-n kívül</t>
  </si>
  <si>
    <t>2016. év előtti kifizetés</t>
  </si>
  <si>
    <t xml:space="preserve">2016. </t>
  </si>
  <si>
    <t>2018. után</t>
  </si>
  <si>
    <t>2015. évi tény</t>
  </si>
  <si>
    <t>2016. évi várható</t>
  </si>
  <si>
    <t>Vagyoni típusú adók (építményadó)</t>
  </si>
  <si>
    <t>Termékek és szolgáltatások adói</t>
  </si>
  <si>
    <t>Vonyarcvashegy, 2017. .......................... hó .....nap</t>
  </si>
  <si>
    <t>forintban</t>
  </si>
  <si>
    <t>2019.</t>
  </si>
  <si>
    <t>2020.</t>
  </si>
  <si>
    <t>Vonyarcvashegy Nagyközség Önkormányzata  2017. évi adósságot keletkeztető fejlesztési céljai</t>
  </si>
  <si>
    <t>Felhasználás 2016.12.31-ig</t>
  </si>
  <si>
    <t>2017. év utáni szükséglet</t>
  </si>
  <si>
    <t>2017-2017</t>
  </si>
  <si>
    <t>Önkormányzaton kívüli EU-s projektekhez történő hozzájárulás 2017. évi előirányzat</t>
  </si>
  <si>
    <t>Hozzájárulás  (Ft)</t>
  </si>
  <si>
    <t>Járdaburkolat felújítása (adósságkonszolidáció-2016.év)</t>
  </si>
  <si>
    <t>* Fő utca 7-27 (1400/3, 1482/2 Hrsz) (Vashegyi gyalogos járda és rézsű megerősítése)</t>
  </si>
  <si>
    <t>* Strandi sétány (911/14 Hrsz)</t>
  </si>
  <si>
    <t>* Fő utca 82-84/1 (1400/16 Hrsz)</t>
  </si>
  <si>
    <t>* Fő utca 50-62/2 (185/6 Hrsz)</t>
  </si>
  <si>
    <t>Temetői kókeresztek felújítása</t>
  </si>
  <si>
    <t>2016-2017</t>
  </si>
  <si>
    <t>Fénymásoló (Közös Hivatal)</t>
  </si>
  <si>
    <t>Eszközbeszerzés-gép,berendezés (Polgármester)</t>
  </si>
  <si>
    <t>Eszközbeszerzés-informatikai (Polgármester)</t>
  </si>
  <si>
    <t>Eszközbeszerzés-gép,berendezés (iskola)</t>
  </si>
  <si>
    <t>Eszközbeszerzés-gép,berendezés (Közös Hivatal: irodabútor, irodaszék)</t>
  </si>
  <si>
    <t>Településfejlesztési koncepció (adósságkonszolidáció)</t>
  </si>
  <si>
    <t>Arany János utca tervezési díja (út)</t>
  </si>
  <si>
    <t>Út beruházás (VP6-7.2.1-7.4.1.2-16 pályázat, 1. célterület önrésze) (út)</t>
  </si>
  <si>
    <t>Vashegyi támfal tervezése (út)</t>
  </si>
  <si>
    <t>Tervezési díj (048/2 és 2072 Hrsz-ú utak burkolása) (út)</t>
  </si>
  <si>
    <t>Eszközbeszerzés-gép,berendezés (város-községgazdálkodás)</t>
  </si>
  <si>
    <t>Eszközbeszerzés-gép,berendezés (háziorvos)</t>
  </si>
  <si>
    <t>Eszközbeszerzés-informatikai (Gyermekorvos)</t>
  </si>
  <si>
    <t>Eszközbeszerzés-gép,berendezés (védőnő)</t>
  </si>
  <si>
    <t>Strandfejlesztési koncepció (strand)</t>
  </si>
  <si>
    <t>Óvoda kerítés építése (város-községgazdálkodás)</t>
  </si>
  <si>
    <t>Bölcsöde tervezési díja (város-községgazdálkodás)</t>
  </si>
  <si>
    <t>Óvoda épületének tetőtér beépítése (adósságkonszolidáció) (város-községgazdálkodás)</t>
  </si>
  <si>
    <t>Fotocellás piszoár öblítők beszerzése (strand)</t>
  </si>
  <si>
    <t>Kerékpártároló (zárható,őrzött) (strand)</t>
  </si>
  <si>
    <t>Napvitorla (dohányzásra kijelölt helyekhez) (strand)</t>
  </si>
  <si>
    <t>Hamugyűjtő (dohányzásra kijelölt helyekhez) (strand)</t>
  </si>
  <si>
    <t>Pótkocsi (strand)</t>
  </si>
  <si>
    <t>Röplabdapálya fejlesztése (strand)</t>
  </si>
  <si>
    <t>Eszközbeszerzés-gép,berendezés (strand)</t>
  </si>
  <si>
    <t>Beruházás (immateriális javak) összesen:</t>
  </si>
  <si>
    <t>Beruházás (ingatlan) összesen:</t>
  </si>
  <si>
    <t>Beruházás (informatikai eszköz) összesen:</t>
  </si>
  <si>
    <t>Beruházás (gép,berendezés) összesen:</t>
  </si>
  <si>
    <t>BERUHÁZÁS MINDÖSSZESEN:</t>
  </si>
  <si>
    <t>Tervezési díj (Parti sétány fejlesztése) (strand)</t>
  </si>
  <si>
    <t>Kandelláber (2 db) (91/2 Hrsz Margaréta u., 1478/2 Kikelet u.)</t>
  </si>
  <si>
    <t>Kandelláber (2 db) (Kápolna utca)</t>
  </si>
  <si>
    <t>Út beruházáshoz gép, berendezés (VP6-7.2.1-7.4.1.2-16 pályázat, 1.célterület önrésze)(közút fenntartás)</t>
  </si>
  <si>
    <t>Pályázati támogatás</t>
  </si>
  <si>
    <t>BERUHÁZÁS</t>
  </si>
  <si>
    <t>Önerő</t>
  </si>
  <si>
    <t>Pályázati önrész</t>
  </si>
  <si>
    <t>FELÚJÍTÁS</t>
  </si>
  <si>
    <t>Vajda János Öregdiákok Egyesülete</t>
  </si>
  <si>
    <t>tanulók támogatása</t>
  </si>
  <si>
    <t>Felhaszánálási hely</t>
  </si>
  <si>
    <t>Temető</t>
  </si>
  <si>
    <t>Út</t>
  </si>
  <si>
    <t>Felhasználási hely</t>
  </si>
  <si>
    <t>Város- és községgazdálkodás</t>
  </si>
  <si>
    <t>Strand</t>
  </si>
  <si>
    <t>Közvilágítás</t>
  </si>
  <si>
    <t>Igazgatás</t>
  </si>
  <si>
    <t>Gyermekorvos</t>
  </si>
  <si>
    <t>Közút fenntartás</t>
  </si>
  <si>
    <t>Iskola</t>
  </si>
  <si>
    <t>Háziorvos</t>
  </si>
  <si>
    <t>Védőnő</t>
  </si>
  <si>
    <t>Eszközbeszerzés-gép,berendezés (gyermekorvos)</t>
  </si>
  <si>
    <t>Elvonások és befizetések</t>
  </si>
  <si>
    <t>Éves eredeti kiadási előirányzat: 725.148.199 Ft</t>
  </si>
  <si>
    <t>Támogatás összege (2017.05)</t>
  </si>
  <si>
    <t>2017. évi támogatás (2017.05)</t>
  </si>
  <si>
    <t>(2017.05)</t>
  </si>
  <si>
    <t>Módosított előirányzat (2017.05)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</si>
  <si>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</si>
  <si>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</si>
  <si>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Egyéb kulturális támogatás (kulturális illetménypótlék)</t>
  </si>
  <si>
    <t>Környezet kialakítás szoborhoz (Büszkeségpont pályázat)</t>
  </si>
  <si>
    <t>Szobor  (Büszkeségpont pályázat, 1956-os emlék)</t>
  </si>
  <si>
    <t>Keszthelyi Mentők Alapítány</t>
  </si>
  <si>
    <t>Csíksomlyói búcsún részvétel</t>
  </si>
  <si>
    <t xml:space="preserve">Településképi arculati kézikönyv és rendelet </t>
  </si>
  <si>
    <t>Tanácsterem felújítása (Önk.feladatell.szolg.fejl.támog.pályázat)</t>
  </si>
  <si>
    <t>Város-és községgazd</t>
  </si>
  <si>
    <t>2017-</t>
  </si>
  <si>
    <t>Részesedés beszerzés (Kábeltelevízió)</t>
  </si>
  <si>
    <t>Részesedés beszerzés összesen: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</si>
  <si>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</si>
  <si>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r>
      <t xml:space="preserve">   Működési költségvetés kiadásai </t>
    </r>
    <r>
      <rPr>
        <sz val="10"/>
        <rFont val="Times New Roman CE"/>
        <charset val="238"/>
      </rPr>
      <t>(1.1+…+1.5.+1.18.)</t>
    </r>
  </si>
  <si>
    <r>
      <t xml:space="preserve">   Felhalmozási költségvetés kiadásai </t>
    </r>
    <r>
      <rPr>
        <sz val="10"/>
        <rFont val="Times New Roman CE"/>
        <charset val="238"/>
      </rPr>
      <t>(2.1.+2.3.+2.5.)</t>
    </r>
  </si>
  <si>
    <t>Kisajátítás-kártalanítás (017/4 Hrsz)</t>
  </si>
  <si>
    <t>2.1. melléklet a 7/2017. (V.26.) önkormányzati rendelethez</t>
  </si>
  <si>
    <t>2.2. melléklet a 7/2017. (V.26.) önkormányzati rendelethez</t>
  </si>
  <si>
    <t>9.1. melléklet a7/2017. (V.26.) önkormányzati rendelethez</t>
  </si>
  <si>
    <t>9.1.1. melléklet a 7/2017. (V.26.) önkormányzati rendelethez</t>
  </si>
  <si>
    <t>9.1. melléklet a 7/2017. (V.26.) önkormányzati rendelethez</t>
  </si>
  <si>
    <t>9.1.3. melléklet a 7/2017. (V.26.) önkormányzati rendelethez</t>
  </si>
  <si>
    <t>9.2. melléklet a 7/2017. (V.26.) önkormányzati rendelethez</t>
  </si>
  <si>
    <t>9.2.(2-1) melléklet a 7/2017. (V.26.) önkormányzati rendelethez</t>
  </si>
  <si>
    <t>9.2.(2-2) melléklet a 7/2017. (V.26.) önkormányzati rendelethez</t>
  </si>
  <si>
    <t>9.2.1. melléklet a 7/2017. (V.26.) önkormányzati rendelethez</t>
  </si>
  <si>
    <t>9.2.2. melléklet a 7/2017. (V.26.) önkormányzati rendelethez</t>
  </si>
  <si>
    <t>9.2.3. melléklet a 7/2017. (V.26.) önkormányzati rendelethez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</si>
</sst>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6" formatCode="_-* #,##0\ _F_t_-;\-* #,##0\ _F_t_-;_-* &quot;-&quot;??\ _F_t_-;_-@_-"/>
    <numFmt numFmtId="172" formatCode="0&quot;.&quot;"/>
  </numFmts>
  <fonts count="5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 CE"/>
      <family val="1"/>
      <charset val="238"/>
    </font>
    <font>
      <i/>
      <sz val="12"/>
      <name val="Times New Roman CE"/>
      <charset val="238"/>
    </font>
    <font>
      <b/>
      <i/>
      <u/>
      <sz val="22"/>
      <name val="Times New Roman CE"/>
      <charset val="238"/>
    </font>
    <font>
      <b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9"/>
      <name val="Times New Roman CE"/>
      <charset val="238"/>
    </font>
    <font>
      <b/>
      <i/>
      <sz val="9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name val="Times New Roman CE"/>
      <charset val="238"/>
    </font>
    <font>
      <b/>
      <sz val="10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760">
    <xf numFmtId="0" fontId="0" fillId="0" borderId="0" xfId="0"/>
    <xf numFmtId="0" fontId="7" fillId="0" borderId="0" xfId="5" applyFont="1" applyFill="1" applyAlignment="1" applyProtection="1">
      <alignment horizontal="center" wrapText="1"/>
    </xf>
    <xf numFmtId="0" fontId="2" fillId="0" borderId="0" xfId="5" applyFont="1" applyFill="1" applyProtection="1">
      <protection locked="0"/>
    </xf>
    <xf numFmtId="0" fontId="2" fillId="0" borderId="0" xfId="5" applyFont="1" applyFill="1" applyProtection="1"/>
    <xf numFmtId="0" fontId="8" fillId="0" borderId="0" xfId="0" applyFont="1" applyFill="1" applyAlignment="1">
      <alignment horizontal="right"/>
    </xf>
    <xf numFmtId="0" fontId="7" fillId="0" borderId="1" xfId="5" applyFont="1" applyFill="1" applyBorder="1" applyAlignment="1" applyProtection="1">
      <alignment horizontal="center" vertical="center" wrapText="1"/>
    </xf>
    <xf numFmtId="0" fontId="7" fillId="0" borderId="2" xfId="5" applyFont="1" applyFill="1" applyBorder="1" applyAlignment="1" applyProtection="1">
      <alignment horizontal="center" vertical="center"/>
    </xf>
    <xf numFmtId="0" fontId="7" fillId="0" borderId="3" xfId="5" applyFont="1" applyFill="1" applyBorder="1" applyAlignment="1" applyProtection="1">
      <alignment horizontal="center" vertical="center"/>
    </xf>
    <xf numFmtId="0" fontId="7" fillId="0" borderId="4" xfId="5" applyFont="1" applyFill="1" applyBorder="1" applyAlignment="1" applyProtection="1">
      <alignment horizontal="left" vertical="center" indent="1"/>
    </xf>
    <xf numFmtId="0" fontId="7" fillId="0" borderId="0" xfId="5" applyFont="1" applyFill="1" applyAlignment="1" applyProtection="1">
      <alignment vertical="center"/>
    </xf>
    <xf numFmtId="0" fontId="2" fillId="0" borderId="5" xfId="5" applyFont="1" applyFill="1" applyBorder="1" applyAlignment="1" applyProtection="1">
      <alignment horizontal="left" vertical="center" indent="1"/>
    </xf>
    <xf numFmtId="0" fontId="2" fillId="0" borderId="6" xfId="5" applyFont="1" applyFill="1" applyBorder="1" applyAlignment="1" applyProtection="1">
      <alignment horizontal="left" vertical="center" indent="1"/>
    </xf>
    <xf numFmtId="164" fontId="2" fillId="0" borderId="6" xfId="5" applyNumberFormat="1" applyFont="1" applyFill="1" applyBorder="1" applyAlignment="1" applyProtection="1">
      <alignment vertical="center"/>
      <protection locked="0"/>
    </xf>
    <xf numFmtId="164" fontId="7" fillId="0" borderId="7" xfId="5" applyNumberFormat="1" applyFont="1" applyFill="1" applyBorder="1" applyAlignment="1" applyProtection="1">
      <alignment vertical="center"/>
    </xf>
    <xf numFmtId="0" fontId="2" fillId="0" borderId="0" xfId="5" applyFont="1" applyFill="1" applyAlignment="1" applyProtection="1">
      <alignment vertical="center"/>
      <protection locked="0"/>
    </xf>
    <xf numFmtId="0" fontId="2" fillId="0" borderId="4" xfId="5" applyFont="1" applyFill="1" applyBorder="1" applyAlignment="1" applyProtection="1">
      <alignment horizontal="left" vertical="center" indent="1"/>
    </xf>
    <xf numFmtId="0" fontId="7" fillId="0" borderId="8" xfId="5" applyFont="1" applyFill="1" applyBorder="1" applyAlignment="1" applyProtection="1">
      <alignment horizontal="left" vertical="center" indent="1"/>
    </xf>
    <xf numFmtId="164" fontId="7" fillId="0" borderId="8" xfId="5" applyNumberFormat="1" applyFont="1" applyFill="1" applyBorder="1" applyAlignment="1" applyProtection="1">
      <alignment vertical="center"/>
    </xf>
    <xf numFmtId="164" fontId="7" fillId="0" borderId="9" xfId="5" applyNumberFormat="1" applyFont="1" applyFill="1" applyBorder="1" applyAlignment="1" applyProtection="1">
      <alignment vertical="center"/>
    </xf>
    <xf numFmtId="0" fontId="2" fillId="0" borderId="0" xfId="5" applyFont="1" applyFill="1" applyAlignment="1" applyProtection="1">
      <alignment vertical="center"/>
    </xf>
    <xf numFmtId="0" fontId="2" fillId="0" borderId="10" xfId="5" applyFont="1" applyFill="1" applyBorder="1" applyAlignment="1" applyProtection="1">
      <alignment horizontal="left" vertical="center" indent="1"/>
    </xf>
    <xf numFmtId="0" fontId="7" fillId="0" borderId="10" xfId="5" applyFont="1" applyFill="1" applyBorder="1" applyAlignment="1" applyProtection="1">
      <alignment horizontal="left" vertical="center" indent="1"/>
    </xf>
    <xf numFmtId="164" fontId="7" fillId="0" borderId="10" xfId="5" applyNumberFormat="1" applyFont="1" applyFill="1" applyBorder="1" applyAlignment="1" applyProtection="1">
      <alignment vertical="center"/>
    </xf>
    <xf numFmtId="0" fontId="2" fillId="0" borderId="11" xfId="5" applyFont="1" applyFill="1" applyBorder="1" applyAlignment="1" applyProtection="1">
      <alignment horizontal="left" vertical="center" indent="1"/>
    </xf>
    <xf numFmtId="0" fontId="2" fillId="0" borderId="12" xfId="5" applyFont="1" applyFill="1" applyBorder="1" applyAlignment="1" applyProtection="1">
      <alignment horizontal="left" vertical="center" indent="1"/>
    </xf>
    <xf numFmtId="164" fontId="2" fillId="0" borderId="12" xfId="5" applyNumberFormat="1" applyFont="1" applyFill="1" applyBorder="1" applyAlignment="1" applyProtection="1">
      <alignment vertical="center"/>
      <protection locked="0"/>
    </xf>
    <xf numFmtId="164" fontId="7" fillId="0" borderId="13" xfId="5" applyNumberFormat="1" applyFont="1" applyFill="1" applyBorder="1" applyAlignment="1" applyProtection="1">
      <alignment vertical="center"/>
    </xf>
    <xf numFmtId="0" fontId="2" fillId="0" borderId="14" xfId="5" applyFont="1" applyFill="1" applyBorder="1" applyAlignment="1" applyProtection="1">
      <alignment horizontal="left" vertical="center" indent="1"/>
    </xf>
    <xf numFmtId="164" fontId="9" fillId="0" borderId="0" xfId="0" applyNumberFormat="1" applyFont="1" applyFill="1" applyAlignment="1" applyProtection="1">
      <alignment horizontal="left" vertical="center" wrapText="1"/>
    </xf>
    <xf numFmtId="0" fontId="10" fillId="0" borderId="0" xfId="0" applyFont="1" applyAlignment="1" applyProtection="1">
      <alignment horizontal="right" vertical="top"/>
    </xf>
    <xf numFmtId="164" fontId="9" fillId="0" borderId="0" xfId="0" applyNumberFormat="1" applyFont="1" applyFill="1" applyAlignment="1" applyProtection="1">
      <alignment vertical="center" wrapText="1"/>
    </xf>
    <xf numFmtId="0" fontId="11" fillId="0" borderId="15" xfId="0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/>
    </xf>
    <xf numFmtId="49" fontId="11" fillId="0" borderId="17" xfId="0" applyNumberFormat="1" applyFont="1" applyFill="1" applyBorder="1" applyAlignment="1" applyProtection="1">
      <alignment horizontal="right" vertical="center"/>
    </xf>
    <xf numFmtId="0" fontId="12" fillId="0" borderId="0" xfId="0" applyFont="1" applyFill="1" applyAlignment="1" applyProtection="1">
      <alignment vertical="center"/>
    </xf>
    <xf numFmtId="0" fontId="11" fillId="0" borderId="18" xfId="0" applyFont="1" applyFill="1" applyBorder="1" applyAlignment="1" applyProtection="1">
      <alignment horizontal="center" vertical="center" wrapText="1"/>
    </xf>
    <xf numFmtId="0" fontId="11" fillId="0" borderId="19" xfId="0" applyFont="1" applyFill="1" applyBorder="1" applyAlignment="1" applyProtection="1">
      <alignment horizontal="center" vertical="center"/>
    </xf>
    <xf numFmtId="49" fontId="11" fillId="0" borderId="20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Alignment="1" applyProtection="1">
      <alignment vertical="center"/>
    </xf>
    <xf numFmtId="0" fontId="13" fillId="0" borderId="0" xfId="0" applyFont="1" applyFill="1" applyAlignment="1" applyProtection="1">
      <alignment horizontal="right"/>
    </xf>
    <xf numFmtId="0" fontId="14" fillId="0" borderId="0" xfId="0" applyFont="1" applyFill="1" applyAlignment="1" applyProtection="1">
      <alignment vertical="center"/>
    </xf>
    <xf numFmtId="0" fontId="11" fillId="0" borderId="21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11" fillId="0" borderId="9" xfId="4" applyFont="1" applyFill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alignment vertical="center" wrapText="1"/>
    </xf>
    <xf numFmtId="0" fontId="15" fillId="0" borderId="4" xfId="0" applyFont="1" applyFill="1" applyBorder="1" applyAlignment="1" applyProtection="1">
      <alignment horizontal="center" vertical="center" wrapText="1"/>
    </xf>
    <xf numFmtId="0" fontId="15" fillId="0" borderId="8" xfId="0" applyFont="1" applyFill="1" applyBorder="1" applyAlignment="1" applyProtection="1">
      <alignment horizontal="center" vertical="center" wrapText="1"/>
    </xf>
    <xf numFmtId="0" fontId="15" fillId="0" borderId="9" xfId="0" applyFont="1" applyFill="1" applyBorder="1" applyAlignment="1" applyProtection="1">
      <alignment horizontal="center" vertical="center" wrapText="1"/>
    </xf>
    <xf numFmtId="0" fontId="12" fillId="0" borderId="0" xfId="0" applyFont="1" applyFill="1" applyAlignment="1" applyProtection="1">
      <alignment horizontal="center" vertical="center" wrapText="1"/>
    </xf>
    <xf numFmtId="0" fontId="11" fillId="0" borderId="22" xfId="0" applyFont="1" applyFill="1" applyBorder="1" applyAlignment="1" applyProtection="1">
      <alignment horizontal="center" vertical="center" wrapText="1"/>
    </xf>
    <xf numFmtId="0" fontId="11" fillId="0" borderId="23" xfId="0" applyFont="1" applyFill="1" applyBorder="1" applyAlignment="1" applyProtection="1">
      <alignment horizontal="center" vertical="center" wrapText="1"/>
    </xf>
    <xf numFmtId="164" fontId="11" fillId="0" borderId="24" xfId="0" applyNumberFormat="1" applyFont="1" applyFill="1" applyBorder="1" applyAlignment="1" applyProtection="1">
      <alignment horizontal="center" vertical="center" wrapText="1"/>
    </xf>
    <xf numFmtId="0" fontId="16" fillId="0" borderId="8" xfId="0" applyFont="1" applyFill="1" applyBorder="1" applyAlignment="1" applyProtection="1">
      <alignment horizontal="left" vertical="center" wrapText="1" indent="1"/>
    </xf>
    <xf numFmtId="164" fontId="16" fillId="0" borderId="9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vertical="center" wrapText="1"/>
    </xf>
    <xf numFmtId="49" fontId="6" fillId="0" borderId="25" xfId="0" applyNumberFormat="1" applyFont="1" applyFill="1" applyBorder="1" applyAlignment="1" applyProtection="1">
      <alignment horizontal="center" vertical="center" wrapText="1"/>
    </xf>
    <xf numFmtId="0" fontId="18" fillId="0" borderId="16" xfId="4" applyFont="1" applyFill="1" applyBorder="1" applyAlignment="1" applyProtection="1">
      <alignment horizontal="left" vertical="center" wrapText="1" indent="1"/>
    </xf>
    <xf numFmtId="164" fontId="1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0" fontId="18" fillId="0" borderId="6" xfId="4" applyFont="1" applyFill="1" applyBorder="1" applyAlignment="1" applyProtection="1">
      <alignment horizontal="left" vertical="center" wrapText="1" indent="1"/>
    </xf>
    <xf numFmtId="164" fontId="18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6" xfId="4" applyFont="1" applyFill="1" applyBorder="1" applyAlignment="1" applyProtection="1">
      <alignment horizontal="left" vertical="center" wrapText="1" indent="1"/>
    </xf>
    <xf numFmtId="164" fontId="1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 applyProtection="1">
      <alignment vertical="center" wrapText="1"/>
    </xf>
    <xf numFmtId="164" fontId="1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2" xfId="4" applyFont="1" applyFill="1" applyBorder="1" applyAlignment="1" applyProtection="1">
      <alignment horizontal="left" vertical="center" wrapText="1" indent="1"/>
    </xf>
    <xf numFmtId="0" fontId="16" fillId="0" borderId="4" xfId="0" applyFont="1" applyFill="1" applyBorder="1" applyAlignment="1" applyProtection="1">
      <alignment horizontal="center" vertical="center" wrapText="1"/>
    </xf>
    <xf numFmtId="0" fontId="16" fillId="0" borderId="8" xfId="4" applyFont="1" applyFill="1" applyBorder="1" applyAlignment="1" applyProtection="1">
      <alignment horizontal="left" vertical="center" wrapText="1" indent="1"/>
    </xf>
    <xf numFmtId="164" fontId="16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49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12" xfId="4" applyFont="1" applyFill="1" applyBorder="1" applyAlignment="1" applyProtection="1">
      <alignment horizontal="left" vertical="center" wrapText="1" indent="1"/>
    </xf>
    <xf numFmtId="164" fontId="6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6" xfId="4" applyFont="1" applyFill="1" applyBorder="1" applyAlignment="1" applyProtection="1">
      <alignment horizontal="left" vertical="center" wrapText="1" indent="1"/>
    </xf>
    <xf numFmtId="164" fontId="6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9" xfId="4" applyFont="1" applyFill="1" applyBorder="1" applyAlignment="1" applyProtection="1">
      <alignment horizontal="left" vertical="center" wrapText="1" indent="1"/>
    </xf>
    <xf numFmtId="164" fontId="6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1" xfId="0" applyNumberFormat="1" applyFont="1" applyFill="1" applyBorder="1" applyAlignment="1" applyProtection="1">
      <alignment horizontal="right" vertical="center" wrapText="1" indent="1"/>
    </xf>
    <xf numFmtId="0" fontId="20" fillId="0" borderId="4" xfId="0" applyFont="1" applyBorder="1" applyAlignment="1" applyProtection="1">
      <alignment horizontal="center" vertical="center" wrapText="1"/>
    </xf>
    <xf numFmtId="0" fontId="21" fillId="0" borderId="32" xfId="0" applyFont="1" applyBorder="1" applyAlignment="1" applyProtection="1">
      <alignment horizontal="left" wrapText="1" indent="1"/>
    </xf>
    <xf numFmtId="164" fontId="15" fillId="0" borderId="31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 vertical="center" wrapText="1" indent="1"/>
    </xf>
    <xf numFmtId="164" fontId="15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8" fillId="0" borderId="0" xfId="0" applyFont="1" applyFill="1" applyAlignment="1" applyProtection="1">
      <alignment horizontal="right" vertical="center" wrapText="1" indent="1"/>
    </xf>
    <xf numFmtId="0" fontId="15" fillId="0" borderId="21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22" fillId="0" borderId="0" xfId="0" applyFont="1" applyFill="1" applyAlignment="1" applyProtection="1">
      <alignment vertical="center" wrapText="1"/>
    </xf>
    <xf numFmtId="164" fontId="6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8" xfId="0" applyFont="1" applyFill="1" applyBorder="1" applyAlignment="1" applyProtection="1">
      <alignment horizontal="left" vertical="center" wrapText="1" indent="1"/>
    </xf>
    <xf numFmtId="164" fontId="15" fillId="0" borderId="9" xfId="0" applyNumberFormat="1" applyFont="1" applyFill="1" applyBorder="1" applyAlignment="1" applyProtection="1">
      <alignment horizontal="right" vertical="center" wrapText="1" inden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14" fillId="0" borderId="4" xfId="0" applyFont="1" applyFill="1" applyBorder="1" applyAlignment="1" applyProtection="1">
      <alignment horizontal="left" vertical="center"/>
    </xf>
    <xf numFmtId="0" fontId="14" fillId="0" borderId="32" xfId="0" applyFont="1" applyFill="1" applyBorder="1" applyAlignment="1" applyProtection="1">
      <alignment vertical="center" wrapText="1"/>
    </xf>
    <xf numFmtId="3" fontId="14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0" xfId="4" applyFont="1" applyFill="1" applyProtection="1"/>
    <xf numFmtId="0" fontId="13" fillId="0" borderId="33" xfId="0" applyFont="1" applyFill="1" applyBorder="1" applyAlignment="1" applyProtection="1">
      <alignment horizontal="right" vertical="center"/>
    </xf>
    <xf numFmtId="0" fontId="11" fillId="0" borderId="4" xfId="4" applyFont="1" applyFill="1" applyBorder="1" applyAlignment="1" applyProtection="1">
      <alignment horizontal="center" vertical="center" wrapText="1"/>
    </xf>
    <xf numFmtId="0" fontId="11" fillId="0" borderId="8" xfId="4" applyFont="1" applyFill="1" applyBorder="1" applyAlignment="1" applyProtection="1">
      <alignment horizontal="center" vertical="center" wrapText="1"/>
    </xf>
    <xf numFmtId="0" fontId="15" fillId="0" borderId="1" xfId="4" applyFont="1" applyFill="1" applyBorder="1" applyAlignment="1" applyProtection="1">
      <alignment horizontal="center" vertical="center" wrapText="1"/>
    </xf>
    <xf numFmtId="0" fontId="15" fillId="0" borderId="2" xfId="4" applyFont="1" applyFill="1" applyBorder="1" applyAlignment="1" applyProtection="1">
      <alignment horizontal="center" vertical="center" wrapText="1"/>
    </xf>
    <xf numFmtId="0" fontId="15" fillId="0" borderId="3" xfId="4" applyFont="1" applyFill="1" applyBorder="1" applyAlignment="1" applyProtection="1">
      <alignment horizontal="center" vertical="center" wrapText="1"/>
    </xf>
    <xf numFmtId="0" fontId="18" fillId="0" borderId="0" xfId="4" applyFont="1" applyFill="1" applyProtection="1"/>
    <xf numFmtId="0" fontId="15" fillId="0" borderId="4" xfId="4" applyFont="1" applyFill="1" applyBorder="1" applyAlignment="1" applyProtection="1">
      <alignment horizontal="left" vertical="center" wrapText="1" indent="1"/>
    </xf>
    <xf numFmtId="0" fontId="15" fillId="0" borderId="8" xfId="4" applyFont="1" applyFill="1" applyBorder="1" applyAlignment="1" applyProtection="1">
      <alignment horizontal="left" vertical="center" wrapText="1" indent="1"/>
    </xf>
    <xf numFmtId="164" fontId="15" fillId="0" borderId="9" xfId="4" applyNumberFormat="1" applyFont="1" applyFill="1" applyBorder="1" applyAlignment="1" applyProtection="1">
      <alignment horizontal="right" vertical="center" wrapText="1" indent="1"/>
    </xf>
    <xf numFmtId="0" fontId="24" fillId="0" borderId="0" xfId="4" applyFont="1" applyFill="1" applyProtection="1"/>
    <xf numFmtId="49" fontId="18" fillId="0" borderId="11" xfId="4" applyNumberFormat="1" applyFont="1" applyFill="1" applyBorder="1" applyAlignment="1" applyProtection="1">
      <alignment horizontal="left" vertical="center" wrapText="1" indent="1"/>
    </xf>
    <xf numFmtId="0" fontId="25" fillId="0" borderId="12" xfId="0" applyFont="1" applyBorder="1" applyAlignment="1" applyProtection="1">
      <alignment horizontal="left" wrapText="1" indent="1"/>
    </xf>
    <xf numFmtId="164" fontId="18" fillId="0" borderId="13" xfId="4" applyNumberFormat="1" applyFont="1" applyFill="1" applyBorder="1" applyAlignment="1" applyProtection="1">
      <alignment horizontal="right" vertical="center" wrapText="1" indent="1"/>
      <protection locked="0"/>
    </xf>
    <xf numFmtId="49" fontId="18" fillId="0" borderId="5" xfId="4" applyNumberFormat="1" applyFont="1" applyFill="1" applyBorder="1" applyAlignment="1" applyProtection="1">
      <alignment horizontal="left" vertical="center" wrapText="1" indent="1"/>
    </xf>
    <xf numFmtId="0" fontId="25" fillId="0" borderId="6" xfId="0" applyFont="1" applyBorder="1" applyAlignment="1" applyProtection="1">
      <alignment horizontal="left" wrapText="1" indent="1"/>
    </xf>
    <xf numFmtId="164" fontId="18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6" xfId="0" applyFont="1" applyBorder="1" applyAlignment="1" applyProtection="1">
      <alignment horizontal="left" vertical="center" wrapText="1" indent="1"/>
    </xf>
    <xf numFmtId="49" fontId="18" fillId="0" borderId="34" xfId="4" applyNumberFormat="1" applyFont="1" applyFill="1" applyBorder="1" applyAlignment="1" applyProtection="1">
      <alignment horizontal="left" vertical="center" wrapText="1" indent="1"/>
    </xf>
    <xf numFmtId="0" fontId="25" fillId="0" borderId="35" xfId="0" applyFont="1" applyBorder="1" applyAlignment="1" applyProtection="1">
      <alignment horizontal="left" vertical="center" wrapText="1" indent="1"/>
    </xf>
    <xf numFmtId="0" fontId="20" fillId="0" borderId="8" xfId="0" applyFont="1" applyBorder="1" applyAlignment="1" applyProtection="1">
      <alignment horizontal="left" vertical="center" wrapText="1" indent="1"/>
    </xf>
    <xf numFmtId="164" fontId="18" fillId="0" borderId="28" xfId="4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35" xfId="0" applyFont="1" applyBorder="1" applyAlignment="1" applyProtection="1">
      <alignment horizontal="left" wrapText="1" indent="1"/>
    </xf>
    <xf numFmtId="164" fontId="16" fillId="0" borderId="9" xfId="4" applyNumberFormat="1" applyFont="1" applyFill="1" applyBorder="1" applyAlignment="1" applyProtection="1">
      <alignment horizontal="right" vertical="center" wrapText="1" indent="1"/>
    </xf>
    <xf numFmtId="164" fontId="18" fillId="0" borderId="13" xfId="4" applyNumberFormat="1" applyFont="1" applyFill="1" applyBorder="1" applyAlignment="1" applyProtection="1">
      <alignment horizontal="right" vertical="center" wrapText="1" indent="1"/>
    </xf>
    <xf numFmtId="0" fontId="25" fillId="0" borderId="6" xfId="0" quotePrefix="1" applyFont="1" applyBorder="1" applyAlignment="1" applyProtection="1">
      <alignment horizontal="left" wrapText="1" indent="1"/>
    </xf>
    <xf numFmtId="164" fontId="6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8" xfId="4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3" xfId="4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4" xfId="4" applyFont="1" applyFill="1" applyBorder="1" applyAlignment="1" applyProtection="1">
      <alignment horizontal="left" vertical="center" wrapText="1"/>
    </xf>
    <xf numFmtId="0" fontId="20" fillId="0" borderId="4" xfId="0" applyFont="1" applyBorder="1" applyAlignment="1" applyProtection="1">
      <alignment vertical="center" wrapText="1"/>
    </xf>
    <xf numFmtId="0" fontId="25" fillId="0" borderId="35" xfId="0" applyFont="1" applyBorder="1" applyAlignment="1" applyProtection="1">
      <alignment vertical="center" wrapText="1"/>
    </xf>
    <xf numFmtId="0" fontId="25" fillId="0" borderId="11" xfId="0" applyFont="1" applyBorder="1" applyAlignment="1" applyProtection="1">
      <alignment wrapText="1"/>
    </xf>
    <xf numFmtId="0" fontId="25" fillId="0" borderId="5" xfId="0" applyFont="1" applyBorder="1" applyAlignment="1" applyProtection="1">
      <alignment wrapText="1"/>
    </xf>
    <xf numFmtId="0" fontId="25" fillId="0" borderId="34" xfId="0" applyFont="1" applyBorder="1" applyAlignment="1" applyProtection="1">
      <alignment wrapText="1"/>
    </xf>
    <xf numFmtId="164" fontId="15" fillId="0" borderId="9" xfId="4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8" xfId="0" applyFont="1" applyBorder="1" applyAlignment="1" applyProtection="1">
      <alignment wrapText="1"/>
    </xf>
    <xf numFmtId="0" fontId="20" fillId="0" borderId="36" xfId="0" applyFont="1" applyBorder="1" applyAlignment="1" applyProtection="1">
      <alignment vertical="center" wrapText="1"/>
    </xf>
    <xf numFmtId="0" fontId="20" fillId="0" borderId="29" xfId="0" applyFont="1" applyBorder="1" applyAlignment="1" applyProtection="1">
      <alignment wrapText="1"/>
    </xf>
    <xf numFmtId="0" fontId="12" fillId="0" borderId="0" xfId="4" applyFont="1" applyFill="1" applyBorder="1" applyAlignment="1" applyProtection="1">
      <alignment horizontal="center" vertical="center" wrapText="1"/>
    </xf>
    <xf numFmtId="0" fontId="12" fillId="0" borderId="0" xfId="4" applyFont="1" applyFill="1" applyBorder="1" applyAlignment="1" applyProtection="1">
      <alignment vertical="center" wrapText="1"/>
    </xf>
    <xf numFmtId="164" fontId="12" fillId="0" borderId="0" xfId="4" applyNumberFormat="1" applyFont="1" applyFill="1" applyBorder="1" applyAlignment="1" applyProtection="1">
      <alignment horizontal="right" vertical="center" wrapText="1" indent="1"/>
    </xf>
    <xf numFmtId="0" fontId="13" fillId="0" borderId="33" xfId="0" applyFont="1" applyFill="1" applyBorder="1" applyAlignment="1" applyProtection="1">
      <alignment horizontal="right"/>
    </xf>
    <xf numFmtId="0" fontId="2" fillId="0" borderId="0" xfId="4" applyFont="1" applyFill="1" applyAlignment="1" applyProtection="1"/>
    <xf numFmtId="0" fontId="15" fillId="0" borderId="4" xfId="4" applyFont="1" applyFill="1" applyBorder="1" applyAlignment="1" applyProtection="1">
      <alignment horizontal="center" vertical="center" wrapText="1"/>
    </xf>
    <xf numFmtId="0" fontId="15" fillId="0" borderId="8" xfId="4" applyFont="1" applyFill="1" applyBorder="1" applyAlignment="1" applyProtection="1">
      <alignment horizontal="center" vertical="center" wrapText="1"/>
    </xf>
    <xf numFmtId="0" fontId="15" fillId="0" borderId="9" xfId="4" applyFont="1" applyFill="1" applyBorder="1" applyAlignment="1" applyProtection="1">
      <alignment horizontal="center" vertical="center" wrapText="1"/>
    </xf>
    <xf numFmtId="0" fontId="15" fillId="0" borderId="1" xfId="4" applyFont="1" applyFill="1" applyBorder="1" applyAlignment="1" applyProtection="1">
      <alignment horizontal="left" vertical="center" wrapText="1" indent="1"/>
    </xf>
    <xf numFmtId="0" fontId="15" fillId="0" borderId="2" xfId="4" applyFont="1" applyFill="1" applyBorder="1" applyAlignment="1" applyProtection="1">
      <alignment vertical="center" wrapText="1"/>
    </xf>
    <xf numFmtId="164" fontId="15" fillId="0" borderId="3" xfId="4" applyNumberFormat="1" applyFont="1" applyFill="1" applyBorder="1" applyAlignment="1" applyProtection="1">
      <alignment horizontal="right" vertical="center" wrapText="1" indent="1"/>
    </xf>
    <xf numFmtId="49" fontId="18" fillId="0" borderId="25" xfId="4" applyNumberFormat="1" applyFont="1" applyFill="1" applyBorder="1" applyAlignment="1" applyProtection="1">
      <alignment horizontal="left" vertical="center" wrapText="1" indent="1"/>
    </xf>
    <xf numFmtId="164" fontId="18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37" xfId="4" applyFont="1" applyFill="1" applyBorder="1" applyAlignment="1" applyProtection="1">
      <alignment horizontal="left" vertical="center" wrapText="1" indent="1"/>
    </xf>
    <xf numFmtId="0" fontId="18" fillId="0" borderId="0" xfId="4" applyFont="1" applyFill="1" applyBorder="1" applyAlignment="1" applyProtection="1">
      <alignment horizontal="left" vertical="center" wrapText="1" indent="1"/>
    </xf>
    <xf numFmtId="0" fontId="18" fillId="0" borderId="35" xfId="4" applyFont="1" applyFill="1" applyBorder="1" applyAlignment="1" applyProtection="1">
      <alignment horizontal="left" vertical="center" wrapText="1" indent="6"/>
    </xf>
    <xf numFmtId="0" fontId="18" fillId="0" borderId="6" xfId="4" applyFont="1" applyFill="1" applyBorder="1" applyAlignment="1" applyProtection="1">
      <alignment horizontal="left" indent="6"/>
    </xf>
    <xf numFmtId="0" fontId="18" fillId="0" borderId="6" xfId="4" applyFont="1" applyFill="1" applyBorder="1" applyAlignment="1" applyProtection="1">
      <alignment horizontal="left" vertical="center" wrapText="1" indent="6"/>
    </xf>
    <xf numFmtId="49" fontId="18" fillId="0" borderId="38" xfId="4" applyNumberFormat="1" applyFont="1" applyFill="1" applyBorder="1" applyAlignment="1" applyProtection="1">
      <alignment horizontal="left" vertical="center" wrapText="1" indent="1"/>
    </xf>
    <xf numFmtId="49" fontId="18" fillId="0" borderId="39" xfId="4" applyNumberFormat="1" applyFont="1" applyFill="1" applyBorder="1" applyAlignment="1" applyProtection="1">
      <alignment horizontal="left" vertical="center" wrapText="1" indent="1"/>
    </xf>
    <xf numFmtId="0" fontId="18" fillId="0" borderId="19" xfId="4" applyFont="1" applyFill="1" applyBorder="1" applyAlignment="1" applyProtection="1">
      <alignment horizontal="left" vertical="center" wrapText="1" indent="7"/>
    </xf>
    <xf numFmtId="164" fontId="18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36" xfId="4" applyFont="1" applyFill="1" applyBorder="1" applyAlignment="1" applyProtection="1">
      <alignment horizontal="left" vertical="center" wrapText="1" indent="1"/>
    </xf>
    <xf numFmtId="0" fontId="15" fillId="0" borderId="29" xfId="4" applyFont="1" applyFill="1" applyBorder="1" applyAlignment="1" applyProtection="1">
      <alignment vertical="center" wrapText="1"/>
    </xf>
    <xf numFmtId="164" fontId="15" fillId="0" borderId="40" xfId="4" applyNumberFormat="1" applyFont="1" applyFill="1" applyBorder="1" applyAlignment="1" applyProtection="1">
      <alignment horizontal="right" vertical="center" wrapText="1" indent="1"/>
    </xf>
    <xf numFmtId="0" fontId="18" fillId="0" borderId="35" xfId="4" applyFont="1" applyFill="1" applyBorder="1" applyAlignment="1" applyProtection="1">
      <alignment horizontal="left" vertical="center" wrapText="1" indent="1"/>
    </xf>
    <xf numFmtId="164" fontId="18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2" xfId="4" applyFont="1" applyFill="1" applyBorder="1" applyAlignment="1" applyProtection="1">
      <alignment horizontal="left" vertical="center" wrapText="1" indent="6"/>
    </xf>
    <xf numFmtId="164" fontId="18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9" xfId="0" applyNumberFormat="1" applyFont="1" applyBorder="1" applyAlignment="1" applyProtection="1">
      <alignment horizontal="right" vertical="center" wrapText="1" indent="1"/>
    </xf>
    <xf numFmtId="164" fontId="20" fillId="0" borderId="9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9" xfId="0" quotePrefix="1" applyNumberFormat="1" applyFont="1" applyBorder="1" applyAlignment="1" applyProtection="1">
      <alignment horizontal="right" vertical="center" wrapText="1" indent="1"/>
    </xf>
    <xf numFmtId="0" fontId="7" fillId="0" borderId="0" xfId="4" applyFont="1" applyFill="1" applyProtection="1"/>
    <xf numFmtId="0" fontId="20" fillId="0" borderId="36" xfId="0" applyFont="1" applyBorder="1" applyAlignment="1" applyProtection="1">
      <alignment horizontal="left" vertical="center" wrapText="1" indent="1"/>
    </xf>
    <xf numFmtId="0" fontId="21" fillId="0" borderId="29" xfId="0" applyFont="1" applyBorder="1" applyAlignment="1" applyProtection="1">
      <alignment horizontal="left" vertical="center" wrapText="1" indent="1"/>
    </xf>
    <xf numFmtId="0" fontId="2" fillId="0" borderId="0" xfId="4" applyFont="1" applyFill="1" applyAlignment="1" applyProtection="1">
      <alignment horizontal="right" vertical="center" indent="1"/>
    </xf>
    <xf numFmtId="0" fontId="15" fillId="0" borderId="8" xfId="4" applyFont="1" applyFill="1" applyBorder="1" applyAlignment="1" applyProtection="1">
      <alignment vertical="center" wrapText="1"/>
    </xf>
    <xf numFmtId="164" fontId="23" fillId="0" borderId="33" xfId="4" applyNumberFormat="1" applyFont="1" applyFill="1" applyBorder="1" applyAlignment="1" applyProtection="1">
      <alignment horizontal="left" vertical="center"/>
    </xf>
    <xf numFmtId="164" fontId="9" fillId="0" borderId="0" xfId="0" applyNumberFormat="1" applyFont="1" applyFill="1" applyAlignment="1">
      <alignment vertical="center" wrapText="1"/>
    </xf>
    <xf numFmtId="0" fontId="26" fillId="0" borderId="0" xfId="0" applyFont="1" applyAlignment="1" applyProtection="1">
      <alignment horizontal="right" vertical="top"/>
      <protection locked="0"/>
    </xf>
    <xf numFmtId="0" fontId="11" fillId="0" borderId="17" xfId="0" quotePrefix="1" applyFont="1" applyFill="1" applyBorder="1" applyAlignment="1" applyProtection="1">
      <alignment horizontal="right" vertical="center" indent="1"/>
    </xf>
    <xf numFmtId="0" fontId="12" fillId="0" borderId="0" xfId="0" applyFont="1" applyFill="1" applyAlignment="1">
      <alignment vertical="center"/>
    </xf>
    <xf numFmtId="0" fontId="11" fillId="0" borderId="18" xfId="0" applyFont="1" applyFill="1" applyBorder="1" applyAlignment="1" applyProtection="1">
      <alignment vertical="center"/>
    </xf>
    <xf numFmtId="49" fontId="11" fillId="0" borderId="20" xfId="0" applyNumberFormat="1" applyFont="1" applyFill="1" applyBorder="1" applyAlignment="1" applyProtection="1">
      <alignment horizontal="right" vertical="center" indent="1"/>
    </xf>
    <xf numFmtId="0" fontId="14" fillId="0" borderId="0" xfId="0" applyFont="1" applyFill="1" applyAlignment="1">
      <alignment vertical="center"/>
    </xf>
    <xf numFmtId="0" fontId="11" fillId="0" borderId="3" xfId="0" applyFont="1" applyFill="1" applyBorder="1" applyAlignment="1" applyProtection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  <xf numFmtId="164" fontId="11" fillId="0" borderId="24" xfId="0" applyNumberFormat="1" applyFont="1" applyFill="1" applyBorder="1" applyAlignment="1" applyProtection="1">
      <alignment horizontal="right" vertical="center" wrapText="1" indent="1"/>
    </xf>
    <xf numFmtId="0" fontId="27" fillId="0" borderId="12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horizontal="left" wrapText="1" indent="1"/>
    </xf>
    <xf numFmtId="0" fontId="27" fillId="0" borderId="6" xfId="0" quotePrefix="1" applyFont="1" applyBorder="1" applyAlignment="1" applyProtection="1">
      <alignment horizontal="left" wrapText="1" indent="1"/>
    </xf>
    <xf numFmtId="0" fontId="27" fillId="0" borderId="35" xfId="0" applyFont="1" applyBorder="1" applyAlignment="1" applyProtection="1">
      <alignment horizontal="left" wrapText="1" indent="1"/>
    </xf>
    <xf numFmtId="0" fontId="18" fillId="0" borderId="6" xfId="4" applyFont="1" applyFill="1" applyBorder="1" applyAlignment="1" applyProtection="1">
      <alignment horizontal="left" vertical="center" wrapText="1" indent="7"/>
    </xf>
    <xf numFmtId="164" fontId="28" fillId="0" borderId="0" xfId="0" applyNumberFormat="1" applyFont="1" applyFill="1" applyAlignment="1" applyProtection="1">
      <alignment vertical="center" wrapText="1"/>
    </xf>
    <xf numFmtId="0" fontId="11" fillId="0" borderId="3" xfId="0" applyFont="1" applyFill="1" applyBorder="1" applyAlignment="1" applyProtection="1">
      <alignment horizontal="right" vertical="center" wrapText="1" indent="1"/>
    </xf>
    <xf numFmtId="0" fontId="29" fillId="0" borderId="0" xfId="4" applyFont="1" applyFill="1" applyAlignment="1" applyProtection="1">
      <alignment horizontal="right"/>
    </xf>
    <xf numFmtId="0" fontId="5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right" vertical="center" wrapText="1" indent="1"/>
    </xf>
    <xf numFmtId="0" fontId="5" fillId="0" borderId="0" xfId="0" applyFont="1" applyFill="1" applyAlignment="1">
      <alignment vertical="center" wrapText="1"/>
    </xf>
    <xf numFmtId="0" fontId="30" fillId="0" borderId="0" xfId="4" applyFont="1" applyFill="1" applyProtection="1"/>
    <xf numFmtId="0" fontId="7" fillId="0" borderId="0" xfId="4" applyFont="1" applyFill="1" applyAlignment="1" applyProtection="1"/>
    <xf numFmtId="0" fontId="19" fillId="0" borderId="0" xfId="4" applyFont="1" applyFill="1"/>
    <xf numFmtId="164" fontId="31" fillId="0" borderId="0" xfId="4" applyNumberFormat="1" applyFont="1" applyFill="1" applyBorder="1" applyAlignment="1" applyProtection="1">
      <alignment horizontal="centerContinuous" vertical="center"/>
    </xf>
    <xf numFmtId="0" fontId="32" fillId="0" borderId="0" xfId="0" applyFont="1" applyFill="1" applyBorder="1" applyAlignment="1" applyProtection="1">
      <alignment horizontal="right"/>
    </xf>
    <xf numFmtId="0" fontId="33" fillId="0" borderId="0" xfId="0" applyFont="1" applyFill="1" applyBorder="1" applyAlignment="1" applyProtection="1"/>
    <xf numFmtId="0" fontId="15" fillId="0" borderId="25" xfId="4" applyFont="1" applyFill="1" applyBorder="1" applyAlignment="1" applyProtection="1">
      <alignment horizontal="center" vertical="center" wrapText="1"/>
    </xf>
    <xf numFmtId="0" fontId="15" fillId="0" borderId="16" xfId="4" applyFont="1" applyFill="1" applyBorder="1" applyAlignment="1" applyProtection="1">
      <alignment horizontal="center" vertical="center" wrapText="1"/>
    </xf>
    <xf numFmtId="0" fontId="15" fillId="0" borderId="17" xfId="4" applyFont="1" applyFill="1" applyBorder="1" applyAlignment="1" applyProtection="1">
      <alignment horizontal="center" vertical="center" wrapText="1"/>
    </xf>
    <xf numFmtId="0" fontId="18" fillId="0" borderId="4" xfId="4" applyFont="1" applyFill="1" applyBorder="1" applyAlignment="1" applyProtection="1">
      <alignment horizontal="center" vertical="center"/>
    </xf>
    <xf numFmtId="0" fontId="18" fillId="0" borderId="8" xfId="4" applyFont="1" applyFill="1" applyBorder="1" applyAlignment="1" applyProtection="1">
      <alignment horizontal="center" vertical="center"/>
    </xf>
    <xf numFmtId="0" fontId="18" fillId="0" borderId="9" xfId="4" applyFont="1" applyFill="1" applyBorder="1" applyAlignment="1" applyProtection="1">
      <alignment horizontal="center" vertical="center"/>
    </xf>
    <xf numFmtId="0" fontId="18" fillId="0" borderId="25" xfId="4" applyFont="1" applyFill="1" applyBorder="1" applyAlignment="1" applyProtection="1">
      <alignment horizontal="center" vertical="center"/>
    </xf>
    <xf numFmtId="0" fontId="18" fillId="0" borderId="16" xfId="4" applyFont="1" applyFill="1" applyBorder="1" applyProtection="1">
      <protection locked="0"/>
    </xf>
    <xf numFmtId="166" fontId="18" fillId="0" borderId="17" xfId="1" applyNumberFormat="1" applyFont="1" applyFill="1" applyBorder="1" applyProtection="1">
      <protection locked="0"/>
    </xf>
    <xf numFmtId="0" fontId="18" fillId="0" borderId="5" xfId="4" applyFont="1" applyFill="1" applyBorder="1" applyAlignment="1" applyProtection="1">
      <alignment horizontal="center" vertical="center"/>
    </xf>
    <xf numFmtId="0" fontId="18" fillId="0" borderId="6" xfId="4" applyFont="1" applyFill="1" applyBorder="1" applyProtection="1">
      <protection locked="0"/>
    </xf>
    <xf numFmtId="166" fontId="18" fillId="0" borderId="7" xfId="1" applyNumberFormat="1" applyFont="1" applyFill="1" applyBorder="1" applyProtection="1">
      <protection locked="0"/>
    </xf>
    <xf numFmtId="0" fontId="18" fillId="0" borderId="34" xfId="4" applyFont="1" applyFill="1" applyBorder="1" applyAlignment="1" applyProtection="1">
      <alignment horizontal="center" vertical="center"/>
    </xf>
    <xf numFmtId="0" fontId="18" fillId="0" borderId="35" xfId="4" applyFont="1" applyFill="1" applyBorder="1" applyProtection="1">
      <protection locked="0"/>
    </xf>
    <xf numFmtId="166" fontId="18" fillId="0" borderId="28" xfId="1" applyNumberFormat="1" applyFont="1" applyFill="1" applyBorder="1" applyProtection="1">
      <protection locked="0"/>
    </xf>
    <xf numFmtId="0" fontId="15" fillId="0" borderId="4" xfId="4" applyFont="1" applyFill="1" applyBorder="1" applyAlignment="1" applyProtection="1">
      <alignment horizontal="center" vertical="center"/>
    </xf>
    <xf numFmtId="0" fontId="15" fillId="0" borderId="8" xfId="4" applyFont="1" applyFill="1" applyBorder="1" applyAlignment="1" applyProtection="1">
      <alignment horizontal="left" vertical="center" wrapText="1"/>
    </xf>
    <xf numFmtId="166" fontId="15" fillId="0" borderId="9" xfId="1" applyNumberFormat="1" applyFont="1" applyFill="1" applyBorder="1" applyProtection="1"/>
    <xf numFmtId="0" fontId="31" fillId="0" borderId="0" xfId="4" applyFont="1" applyFill="1"/>
    <xf numFmtId="0" fontId="16" fillId="0" borderId="25" xfId="4" applyFont="1" applyFill="1" applyBorder="1" applyAlignment="1" applyProtection="1">
      <alignment horizontal="center" vertical="center" wrapText="1"/>
    </xf>
    <xf numFmtId="0" fontId="16" fillId="0" borderId="16" xfId="4" applyFont="1" applyFill="1" applyBorder="1" applyAlignment="1" applyProtection="1">
      <alignment horizontal="center" vertical="center" wrapText="1"/>
    </xf>
    <xf numFmtId="0" fontId="16" fillId="0" borderId="17" xfId="4" applyFont="1" applyFill="1" applyBorder="1" applyAlignment="1" applyProtection="1">
      <alignment horizontal="center" vertical="center" wrapText="1"/>
    </xf>
    <xf numFmtId="0" fontId="6" fillId="0" borderId="4" xfId="4" applyFont="1" applyFill="1" applyBorder="1" applyAlignment="1" applyProtection="1">
      <alignment horizontal="center" vertical="center"/>
    </xf>
    <xf numFmtId="0" fontId="6" fillId="0" borderId="8" xfId="4" applyFont="1" applyFill="1" applyBorder="1" applyAlignment="1" applyProtection="1">
      <alignment horizontal="center" vertical="center"/>
    </xf>
    <xf numFmtId="0" fontId="6" fillId="0" borderId="9" xfId="4" applyFont="1" applyFill="1" applyBorder="1" applyAlignment="1" applyProtection="1">
      <alignment horizontal="center" vertical="center"/>
    </xf>
    <xf numFmtId="0" fontId="6" fillId="0" borderId="25" xfId="4" applyFont="1" applyFill="1" applyBorder="1" applyAlignment="1" applyProtection="1">
      <alignment horizontal="center" vertical="center"/>
    </xf>
    <xf numFmtId="0" fontId="6" fillId="0" borderId="12" xfId="4" applyFont="1" applyFill="1" applyBorder="1" applyProtection="1"/>
    <xf numFmtId="166" fontId="6" fillId="0" borderId="42" xfId="1" applyNumberFormat="1" applyFont="1" applyFill="1" applyBorder="1" applyProtection="1">
      <protection locked="0"/>
    </xf>
    <xf numFmtId="0" fontId="6" fillId="0" borderId="5" xfId="4" applyFont="1" applyFill="1" applyBorder="1" applyAlignment="1" applyProtection="1">
      <alignment horizontal="center" vertical="center"/>
    </xf>
    <xf numFmtId="0" fontId="10" fillId="0" borderId="6" xfId="0" applyFont="1" applyBorder="1" applyAlignment="1">
      <alignment horizontal="justify" wrapText="1"/>
    </xf>
    <xf numFmtId="166" fontId="6" fillId="0" borderId="41" xfId="1" applyNumberFormat="1" applyFont="1" applyFill="1" applyBorder="1" applyProtection="1">
      <protection locked="0"/>
    </xf>
    <xf numFmtId="0" fontId="10" fillId="0" borderId="6" xfId="0" applyFont="1" applyBorder="1" applyAlignment="1">
      <alignment wrapText="1"/>
    </xf>
    <xf numFmtId="0" fontId="6" fillId="0" borderId="34" xfId="4" applyFont="1" applyFill="1" applyBorder="1" applyAlignment="1" applyProtection="1">
      <alignment horizontal="center" vertical="center"/>
    </xf>
    <xf numFmtId="166" fontId="6" fillId="0" borderId="24" xfId="1" applyNumberFormat="1" applyFont="1" applyFill="1" applyBorder="1" applyProtection="1">
      <protection locked="0"/>
    </xf>
    <xf numFmtId="0" fontId="10" fillId="0" borderId="19" xfId="0" applyFont="1" applyBorder="1" applyAlignment="1">
      <alignment wrapText="1"/>
    </xf>
    <xf numFmtId="166" fontId="16" fillId="0" borderId="9" xfId="1" applyNumberFormat="1" applyFont="1" applyFill="1" applyBorder="1" applyProtection="1"/>
    <xf numFmtId="172" fontId="14" fillId="0" borderId="35" xfId="4" applyNumberFormat="1" applyFont="1" applyFill="1" applyBorder="1" applyAlignment="1">
      <alignment horizontal="center" vertical="center" wrapText="1"/>
    </xf>
    <xf numFmtId="0" fontId="24" fillId="0" borderId="4" xfId="4" applyFont="1" applyFill="1" applyBorder="1" applyAlignment="1">
      <alignment horizontal="center" vertical="center"/>
    </xf>
    <xf numFmtId="0" fontId="24" fillId="0" borderId="8" xfId="4" applyFont="1" applyFill="1" applyBorder="1" applyAlignment="1">
      <alignment horizontal="center" vertical="center"/>
    </xf>
    <xf numFmtId="0" fontId="24" fillId="0" borderId="9" xfId="4" applyFont="1" applyFill="1" applyBorder="1" applyAlignment="1">
      <alignment horizontal="center" vertical="center"/>
    </xf>
    <xf numFmtId="0" fontId="24" fillId="0" borderId="11" xfId="4" applyFont="1" applyFill="1" applyBorder="1" applyAlignment="1">
      <alignment horizontal="center" vertical="center"/>
    </xf>
    <xf numFmtId="0" fontId="24" fillId="0" borderId="12" xfId="4" applyFont="1" applyFill="1" applyBorder="1" applyProtection="1">
      <protection locked="0"/>
    </xf>
    <xf numFmtId="166" fontId="24" fillId="0" borderId="12" xfId="1" applyNumberFormat="1" applyFont="1" applyFill="1" applyBorder="1" applyProtection="1">
      <protection locked="0"/>
    </xf>
    <xf numFmtId="166" fontId="24" fillId="0" borderId="13" xfId="1" applyNumberFormat="1" applyFont="1" applyFill="1" applyBorder="1"/>
    <xf numFmtId="0" fontId="24" fillId="0" borderId="5" xfId="4" applyFont="1" applyFill="1" applyBorder="1" applyAlignment="1">
      <alignment horizontal="center" vertical="center"/>
    </xf>
    <xf numFmtId="0" fontId="24" fillId="0" borderId="6" xfId="4" applyFont="1" applyFill="1" applyBorder="1" applyProtection="1">
      <protection locked="0"/>
    </xf>
    <xf numFmtId="166" fontId="24" fillId="0" borderId="6" xfId="1" applyNumberFormat="1" applyFont="1" applyFill="1" applyBorder="1" applyProtection="1">
      <protection locked="0"/>
    </xf>
    <xf numFmtId="166" fontId="24" fillId="0" borderId="7" xfId="1" applyNumberFormat="1" applyFont="1" applyFill="1" applyBorder="1"/>
    <xf numFmtId="0" fontId="24" fillId="0" borderId="34" xfId="4" applyFont="1" applyFill="1" applyBorder="1" applyAlignment="1">
      <alignment horizontal="center" vertical="center"/>
    </xf>
    <xf numFmtId="0" fontId="24" fillId="0" borderId="35" xfId="4" applyFont="1" applyFill="1" applyBorder="1" applyProtection="1">
      <protection locked="0"/>
    </xf>
    <xf numFmtId="166" fontId="24" fillId="0" borderId="35" xfId="1" applyNumberFormat="1" applyFont="1" applyFill="1" applyBorder="1" applyProtection="1">
      <protection locked="0"/>
    </xf>
    <xf numFmtId="0" fontId="14" fillId="0" borderId="4" xfId="4" applyFont="1" applyFill="1" applyBorder="1" applyAlignment="1">
      <alignment horizontal="center" vertical="center"/>
    </xf>
    <xf numFmtId="0" fontId="14" fillId="0" borderId="8" xfId="4" applyFont="1" applyFill="1" applyBorder="1"/>
    <xf numFmtId="166" fontId="14" fillId="0" borderId="8" xfId="4" applyNumberFormat="1" applyFont="1" applyFill="1" applyBorder="1"/>
    <xf numFmtId="166" fontId="14" fillId="0" borderId="9" xfId="4" applyNumberFormat="1" applyFont="1" applyFill="1" applyBorder="1"/>
    <xf numFmtId="164" fontId="5" fillId="0" borderId="0" xfId="0" applyNumberFormat="1" applyFont="1" applyFill="1" applyAlignment="1" applyProtection="1">
      <alignment vertical="center" wrapText="1"/>
    </xf>
    <xf numFmtId="49" fontId="36" fillId="0" borderId="0" xfId="0" applyNumberFormat="1" applyFont="1" applyFill="1" applyAlignment="1" applyProtection="1">
      <alignment horizontal="center" vertical="center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5" fillId="0" borderId="0" xfId="0" applyNumberFormat="1" applyFon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37" fillId="0" borderId="0" xfId="0" applyNumberFormat="1" applyFont="1" applyFill="1" applyAlignment="1" applyProtection="1">
      <alignment horizontal="right" vertical="center"/>
    </xf>
    <xf numFmtId="164" fontId="34" fillId="0" borderId="4" xfId="0" applyNumberFormat="1" applyFont="1" applyFill="1" applyBorder="1" applyAlignment="1" applyProtection="1">
      <alignment horizontal="centerContinuous" vertical="center" wrapText="1"/>
    </xf>
    <xf numFmtId="164" fontId="34" fillId="0" borderId="8" xfId="0" applyNumberFormat="1" applyFont="1" applyFill="1" applyBorder="1" applyAlignment="1" applyProtection="1">
      <alignment horizontal="centerContinuous" vertical="center" wrapText="1"/>
    </xf>
    <xf numFmtId="164" fontId="34" fillId="0" borderId="9" xfId="0" applyNumberFormat="1" applyFont="1" applyFill="1" applyBorder="1" applyAlignment="1" applyProtection="1">
      <alignment horizontal="centerContinuous" vertical="center" wrapText="1"/>
    </xf>
    <xf numFmtId="164" fontId="34" fillId="0" borderId="4" xfId="0" applyNumberFormat="1" applyFont="1" applyFill="1" applyBorder="1" applyAlignment="1" applyProtection="1">
      <alignment horizontal="center" vertical="center" wrapText="1"/>
    </xf>
    <xf numFmtId="164" fontId="34" fillId="0" borderId="8" xfId="0" applyNumberFormat="1" applyFont="1" applyFill="1" applyBorder="1" applyAlignment="1" applyProtection="1">
      <alignment horizontal="center" vertical="center" wrapText="1"/>
    </xf>
    <xf numFmtId="164" fontId="38" fillId="0" borderId="0" xfId="0" applyNumberFormat="1" applyFont="1" applyFill="1" applyAlignment="1" applyProtection="1">
      <alignment horizontal="center" vertical="center" wrapText="1"/>
    </xf>
    <xf numFmtId="164" fontId="16" fillId="0" borderId="43" xfId="0" applyNumberFormat="1" applyFont="1" applyFill="1" applyBorder="1" applyAlignment="1" applyProtection="1">
      <alignment horizontal="center" vertical="center" wrapText="1"/>
    </xf>
    <xf numFmtId="164" fontId="16" fillId="0" borderId="4" xfId="0" applyNumberFormat="1" applyFont="1" applyFill="1" applyBorder="1" applyAlignment="1" applyProtection="1">
      <alignment horizontal="center" vertical="center" wrapText="1"/>
    </xf>
    <xf numFmtId="164" fontId="16" fillId="0" borderId="8" xfId="0" applyNumberFormat="1" applyFont="1" applyFill="1" applyBorder="1" applyAlignment="1" applyProtection="1">
      <alignment horizontal="center" vertical="center" wrapText="1"/>
    </xf>
    <xf numFmtId="164" fontId="16" fillId="0" borderId="9" xfId="0" applyNumberFormat="1" applyFont="1" applyFill="1" applyBorder="1" applyAlignment="1" applyProtection="1">
      <alignment horizontal="center" vertical="center" wrapText="1"/>
    </xf>
    <xf numFmtId="164" fontId="5" fillId="0" borderId="44" xfId="0" applyNumberFormat="1" applyFont="1" applyFill="1" applyBorder="1" applyAlignment="1" applyProtection="1">
      <alignment horizontal="left" vertical="center" wrapText="1" indent="1"/>
    </xf>
    <xf numFmtId="164" fontId="6" fillId="0" borderId="11" xfId="0" applyNumberFormat="1" applyFont="1" applyFill="1" applyBorder="1" applyAlignment="1" applyProtection="1">
      <alignment horizontal="left" vertical="center" wrapText="1" indent="1"/>
    </xf>
    <xf numFmtId="164" fontId="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45" xfId="0" applyNumberFormat="1" applyFont="1" applyFill="1" applyBorder="1" applyAlignment="1" applyProtection="1">
      <alignment horizontal="left" vertical="center" wrapText="1" indent="1"/>
    </xf>
    <xf numFmtId="164" fontId="6" fillId="0" borderId="5" xfId="0" applyNumberFormat="1" applyFont="1" applyFill="1" applyBorder="1" applyAlignment="1" applyProtection="1">
      <alignment horizontal="left" vertical="center" wrapText="1" indent="1"/>
    </xf>
    <xf numFmtId="164" fontId="6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5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6" fillId="0" borderId="5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5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5" fillId="0" borderId="47" xfId="0" applyNumberFormat="1" applyFont="1" applyFill="1" applyBorder="1" applyAlignment="1" applyProtection="1">
      <alignment horizontal="left" vertical="center" wrapText="1" indent="1"/>
    </xf>
    <xf numFmtId="164" fontId="6" fillId="0" borderId="38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8" xfId="0" applyNumberFormat="1" applyFont="1" applyFill="1" applyBorder="1" applyAlignment="1" applyProtection="1">
      <alignment horizontal="left" vertical="center" wrapText="1" indent="1"/>
    </xf>
    <xf numFmtId="164" fontId="38" fillId="0" borderId="43" xfId="0" applyNumberFormat="1" applyFont="1" applyFill="1" applyBorder="1" applyAlignment="1" applyProtection="1">
      <alignment horizontal="left" vertical="center" wrapText="1" indent="1"/>
    </xf>
    <xf numFmtId="164" fontId="16" fillId="0" borderId="4" xfId="0" applyNumberFormat="1" applyFont="1" applyFill="1" applyBorder="1" applyAlignment="1" applyProtection="1">
      <alignment horizontal="left" vertical="center" wrapText="1" indent="1"/>
    </xf>
    <xf numFmtId="164" fontId="16" fillId="0" borderId="8" xfId="0" applyNumberFormat="1" applyFont="1" applyFill="1" applyBorder="1" applyAlignment="1" applyProtection="1">
      <alignment horizontal="right" vertical="center" wrapText="1" indent="1"/>
    </xf>
    <xf numFmtId="164" fontId="39" fillId="0" borderId="38" xfId="0" applyNumberFormat="1" applyFont="1" applyFill="1" applyBorder="1" applyAlignment="1" applyProtection="1">
      <alignment horizontal="left" vertical="center" wrapText="1" indent="1"/>
    </xf>
    <xf numFmtId="164" fontId="39" fillId="0" borderId="12" xfId="0" applyNumberFormat="1" applyFont="1" applyFill="1" applyBorder="1" applyAlignment="1" applyProtection="1">
      <alignment horizontal="right" vertical="center" wrapText="1" indent="1"/>
    </xf>
    <xf numFmtId="164" fontId="6" fillId="0" borderId="5" xfId="0" applyNumberFormat="1" applyFont="1" applyFill="1" applyBorder="1" applyAlignment="1" applyProtection="1">
      <alignment horizontal="left" vertical="center" wrapText="1" indent="2"/>
    </xf>
    <xf numFmtId="164" fontId="6" fillId="0" borderId="6" xfId="0" applyNumberFormat="1" applyFont="1" applyFill="1" applyBorder="1" applyAlignment="1" applyProtection="1">
      <alignment horizontal="left" vertical="center" wrapText="1" indent="2"/>
    </xf>
    <xf numFmtId="164" fontId="39" fillId="0" borderId="6" xfId="0" applyNumberFormat="1" applyFont="1" applyFill="1" applyBorder="1" applyAlignment="1" applyProtection="1">
      <alignment horizontal="left" vertical="center" wrapText="1" indent="1"/>
    </xf>
    <xf numFmtId="164" fontId="39" fillId="0" borderId="6" xfId="0" applyNumberFormat="1" applyFont="1" applyFill="1" applyBorder="1" applyAlignment="1" applyProtection="1">
      <alignment horizontal="right" vertical="center" wrapText="1" indent="1"/>
    </xf>
    <xf numFmtId="164" fontId="6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11" xfId="0" applyNumberFormat="1" applyFont="1" applyFill="1" applyBorder="1" applyAlignment="1" applyProtection="1">
      <alignment horizontal="left" vertical="center" wrapText="1" indent="2"/>
    </xf>
    <xf numFmtId="164" fontId="6" fillId="0" borderId="34" xfId="0" applyNumberFormat="1" applyFont="1" applyFill="1" applyBorder="1" applyAlignment="1" applyProtection="1">
      <alignment horizontal="left" vertical="center" wrapText="1" indent="2"/>
    </xf>
    <xf numFmtId="164" fontId="38" fillId="0" borderId="4" xfId="0" applyNumberFormat="1" applyFont="1" applyFill="1" applyBorder="1" applyAlignment="1" applyProtection="1">
      <alignment horizontal="left" vertical="center" wrapText="1" indent="1"/>
    </xf>
    <xf numFmtId="164" fontId="38" fillId="0" borderId="31" xfId="0" applyNumberFormat="1" applyFont="1" applyFill="1" applyBorder="1" applyAlignment="1" applyProtection="1">
      <alignment horizontal="right" vertical="center" wrapText="1" indent="1"/>
    </xf>
    <xf numFmtId="164" fontId="16" fillId="0" borderId="0" xfId="0" applyNumberFormat="1" applyFont="1" applyFill="1" applyAlignment="1" applyProtection="1">
      <alignment horizontal="center" vertical="center" wrapText="1"/>
    </xf>
    <xf numFmtId="164" fontId="6" fillId="0" borderId="49" xfId="0" applyNumberFormat="1" applyFont="1" applyFill="1" applyBorder="1" applyAlignment="1" applyProtection="1">
      <alignment horizontal="left" vertical="center" wrapText="1" indent="1"/>
    </xf>
    <xf numFmtId="164" fontId="6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34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39" fillId="0" borderId="26" xfId="0" applyNumberFormat="1" applyFont="1" applyFill="1" applyBorder="1" applyAlignment="1" applyProtection="1">
      <alignment horizontal="right" vertical="center" wrapText="1" indent="1"/>
    </xf>
    <xf numFmtId="164" fontId="6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0" xfId="0" applyNumberFormat="1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vertical="center" wrapText="1"/>
    </xf>
    <xf numFmtId="3" fontId="2" fillId="0" borderId="0" xfId="0" applyNumberFormat="1" applyFont="1" applyFill="1" applyAlignment="1" applyProtection="1">
      <alignment horizontal="center" vertical="center" wrapText="1"/>
    </xf>
    <xf numFmtId="3" fontId="2" fillId="0" borderId="0" xfId="0" applyNumberFormat="1" applyFont="1" applyFill="1" applyAlignment="1" applyProtection="1">
      <alignment vertical="center" wrapText="1"/>
    </xf>
    <xf numFmtId="3" fontId="8" fillId="0" borderId="0" xfId="0" applyNumberFormat="1" applyFont="1" applyFill="1" applyAlignment="1" applyProtection="1">
      <alignment horizontal="right" wrapText="1"/>
    </xf>
    <xf numFmtId="3" fontId="8" fillId="0" borderId="0" xfId="0" applyNumberFormat="1" applyFont="1" applyFill="1" applyAlignment="1" applyProtection="1">
      <alignment horizontal="center" vertical="center" wrapText="1"/>
    </xf>
    <xf numFmtId="3" fontId="7" fillId="0" borderId="4" xfId="0" applyNumberFormat="1" applyFont="1" applyFill="1" applyBorder="1" applyAlignment="1" applyProtection="1">
      <alignment horizontal="center" vertical="center" wrapText="1"/>
    </xf>
    <xf numFmtId="3" fontId="7" fillId="0" borderId="32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 wrapText="1"/>
    </xf>
    <xf numFmtId="3" fontId="7" fillId="0" borderId="9" xfId="0" applyNumberFormat="1" applyFont="1" applyFill="1" applyBorder="1" applyAlignment="1" applyProtection="1">
      <alignment horizontal="center" vertical="center" wrapText="1"/>
    </xf>
    <xf numFmtId="3" fontId="7" fillId="0" borderId="50" xfId="0" applyNumberFormat="1" applyFont="1" applyFill="1" applyBorder="1" applyAlignment="1" applyProtection="1">
      <alignment horizontal="center" vertical="center" wrapText="1"/>
    </xf>
    <xf numFmtId="3" fontId="8" fillId="0" borderId="21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7" fillId="0" borderId="36" xfId="0" applyNumberFormat="1" applyFont="1" applyFill="1" applyBorder="1" applyAlignment="1" applyProtection="1">
      <alignment horizontal="center" vertical="center" wrapText="1"/>
    </xf>
    <xf numFmtId="3" fontId="7" fillId="0" borderId="51" xfId="0" applyNumberFormat="1" applyFont="1" applyFill="1" applyBorder="1" applyAlignment="1" applyProtection="1">
      <alignment horizontal="center" vertical="center" wrapText="1"/>
    </xf>
    <xf numFmtId="3" fontId="7" fillId="0" borderId="29" xfId="0" applyNumberFormat="1" applyFont="1" applyFill="1" applyBorder="1" applyAlignment="1" applyProtection="1">
      <alignment horizontal="center" vertical="center" wrapText="1"/>
    </xf>
    <xf numFmtId="3" fontId="7" fillId="0" borderId="40" xfId="0" applyNumberFormat="1" applyFont="1" applyFill="1" applyBorder="1" applyAlignment="1" applyProtection="1">
      <alignment horizontal="center" vertical="center" wrapText="1"/>
    </xf>
    <xf numFmtId="3" fontId="7" fillId="0" borderId="52" xfId="0" applyNumberFormat="1" applyFont="1" applyFill="1" applyBorder="1" applyAlignment="1" applyProtection="1">
      <alignment horizontal="center" vertical="center" wrapText="1"/>
    </xf>
    <xf numFmtId="3" fontId="7" fillId="0" borderId="53" xfId="0" applyNumberFormat="1" applyFont="1" applyFill="1" applyBorder="1" applyAlignment="1" applyProtection="1">
      <alignment horizontal="center" vertical="center" wrapText="1"/>
    </xf>
    <xf numFmtId="3" fontId="2" fillId="0" borderId="5" xfId="0" applyNumberFormat="1" applyFont="1" applyFill="1" applyBorder="1" applyAlignment="1" applyProtection="1">
      <alignment vertical="center" wrapText="1"/>
      <protection locked="0"/>
    </xf>
    <xf numFmtId="3" fontId="2" fillId="0" borderId="37" xfId="0" applyNumberFormat="1" applyFont="1" applyFill="1" applyBorder="1" applyAlignment="1" applyProtection="1">
      <alignment vertical="center" wrapText="1"/>
      <protection locked="0"/>
    </xf>
    <xf numFmtId="3" fontId="2" fillId="0" borderId="6" xfId="0" applyNumberFormat="1" applyFont="1" applyFill="1" applyBorder="1" applyAlignment="1" applyProtection="1">
      <alignment vertical="center" wrapText="1"/>
      <protection locked="0"/>
    </xf>
    <xf numFmtId="3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7" xfId="0" applyNumberFormat="1" applyFont="1" applyFill="1" applyBorder="1" applyAlignment="1" applyProtection="1">
      <alignment vertical="center" wrapText="1"/>
    </xf>
    <xf numFmtId="3" fontId="2" fillId="0" borderId="46" xfId="0" applyNumberFormat="1" applyFont="1" applyFill="1" applyBorder="1" applyAlignment="1" applyProtection="1">
      <alignment vertical="center" wrapText="1"/>
      <protection locked="0"/>
    </xf>
    <xf numFmtId="3" fontId="7" fillId="0" borderId="46" xfId="0" applyNumberFormat="1" applyFont="1" applyFill="1" applyBorder="1" applyAlignment="1" applyProtection="1">
      <alignment vertical="center" wrapText="1"/>
      <protection locked="0"/>
    </xf>
    <xf numFmtId="3" fontId="8" fillId="0" borderId="5" xfId="0" applyNumberFormat="1" applyFont="1" applyFill="1" applyBorder="1" applyAlignment="1" applyProtection="1">
      <alignment vertical="center" wrapText="1"/>
      <protection locked="0"/>
    </xf>
    <xf numFmtId="3" fontId="8" fillId="0" borderId="37" xfId="0" applyNumberFormat="1" applyFont="1" applyFill="1" applyBorder="1" applyAlignment="1" applyProtection="1">
      <alignment vertical="center" wrapText="1"/>
      <protection locked="0"/>
    </xf>
    <xf numFmtId="3" fontId="8" fillId="0" borderId="6" xfId="0" applyNumberFormat="1" applyFont="1" applyFill="1" applyBorder="1" applyAlignment="1" applyProtection="1">
      <alignment vertical="center" wrapText="1"/>
      <protection locked="0"/>
    </xf>
    <xf numFmtId="3" fontId="8" fillId="0" borderId="7" xfId="0" applyNumberFormat="1" applyFont="1" applyFill="1" applyBorder="1" applyAlignment="1" applyProtection="1">
      <alignment vertical="center" wrapText="1"/>
    </xf>
    <xf numFmtId="3" fontId="8" fillId="0" borderId="46" xfId="0" applyNumberFormat="1" applyFont="1" applyFill="1" applyBorder="1" applyAlignment="1" applyProtection="1">
      <alignment vertical="center" wrapText="1"/>
      <protection locked="0"/>
    </xf>
    <xf numFmtId="3" fontId="8" fillId="0" borderId="0" xfId="0" applyNumberFormat="1" applyFont="1" applyFill="1" applyAlignment="1">
      <alignment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4" xfId="0" applyNumberFormat="1" applyFont="1" applyFill="1" applyBorder="1" applyAlignment="1" applyProtection="1">
      <alignment horizontal="left" vertical="center" wrapText="1"/>
    </xf>
    <xf numFmtId="3" fontId="7" fillId="0" borderId="32" xfId="0" applyNumberFormat="1" applyFont="1" applyFill="1" applyBorder="1" applyAlignment="1" applyProtection="1">
      <alignment horizontal="left" vertical="center" wrapText="1"/>
    </xf>
    <xf numFmtId="3" fontId="7" fillId="0" borderId="8" xfId="0" applyNumberFormat="1" applyFont="1" applyFill="1" applyBorder="1" applyAlignment="1" applyProtection="1">
      <alignment vertical="center" wrapText="1"/>
    </xf>
    <xf numFmtId="3" fontId="7" fillId="0" borderId="9" xfId="0" applyNumberFormat="1" applyFont="1" applyFill="1" applyBorder="1" applyAlignment="1" applyProtection="1">
      <alignment vertical="center" wrapText="1"/>
    </xf>
    <xf numFmtId="3" fontId="7" fillId="0" borderId="0" xfId="0" applyNumberFormat="1" applyFont="1" applyFill="1" applyAlignment="1">
      <alignment vertical="center" wrapText="1"/>
    </xf>
    <xf numFmtId="3" fontId="2" fillId="0" borderId="0" xfId="0" applyNumberFormat="1" applyFont="1" applyFill="1" applyAlignment="1">
      <alignment horizontal="center" vertical="center" wrapText="1"/>
    </xf>
    <xf numFmtId="49" fontId="18" fillId="0" borderId="11" xfId="4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Alignment="1">
      <alignment vertical="center" wrapText="1"/>
    </xf>
    <xf numFmtId="49" fontId="18" fillId="0" borderId="5" xfId="4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Alignment="1">
      <alignment vertical="center" wrapText="1"/>
    </xf>
    <xf numFmtId="49" fontId="18" fillId="0" borderId="34" xfId="4" applyNumberFormat="1" applyFont="1" applyFill="1" applyBorder="1" applyAlignment="1" applyProtection="1">
      <alignment horizontal="center" vertical="center" wrapText="1"/>
    </xf>
    <xf numFmtId="0" fontId="20" fillId="0" borderId="4" xfId="0" applyFont="1" applyBorder="1" applyAlignment="1" applyProtection="1">
      <alignment horizontal="center" wrapText="1"/>
    </xf>
    <xf numFmtId="0" fontId="25" fillId="0" borderId="35" xfId="0" applyFont="1" applyBorder="1" applyAlignment="1" applyProtection="1">
      <alignment wrapText="1"/>
    </xf>
    <xf numFmtId="0" fontId="25" fillId="0" borderId="11" xfId="0" applyFont="1" applyBorder="1" applyAlignment="1" applyProtection="1">
      <alignment horizontal="center" wrapText="1"/>
    </xf>
    <xf numFmtId="0" fontId="25" fillId="0" borderId="5" xfId="0" applyFont="1" applyBorder="1" applyAlignment="1" applyProtection="1">
      <alignment horizontal="center" wrapText="1"/>
    </xf>
    <xf numFmtId="0" fontId="25" fillId="0" borderId="34" xfId="0" applyFont="1" applyBorder="1" applyAlignment="1" applyProtection="1">
      <alignment horizontal="center" wrapText="1"/>
    </xf>
    <xf numFmtId="0" fontId="20" fillId="0" borderId="36" xfId="0" applyFont="1" applyBorder="1" applyAlignment="1" applyProtection="1">
      <alignment horizontal="center" wrapText="1"/>
    </xf>
    <xf numFmtId="0" fontId="22" fillId="0" borderId="0" xfId="0" applyFont="1" applyFill="1" applyAlignment="1">
      <alignment vertical="center" wrapText="1"/>
    </xf>
    <xf numFmtId="49" fontId="18" fillId="0" borderId="25" xfId="4" applyNumberFormat="1" applyFont="1" applyFill="1" applyBorder="1" applyAlignment="1" applyProtection="1">
      <alignment horizontal="center" vertical="center" wrapText="1"/>
    </xf>
    <xf numFmtId="49" fontId="18" fillId="0" borderId="38" xfId="4" applyNumberFormat="1" applyFont="1" applyFill="1" applyBorder="1" applyAlignment="1" applyProtection="1">
      <alignment horizontal="center" vertical="center" wrapText="1"/>
    </xf>
    <xf numFmtId="49" fontId="18" fillId="0" borderId="39" xfId="4" applyNumberFormat="1" applyFont="1" applyFill="1" applyBorder="1" applyAlignment="1" applyProtection="1">
      <alignment horizontal="center" vertical="center" wrapText="1"/>
    </xf>
    <xf numFmtId="0" fontId="18" fillId="0" borderId="19" xfId="4" applyFont="1" applyFill="1" applyBorder="1" applyAlignment="1" applyProtection="1">
      <alignment horizontal="left" vertical="center" wrapText="1" indent="6"/>
    </xf>
    <xf numFmtId="49" fontId="16" fillId="0" borderId="4" xfId="4" applyNumberFormat="1" applyFont="1" applyFill="1" applyBorder="1" applyAlignment="1" applyProtection="1">
      <alignment horizontal="center" vertical="center" wrapText="1"/>
    </xf>
    <xf numFmtId="0" fontId="20" fillId="0" borderId="36" xfId="0" applyFont="1" applyBorder="1" applyAlignment="1" applyProtection="1">
      <alignment horizontal="center" vertical="center" wrapText="1"/>
    </xf>
    <xf numFmtId="0" fontId="0" fillId="0" borderId="0" xfId="0" applyFont="1" applyFill="1" applyProtection="1"/>
    <xf numFmtId="0" fontId="0" fillId="0" borderId="0" xfId="0" applyFont="1" applyFill="1"/>
    <xf numFmtId="0" fontId="7" fillId="0" borderId="0" xfId="0" applyFont="1" applyFill="1" applyProtection="1"/>
    <xf numFmtId="0" fontId="34" fillId="0" borderId="1" xfId="0" applyFont="1" applyFill="1" applyBorder="1" applyAlignment="1" applyProtection="1">
      <alignment vertical="center"/>
    </xf>
    <xf numFmtId="0" fontId="34" fillId="0" borderId="2" xfId="0" applyFont="1" applyFill="1" applyBorder="1" applyAlignment="1" applyProtection="1">
      <alignment horizontal="center" vertical="center"/>
    </xf>
    <xf numFmtId="0" fontId="34" fillId="0" borderId="3" xfId="0" applyFont="1" applyFill="1" applyBorder="1" applyAlignment="1" applyProtection="1">
      <alignment horizontal="center" vertical="center"/>
    </xf>
    <xf numFmtId="49" fontId="6" fillId="0" borderId="25" xfId="0" applyNumberFormat="1" applyFont="1" applyFill="1" applyBorder="1" applyAlignment="1" applyProtection="1">
      <alignment vertical="center"/>
    </xf>
    <xf numFmtId="3" fontId="6" fillId="0" borderId="16" xfId="0" applyNumberFormat="1" applyFont="1" applyFill="1" applyBorder="1" applyAlignment="1" applyProtection="1">
      <alignment vertical="center"/>
      <protection locked="0"/>
    </xf>
    <xf numFmtId="3" fontId="6" fillId="0" borderId="17" xfId="0" applyNumberFormat="1" applyFont="1" applyFill="1" applyBorder="1" applyAlignment="1" applyProtection="1">
      <alignment vertical="center"/>
    </xf>
    <xf numFmtId="49" fontId="39" fillId="0" borderId="5" xfId="0" quotePrefix="1" applyNumberFormat="1" applyFont="1" applyFill="1" applyBorder="1" applyAlignment="1" applyProtection="1">
      <alignment horizontal="left" vertical="center" indent="1"/>
    </xf>
    <xf numFmtId="3" fontId="39" fillId="0" borderId="6" xfId="0" applyNumberFormat="1" applyFont="1" applyFill="1" applyBorder="1" applyAlignment="1" applyProtection="1">
      <alignment vertical="center"/>
      <protection locked="0"/>
    </xf>
    <xf numFmtId="3" fontId="39" fillId="0" borderId="7" xfId="0" applyNumberFormat="1" applyFont="1" applyFill="1" applyBorder="1" applyAlignment="1" applyProtection="1">
      <alignment vertical="center"/>
    </xf>
    <xf numFmtId="49" fontId="6" fillId="0" borderId="5" xfId="0" applyNumberFormat="1" applyFont="1" applyFill="1" applyBorder="1" applyAlignment="1" applyProtection="1">
      <alignment vertical="center"/>
    </xf>
    <xf numFmtId="3" fontId="6" fillId="0" borderId="6" xfId="0" applyNumberFormat="1" applyFont="1" applyFill="1" applyBorder="1" applyAlignment="1" applyProtection="1">
      <alignment vertical="center"/>
      <protection locked="0"/>
    </xf>
    <xf numFmtId="3" fontId="6" fillId="0" borderId="7" xfId="0" applyNumberFormat="1" applyFont="1" applyFill="1" applyBorder="1" applyAlignment="1" applyProtection="1">
      <alignment vertical="center"/>
    </xf>
    <xf numFmtId="49" fontId="6" fillId="0" borderId="34" xfId="0" applyNumberFormat="1" applyFont="1" applyFill="1" applyBorder="1" applyAlignment="1" applyProtection="1">
      <alignment vertical="center"/>
      <protection locked="0"/>
    </xf>
    <xf numFmtId="3" fontId="6" fillId="0" borderId="35" xfId="0" applyNumberFormat="1" applyFont="1" applyFill="1" applyBorder="1" applyAlignment="1" applyProtection="1">
      <alignment vertical="center"/>
      <protection locked="0"/>
    </xf>
    <xf numFmtId="49" fontId="34" fillId="0" borderId="4" xfId="0" applyNumberFormat="1" applyFont="1" applyFill="1" applyBorder="1" applyAlignment="1" applyProtection="1">
      <alignment vertical="center"/>
    </xf>
    <xf numFmtId="3" fontId="6" fillId="0" borderId="8" xfId="0" applyNumberFormat="1" applyFont="1" applyFill="1" applyBorder="1" applyAlignment="1" applyProtection="1">
      <alignment vertical="center"/>
    </xf>
    <xf numFmtId="3" fontId="6" fillId="0" borderId="9" xfId="0" applyNumberFormat="1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49" fontId="6" fillId="0" borderId="5" xfId="0" applyNumberFormat="1" applyFont="1" applyFill="1" applyBorder="1" applyAlignment="1" applyProtection="1">
      <alignment horizontal="left" vertical="center"/>
    </xf>
    <xf numFmtId="49" fontId="6" fillId="0" borderId="5" xfId="0" applyNumberFormat="1" applyFont="1" applyFill="1" applyBorder="1" applyAlignment="1" applyProtection="1">
      <alignment vertical="center"/>
      <protection locked="0"/>
    </xf>
    <xf numFmtId="0" fontId="7" fillId="0" borderId="0" xfId="0" applyNumberFormat="1" applyFont="1" applyFill="1" applyBorder="1" applyAlignment="1" applyProtection="1">
      <alignment vertical="center"/>
    </xf>
    <xf numFmtId="0" fontId="0" fillId="0" borderId="0" xfId="0" applyFont="1" applyFill="1" applyAlignment="1"/>
    <xf numFmtId="164" fontId="38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ont="1" applyFill="1" applyAlignment="1">
      <alignment vertical="center" wrapText="1"/>
    </xf>
    <xf numFmtId="164" fontId="0" fillId="0" borderId="0" xfId="0" applyNumberFormat="1" applyFont="1" applyFill="1" applyAlignment="1" applyProtection="1">
      <alignment horizontal="center" vertical="center" wrapText="1"/>
    </xf>
    <xf numFmtId="164" fontId="0" fillId="0" borderId="0" xfId="0" applyNumberFormat="1" applyFont="1" applyFill="1" applyAlignment="1" applyProtection="1">
      <alignment vertical="center" wrapText="1"/>
    </xf>
    <xf numFmtId="164" fontId="37" fillId="0" borderId="0" xfId="0" applyNumberFormat="1" applyFont="1" applyFill="1" applyAlignment="1" applyProtection="1">
      <alignment horizontal="right" wrapText="1"/>
    </xf>
    <xf numFmtId="164" fontId="37" fillId="0" borderId="0" xfId="0" applyNumberFormat="1" applyFont="1" applyFill="1" applyAlignment="1" applyProtection="1">
      <alignment horizontal="center" vertical="center" wrapText="1"/>
    </xf>
    <xf numFmtId="164" fontId="38" fillId="0" borderId="4" xfId="0" applyNumberFormat="1" applyFont="1" applyFill="1" applyBorder="1" applyAlignment="1" applyProtection="1">
      <alignment horizontal="center" vertical="center" wrapText="1"/>
    </xf>
    <xf numFmtId="164" fontId="38" fillId="0" borderId="32" xfId="0" applyNumberFormat="1" applyFont="1" applyFill="1" applyBorder="1" applyAlignment="1" applyProtection="1">
      <alignment horizontal="center" vertical="center" wrapText="1"/>
    </xf>
    <xf numFmtId="164" fontId="38" fillId="0" borderId="8" xfId="0" applyNumberFormat="1" applyFont="1" applyFill="1" applyBorder="1" applyAlignment="1" applyProtection="1">
      <alignment horizontal="center" vertical="center" wrapText="1"/>
    </xf>
    <xf numFmtId="164" fontId="38" fillId="0" borderId="9" xfId="0" applyNumberFormat="1" applyFont="1" applyFill="1" applyBorder="1" applyAlignment="1" applyProtection="1">
      <alignment horizontal="center" vertical="center" wrapText="1"/>
    </xf>
    <xf numFmtId="164" fontId="38" fillId="0" borderId="50" xfId="0" applyNumberFormat="1" applyFont="1" applyFill="1" applyBorder="1" applyAlignment="1" applyProtection="1">
      <alignment horizontal="center" vertical="center" wrapText="1"/>
    </xf>
    <xf numFmtId="164" fontId="37" fillId="0" borderId="21" xfId="0" applyNumberFormat="1" applyFont="1" applyFill="1" applyBorder="1" applyAlignment="1" applyProtection="1">
      <alignment horizontal="center" vertical="center" wrapText="1"/>
    </xf>
    <xf numFmtId="164" fontId="37" fillId="0" borderId="8" xfId="0" applyNumberFormat="1" applyFont="1" applyFill="1" applyBorder="1" applyAlignment="1" applyProtection="1">
      <alignment horizontal="center" vertical="center" wrapText="1"/>
    </xf>
    <xf numFmtId="164" fontId="38" fillId="0" borderId="36" xfId="0" applyNumberFormat="1" applyFont="1" applyFill="1" applyBorder="1" applyAlignment="1" applyProtection="1">
      <alignment horizontal="center" vertical="center" wrapText="1"/>
    </xf>
    <xf numFmtId="164" fontId="38" fillId="0" borderId="51" xfId="0" applyNumberFormat="1" applyFont="1" applyFill="1" applyBorder="1" applyAlignment="1" applyProtection="1">
      <alignment horizontal="center" vertical="center" wrapText="1"/>
    </xf>
    <xf numFmtId="164" fontId="38" fillId="0" borderId="29" xfId="0" applyNumberFormat="1" applyFont="1" applyFill="1" applyBorder="1" applyAlignment="1" applyProtection="1">
      <alignment horizontal="center" vertical="center" wrapText="1"/>
    </xf>
    <xf numFmtId="164" fontId="38" fillId="0" borderId="40" xfId="0" applyNumberFormat="1" applyFont="1" applyFill="1" applyBorder="1" applyAlignment="1" applyProtection="1">
      <alignment horizontal="center" vertical="center" wrapText="1"/>
    </xf>
    <xf numFmtId="164" fontId="38" fillId="0" borderId="52" xfId="0" applyNumberFormat="1" applyFont="1" applyFill="1" applyBorder="1" applyAlignment="1" applyProtection="1">
      <alignment horizontal="center" vertical="center" wrapText="1"/>
    </xf>
    <xf numFmtId="164" fontId="38" fillId="0" borderId="53" xfId="0" applyNumberFormat="1" applyFont="1" applyFill="1" applyBorder="1" applyAlignment="1" applyProtection="1">
      <alignment horizontal="center" vertical="center" wrapText="1"/>
    </xf>
    <xf numFmtId="164" fontId="36" fillId="0" borderId="5" xfId="0" applyNumberFormat="1" applyFont="1" applyFill="1" applyBorder="1" applyAlignment="1" applyProtection="1">
      <alignment vertical="center" wrapText="1"/>
      <protection locked="0"/>
    </xf>
    <xf numFmtId="164" fontId="36" fillId="0" borderId="37" xfId="0" applyNumberFormat="1" applyFont="1" applyFill="1" applyBorder="1" applyAlignment="1" applyProtection="1">
      <alignment vertical="center" wrapText="1"/>
      <protection locked="0"/>
    </xf>
    <xf numFmtId="164" fontId="36" fillId="0" borderId="6" xfId="0" applyNumberFormat="1" applyFont="1" applyFill="1" applyBorder="1" applyAlignment="1" applyProtection="1">
      <alignment vertical="center" wrapText="1"/>
      <protection locked="0"/>
    </xf>
    <xf numFmtId="49" fontId="36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36" fillId="0" borderId="7" xfId="0" applyNumberFormat="1" applyFont="1" applyFill="1" applyBorder="1" applyAlignment="1" applyProtection="1">
      <alignment vertical="center" wrapText="1"/>
    </xf>
    <xf numFmtId="164" fontId="0" fillId="0" borderId="46" xfId="0" applyNumberFormat="1" applyFont="1" applyFill="1" applyBorder="1" applyAlignment="1" applyProtection="1">
      <alignment vertical="center" wrapText="1"/>
      <protection locked="0"/>
    </xf>
    <xf numFmtId="164" fontId="0" fillId="0" borderId="7" xfId="0" applyNumberFormat="1" applyFont="1" applyFill="1" applyBorder="1" applyAlignment="1" applyProtection="1">
      <alignment vertical="center" wrapText="1"/>
    </xf>
    <xf numFmtId="164" fontId="36" fillId="0" borderId="0" xfId="0" applyNumberFormat="1" applyFont="1" applyFill="1" applyAlignment="1">
      <alignment vertical="center" wrapText="1"/>
    </xf>
    <xf numFmtId="164" fontId="0" fillId="0" borderId="5" xfId="0" applyNumberFormat="1" applyFont="1" applyFill="1" applyBorder="1" applyAlignment="1" applyProtection="1">
      <alignment vertical="center" wrapText="1"/>
      <protection locked="0"/>
    </xf>
    <xf numFmtId="164" fontId="0" fillId="0" borderId="37" xfId="0" applyNumberFormat="1" applyFont="1" applyFill="1" applyBorder="1" applyAlignment="1" applyProtection="1">
      <alignment vertical="center" wrapText="1"/>
      <protection locked="0"/>
    </xf>
    <xf numFmtId="164" fontId="0" fillId="0" borderId="6" xfId="0" applyNumberFormat="1" applyFont="1" applyFill="1" applyBorder="1" applyAlignment="1" applyProtection="1">
      <alignment vertical="center" wrapText="1"/>
      <protection locked="0"/>
    </xf>
    <xf numFmtId="49" fontId="0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37" fillId="0" borderId="46" xfId="0" applyNumberFormat="1" applyFont="1" applyFill="1" applyBorder="1" applyAlignment="1" applyProtection="1">
      <alignment vertical="center" wrapText="1"/>
      <protection locked="0"/>
    </xf>
    <xf numFmtId="164" fontId="37" fillId="0" borderId="7" xfId="0" applyNumberFormat="1" applyFont="1" applyFill="1" applyBorder="1" applyAlignment="1" applyProtection="1">
      <alignment vertical="center" wrapText="1"/>
    </xf>
    <xf numFmtId="164" fontId="37" fillId="0" borderId="0" xfId="0" applyNumberFormat="1" applyFont="1" applyFill="1" applyAlignment="1">
      <alignment vertical="center" wrapText="1"/>
    </xf>
    <xf numFmtId="164" fontId="36" fillId="0" borderId="46" xfId="0" applyNumberFormat="1" applyFont="1" applyFill="1" applyBorder="1" applyAlignment="1" applyProtection="1">
      <alignment vertical="center" wrapText="1"/>
      <protection locked="0"/>
    </xf>
    <xf numFmtId="164" fontId="0" fillId="0" borderId="34" xfId="0" applyNumberFormat="1" applyFont="1" applyFill="1" applyBorder="1" applyAlignment="1" applyProtection="1">
      <alignment vertical="center" wrapText="1"/>
      <protection locked="0"/>
    </xf>
    <xf numFmtId="164" fontId="0" fillId="0" borderId="54" xfId="0" applyNumberFormat="1" applyFont="1" applyFill="1" applyBorder="1" applyAlignment="1" applyProtection="1">
      <alignment vertical="center" wrapText="1"/>
      <protection locked="0"/>
    </xf>
    <xf numFmtId="164" fontId="0" fillId="0" borderId="35" xfId="0" applyNumberFormat="1" applyFont="1" applyFill="1" applyBorder="1" applyAlignment="1" applyProtection="1">
      <alignment vertical="center" wrapText="1"/>
      <protection locked="0"/>
    </xf>
    <xf numFmtId="49" fontId="0" fillId="0" borderId="35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28" xfId="0" applyNumberFormat="1" applyFont="1" applyFill="1" applyBorder="1" applyAlignment="1" applyProtection="1">
      <alignment vertical="center" wrapText="1"/>
    </xf>
    <xf numFmtId="164" fontId="38" fillId="0" borderId="4" xfId="0" applyNumberFormat="1" applyFont="1" applyFill="1" applyBorder="1" applyAlignment="1" applyProtection="1">
      <alignment horizontal="left" vertical="center" wrapText="1"/>
    </xf>
    <xf numFmtId="164" fontId="38" fillId="0" borderId="32" xfId="0" applyNumberFormat="1" applyFont="1" applyFill="1" applyBorder="1" applyAlignment="1" applyProtection="1">
      <alignment horizontal="left" vertical="center" wrapText="1"/>
    </xf>
    <xf numFmtId="164" fontId="38" fillId="0" borderId="8" xfId="0" applyNumberFormat="1" applyFont="1" applyFill="1" applyBorder="1" applyAlignment="1" applyProtection="1">
      <alignment vertical="center" wrapText="1"/>
    </xf>
    <xf numFmtId="164" fontId="38" fillId="0" borderId="9" xfId="0" applyNumberFormat="1" applyFont="1" applyFill="1" applyBorder="1" applyAlignment="1" applyProtection="1">
      <alignment vertical="center" wrapText="1"/>
    </xf>
    <xf numFmtId="164" fontId="38" fillId="0" borderId="0" xfId="0" applyNumberFormat="1" applyFont="1" applyFill="1" applyAlignment="1">
      <alignment vertical="center" wrapText="1"/>
    </xf>
    <xf numFmtId="164" fontId="0" fillId="0" borderId="0" xfId="0" applyNumberFormat="1" applyFont="1" applyFill="1" applyAlignment="1">
      <alignment horizontal="center" vertical="center" wrapText="1"/>
    </xf>
    <xf numFmtId="0" fontId="0" fillId="0" borderId="0" xfId="4" applyFont="1" applyFill="1"/>
    <xf numFmtId="164" fontId="37" fillId="0" borderId="33" xfId="4" applyNumberFormat="1" applyFont="1" applyFill="1" applyBorder="1" applyAlignment="1" applyProtection="1">
      <alignment horizontal="left" vertical="center"/>
    </xf>
    <xf numFmtId="0" fontId="0" fillId="0" borderId="0" xfId="4" applyFont="1" applyFill="1" applyAlignment="1">
      <alignment horizontal="right" vertical="center" indent="1"/>
    </xf>
    <xf numFmtId="0" fontId="14" fillId="0" borderId="4" xfId="4" applyFont="1" applyFill="1" applyBorder="1" applyAlignment="1" applyProtection="1">
      <alignment horizontal="center" vertical="center" wrapText="1"/>
    </xf>
    <xf numFmtId="0" fontId="14" fillId="0" borderId="8" xfId="4" applyFont="1" applyFill="1" applyBorder="1" applyAlignment="1" applyProtection="1">
      <alignment horizontal="center" vertical="center" wrapText="1"/>
    </xf>
    <xf numFmtId="0" fontId="14" fillId="0" borderId="32" xfId="4" applyFont="1" applyFill="1" applyBorder="1" applyAlignment="1" applyProtection="1">
      <alignment horizontal="center" vertical="center" wrapText="1"/>
    </xf>
    <xf numFmtId="0" fontId="14" fillId="0" borderId="31" xfId="4" applyFont="1" applyFill="1" applyBorder="1" applyAlignment="1" applyProtection="1">
      <alignment horizontal="center" vertical="center" wrapText="1"/>
    </xf>
    <xf numFmtId="0" fontId="24" fillId="0" borderId="0" xfId="4" applyFont="1" applyFill="1"/>
    <xf numFmtId="0" fontId="14" fillId="0" borderId="4" xfId="4" applyFont="1" applyFill="1" applyBorder="1" applyAlignment="1" applyProtection="1">
      <alignment horizontal="left" vertical="center" wrapText="1" indent="1"/>
    </xf>
    <xf numFmtId="0" fontId="14" fillId="0" borderId="8" xfId="4" applyFont="1" applyFill="1" applyBorder="1" applyAlignment="1" applyProtection="1">
      <alignment horizontal="left" vertical="center" wrapText="1" indent="1"/>
    </xf>
    <xf numFmtId="164" fontId="14" fillId="0" borderId="8" xfId="4" applyNumberFormat="1" applyFont="1" applyFill="1" applyBorder="1" applyAlignment="1" applyProtection="1">
      <alignment horizontal="right" vertical="center" wrapText="1"/>
    </xf>
    <xf numFmtId="164" fontId="14" fillId="0" borderId="9" xfId="4" applyNumberFormat="1" applyFont="1" applyFill="1" applyBorder="1" applyAlignment="1" applyProtection="1">
      <alignment horizontal="right" vertical="center" wrapText="1"/>
    </xf>
    <xf numFmtId="49" fontId="24" fillId="0" borderId="11" xfId="4" applyNumberFormat="1" applyFont="1" applyFill="1" applyBorder="1" applyAlignment="1" applyProtection="1">
      <alignment horizontal="left" vertical="center" wrapText="1" indent="1"/>
    </xf>
    <xf numFmtId="164" fontId="24" fillId="0" borderId="12" xfId="4" applyNumberFormat="1" applyFont="1" applyFill="1" applyBorder="1" applyAlignment="1" applyProtection="1">
      <alignment horizontal="right" vertical="center" wrapText="1"/>
      <protection locked="0"/>
    </xf>
    <xf numFmtId="164" fontId="24" fillId="0" borderId="13" xfId="4" applyNumberFormat="1" applyFont="1" applyFill="1" applyBorder="1" applyAlignment="1" applyProtection="1">
      <alignment horizontal="right" vertical="center" wrapText="1"/>
      <protection locked="0"/>
    </xf>
    <xf numFmtId="49" fontId="24" fillId="0" borderId="5" xfId="4" applyNumberFormat="1" applyFont="1" applyFill="1" applyBorder="1" applyAlignment="1" applyProtection="1">
      <alignment horizontal="left" vertical="center" wrapText="1" indent="1"/>
    </xf>
    <xf numFmtId="164" fontId="24" fillId="0" borderId="6" xfId="4" applyNumberFormat="1" applyFont="1" applyFill="1" applyBorder="1" applyAlignment="1" applyProtection="1">
      <alignment horizontal="right" vertical="center" wrapText="1"/>
      <protection locked="0"/>
    </xf>
    <xf numFmtId="164" fontId="24" fillId="0" borderId="7" xfId="4" applyNumberFormat="1" applyFont="1" applyFill="1" applyBorder="1" applyAlignment="1" applyProtection="1">
      <alignment horizontal="right" vertical="center" wrapText="1"/>
      <protection locked="0"/>
    </xf>
    <xf numFmtId="0" fontId="27" fillId="0" borderId="6" xfId="0" applyFont="1" applyBorder="1" applyAlignment="1" applyProtection="1">
      <alignment horizontal="left" vertical="center" wrapText="1" indent="1"/>
    </xf>
    <xf numFmtId="49" fontId="24" fillId="0" borderId="34" xfId="4" applyNumberFormat="1" applyFont="1" applyFill="1" applyBorder="1" applyAlignment="1" applyProtection="1">
      <alignment horizontal="left" vertical="center" wrapText="1" indent="1"/>
    </xf>
    <xf numFmtId="0" fontId="27" fillId="0" borderId="35" xfId="0" applyFont="1" applyBorder="1" applyAlignment="1" applyProtection="1">
      <alignment horizontal="left" vertical="center" wrapText="1" indent="1"/>
    </xf>
    <xf numFmtId="0" fontId="41" fillId="0" borderId="8" xfId="0" applyFont="1" applyBorder="1" applyAlignment="1" applyProtection="1">
      <alignment horizontal="left" vertical="center" wrapText="1" indent="1"/>
    </xf>
    <xf numFmtId="164" fontId="24" fillId="0" borderId="35" xfId="4" applyNumberFormat="1" applyFont="1" applyFill="1" applyBorder="1" applyAlignment="1" applyProtection="1">
      <alignment horizontal="right" vertical="center" wrapText="1"/>
      <protection locked="0"/>
    </xf>
    <xf numFmtId="164" fontId="24" fillId="0" borderId="28" xfId="4" applyNumberFormat="1" applyFont="1" applyFill="1" applyBorder="1" applyAlignment="1" applyProtection="1">
      <alignment horizontal="right" vertical="center" wrapText="1"/>
      <protection locked="0"/>
    </xf>
    <xf numFmtId="164" fontId="24" fillId="0" borderId="12" xfId="4" applyNumberFormat="1" applyFont="1" applyFill="1" applyBorder="1" applyAlignment="1" applyProtection="1">
      <alignment horizontal="right" vertical="center" wrapText="1"/>
    </xf>
    <xf numFmtId="164" fontId="24" fillId="0" borderId="13" xfId="4" applyNumberFormat="1" applyFont="1" applyFill="1" applyBorder="1" applyAlignment="1" applyProtection="1">
      <alignment horizontal="right" vertical="center" wrapText="1"/>
    </xf>
    <xf numFmtId="0" fontId="14" fillId="0" borderId="4" xfId="4" applyFont="1" applyFill="1" applyBorder="1" applyAlignment="1" applyProtection="1">
      <alignment horizontal="left" vertical="center" wrapText="1"/>
    </xf>
    <xf numFmtId="0" fontId="41" fillId="0" borderId="4" xfId="0" applyFont="1" applyBorder="1" applyAlignment="1" applyProtection="1">
      <alignment vertical="center" wrapText="1"/>
    </xf>
    <xf numFmtId="0" fontId="27" fillId="0" borderId="35" xfId="0" applyFont="1" applyBorder="1" applyAlignment="1" applyProtection="1">
      <alignment vertical="center" wrapText="1"/>
    </xf>
    <xf numFmtId="0" fontId="27" fillId="0" borderId="11" xfId="0" applyFont="1" applyBorder="1" applyAlignment="1" applyProtection="1">
      <alignment wrapText="1"/>
    </xf>
    <xf numFmtId="0" fontId="27" fillId="0" borderId="5" xfId="0" applyFont="1" applyBorder="1" applyAlignment="1" applyProtection="1">
      <alignment wrapText="1"/>
    </xf>
    <xf numFmtId="0" fontId="27" fillId="0" borderId="34" xfId="0" applyFont="1" applyBorder="1" applyAlignment="1" applyProtection="1">
      <alignment wrapText="1"/>
    </xf>
    <xf numFmtId="164" fontId="14" fillId="0" borderId="8" xfId="4" applyNumberFormat="1" applyFont="1" applyFill="1" applyBorder="1" applyAlignment="1" applyProtection="1">
      <alignment horizontal="right" vertical="center" wrapText="1"/>
      <protection locked="0"/>
    </xf>
    <xf numFmtId="164" fontId="14" fillId="0" borderId="9" xfId="4" applyNumberFormat="1" applyFont="1" applyFill="1" applyBorder="1" applyAlignment="1" applyProtection="1">
      <alignment horizontal="right" vertical="center" wrapText="1"/>
      <protection locked="0"/>
    </xf>
    <xf numFmtId="0" fontId="41" fillId="0" borderId="8" xfId="0" applyFont="1" applyBorder="1" applyAlignment="1" applyProtection="1">
      <alignment wrapText="1"/>
    </xf>
    <xf numFmtId="0" fontId="41" fillId="0" borderId="36" xfId="0" applyFont="1" applyBorder="1" applyAlignment="1" applyProtection="1">
      <alignment horizontal="center" vertical="center" wrapText="1"/>
    </xf>
    <xf numFmtId="0" fontId="41" fillId="0" borderId="29" xfId="0" applyFont="1" applyBorder="1" applyAlignment="1" applyProtection="1">
      <alignment wrapText="1"/>
    </xf>
    <xf numFmtId="0" fontId="14" fillId="0" borderId="1" xfId="4" applyFont="1" applyFill="1" applyBorder="1" applyAlignment="1" applyProtection="1">
      <alignment horizontal="left" vertical="center" wrapText="1" indent="1"/>
    </xf>
    <xf numFmtId="0" fontId="14" fillId="0" borderId="2" xfId="4" applyFont="1" applyFill="1" applyBorder="1" applyAlignment="1" applyProtection="1">
      <alignment vertical="center" wrapText="1"/>
    </xf>
    <xf numFmtId="164" fontId="14" fillId="0" borderId="2" xfId="4" applyNumberFormat="1" applyFont="1" applyFill="1" applyBorder="1" applyAlignment="1" applyProtection="1">
      <alignment horizontal="right" vertical="center" wrapText="1" indent="1"/>
    </xf>
    <xf numFmtId="164" fontId="14" fillId="0" borderId="3" xfId="4" applyNumberFormat="1" applyFont="1" applyFill="1" applyBorder="1" applyAlignment="1" applyProtection="1">
      <alignment horizontal="right" vertical="center" wrapText="1" indent="1"/>
    </xf>
    <xf numFmtId="49" fontId="24" fillId="0" borderId="25" xfId="4" applyNumberFormat="1" applyFont="1" applyFill="1" applyBorder="1" applyAlignment="1" applyProtection="1">
      <alignment horizontal="left" vertical="center" wrapText="1" indent="1"/>
    </xf>
    <xf numFmtId="0" fontId="24" fillId="0" borderId="16" xfId="4" applyFont="1" applyFill="1" applyBorder="1" applyAlignment="1" applyProtection="1">
      <alignment horizontal="left" vertical="center" wrapText="1" indent="1"/>
    </xf>
    <xf numFmtId="164" fontId="24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6" xfId="4" applyFont="1" applyFill="1" applyBorder="1" applyAlignment="1" applyProtection="1">
      <alignment horizontal="left" vertical="center" wrapText="1" indent="1"/>
    </xf>
    <xf numFmtId="164" fontId="24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8" xfId="4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37" xfId="4" applyFont="1" applyFill="1" applyBorder="1" applyAlignment="1" applyProtection="1">
      <alignment horizontal="left" vertical="center" wrapText="1" indent="1"/>
    </xf>
    <xf numFmtId="0" fontId="24" fillId="0" borderId="0" xfId="4" applyFont="1" applyFill="1" applyBorder="1" applyAlignment="1" applyProtection="1">
      <alignment horizontal="left" vertical="center" wrapText="1" indent="1"/>
    </xf>
    <xf numFmtId="0" fontId="24" fillId="0" borderId="35" xfId="4" applyFont="1" applyFill="1" applyBorder="1" applyAlignment="1" applyProtection="1">
      <alignment horizontal="left" vertical="center" wrapText="1" indent="6"/>
    </xf>
    <xf numFmtId="0" fontId="24" fillId="0" borderId="6" xfId="4" applyFont="1" applyFill="1" applyBorder="1" applyAlignment="1" applyProtection="1">
      <alignment horizontal="left" indent="6"/>
    </xf>
    <xf numFmtId="0" fontId="24" fillId="0" borderId="6" xfId="4" applyFont="1" applyFill="1" applyBorder="1" applyAlignment="1" applyProtection="1">
      <alignment horizontal="left" vertical="center" wrapText="1" indent="6"/>
    </xf>
    <xf numFmtId="49" fontId="24" fillId="0" borderId="38" xfId="4" applyNumberFormat="1" applyFont="1" applyFill="1" applyBorder="1" applyAlignment="1" applyProtection="1">
      <alignment horizontal="left" vertical="center" wrapText="1" indent="1"/>
    </xf>
    <xf numFmtId="49" fontId="24" fillId="0" borderId="39" xfId="4" applyNumberFormat="1" applyFont="1" applyFill="1" applyBorder="1" applyAlignment="1" applyProtection="1">
      <alignment horizontal="left" vertical="center" wrapText="1" indent="1"/>
    </xf>
    <xf numFmtId="0" fontId="24" fillId="0" borderId="19" xfId="4" applyFont="1" applyFill="1" applyBorder="1" applyAlignment="1" applyProtection="1">
      <alignment horizontal="left" vertical="center" wrapText="1" indent="7"/>
    </xf>
    <xf numFmtId="164" fontId="24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36" xfId="4" applyFont="1" applyFill="1" applyBorder="1" applyAlignment="1" applyProtection="1">
      <alignment horizontal="left" vertical="center" wrapText="1" indent="1"/>
    </xf>
    <xf numFmtId="0" fontId="14" fillId="0" borderId="29" xfId="4" applyFont="1" applyFill="1" applyBorder="1" applyAlignment="1" applyProtection="1">
      <alignment vertical="center" wrapText="1"/>
    </xf>
    <xf numFmtId="164" fontId="14" fillId="0" borderId="29" xfId="4" applyNumberFormat="1" applyFont="1" applyFill="1" applyBorder="1" applyAlignment="1" applyProtection="1">
      <alignment horizontal="right" vertical="center" wrapText="1" indent="1"/>
    </xf>
    <xf numFmtId="164" fontId="14" fillId="0" borderId="40" xfId="4" applyNumberFormat="1" applyFont="1" applyFill="1" applyBorder="1" applyAlignment="1" applyProtection="1">
      <alignment horizontal="right" vertical="center" wrapText="1" indent="1"/>
    </xf>
    <xf numFmtId="164" fontId="24" fillId="0" borderId="12" xfId="4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3" xfId="4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35" xfId="4" applyFont="1" applyFill="1" applyBorder="1" applyAlignment="1" applyProtection="1">
      <alignment horizontal="left" vertical="center" wrapText="1" indent="1"/>
    </xf>
    <xf numFmtId="164" fontId="24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12" xfId="4" applyFont="1" applyFill="1" applyBorder="1" applyAlignment="1" applyProtection="1">
      <alignment horizontal="left" vertical="center" wrapText="1" indent="6"/>
    </xf>
    <xf numFmtId="164" fontId="24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0" fontId="38" fillId="0" borderId="8" xfId="4" applyFont="1" applyFill="1" applyBorder="1" applyAlignment="1" applyProtection="1">
      <alignment horizontal="left" vertical="center" wrapText="1" indent="1"/>
    </xf>
    <xf numFmtId="164" fontId="14" fillId="0" borderId="8" xfId="4" applyNumberFormat="1" applyFont="1" applyFill="1" applyBorder="1" applyAlignment="1" applyProtection="1">
      <alignment horizontal="right" vertical="center" wrapText="1" indent="1"/>
    </xf>
    <xf numFmtId="164" fontId="14" fillId="0" borderId="9" xfId="4" applyNumberFormat="1" applyFont="1" applyFill="1" applyBorder="1" applyAlignment="1" applyProtection="1">
      <alignment horizontal="right" vertical="center" wrapText="1" indent="1"/>
    </xf>
    <xf numFmtId="0" fontId="24" fillId="0" borderId="12" xfId="4" applyFont="1" applyFill="1" applyBorder="1" applyAlignment="1" applyProtection="1">
      <alignment horizontal="left" vertical="center" wrapText="1" indent="1"/>
    </xf>
    <xf numFmtId="164" fontId="38" fillId="0" borderId="8" xfId="4" applyNumberFormat="1" applyFont="1" applyFill="1" applyBorder="1" applyAlignment="1" applyProtection="1">
      <alignment horizontal="right" vertical="center" wrapText="1" indent="1"/>
    </xf>
    <xf numFmtId="164" fontId="38" fillId="0" borderId="9" xfId="4" applyNumberFormat="1" applyFont="1" applyFill="1" applyBorder="1" applyAlignment="1" applyProtection="1">
      <alignment horizontal="right" vertical="center" wrapText="1" indent="1"/>
    </xf>
    <xf numFmtId="0" fontId="24" fillId="0" borderId="26" xfId="4" applyFont="1" applyFill="1" applyBorder="1" applyAlignment="1" applyProtection="1">
      <alignment horizontal="left" vertical="center" wrapText="1" indent="1"/>
    </xf>
    <xf numFmtId="164" fontId="41" fillId="0" borderId="8" xfId="0" applyNumberFormat="1" applyFont="1" applyBorder="1" applyAlignment="1" applyProtection="1">
      <alignment horizontal="right" vertical="center" wrapText="1" indent="1"/>
    </xf>
    <xf numFmtId="164" fontId="41" fillId="0" borderId="9" xfId="0" applyNumberFormat="1" applyFont="1" applyBorder="1" applyAlignment="1" applyProtection="1">
      <alignment horizontal="right" vertical="center" wrapText="1" indent="1"/>
    </xf>
    <xf numFmtId="164" fontId="41" fillId="0" borderId="8" xfId="0" applyNumberFormat="1" applyFont="1" applyBorder="1" applyAlignment="1" applyProtection="1">
      <alignment horizontal="right" vertical="center" wrapText="1" indent="1"/>
      <protection locked="0"/>
    </xf>
    <xf numFmtId="164" fontId="41" fillId="0" borderId="9" xfId="0" applyNumberFormat="1" applyFont="1" applyBorder="1" applyAlignment="1" applyProtection="1">
      <alignment horizontal="right" vertical="center" wrapText="1" indent="1"/>
      <protection locked="0"/>
    </xf>
    <xf numFmtId="164" fontId="41" fillId="0" borderId="8" xfId="0" quotePrefix="1" applyNumberFormat="1" applyFont="1" applyBorder="1" applyAlignment="1" applyProtection="1">
      <alignment horizontal="right" vertical="center" wrapText="1" indent="1"/>
    </xf>
    <xf numFmtId="164" fontId="41" fillId="0" borderId="9" xfId="0" quotePrefix="1" applyNumberFormat="1" applyFont="1" applyBorder="1" applyAlignment="1" applyProtection="1">
      <alignment horizontal="right" vertical="center" wrapText="1" indent="1"/>
    </xf>
    <xf numFmtId="0" fontId="38" fillId="0" borderId="29" xfId="4" applyFont="1" applyFill="1" applyBorder="1" applyAlignment="1" applyProtection="1">
      <alignment horizontal="left" vertical="center" wrapText="1" indent="1"/>
    </xf>
    <xf numFmtId="0" fontId="41" fillId="0" borderId="36" xfId="0" applyFont="1" applyBorder="1" applyAlignment="1" applyProtection="1">
      <alignment horizontal="left" vertical="center" wrapText="1" indent="1"/>
    </xf>
    <xf numFmtId="0" fontId="41" fillId="0" borderId="29" xfId="0" applyFont="1" applyBorder="1" applyAlignment="1" applyProtection="1">
      <alignment horizontal="left" vertical="center" wrapText="1" indent="1"/>
    </xf>
    <xf numFmtId="0" fontId="8" fillId="0" borderId="0" xfId="0" applyFont="1" applyFill="1" applyProtection="1"/>
    <xf numFmtId="0" fontId="2" fillId="0" borderId="0" xfId="0" applyFont="1" applyFill="1" applyProtection="1"/>
    <xf numFmtId="0" fontId="2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42" fillId="0" borderId="0" xfId="0" applyFont="1" applyFill="1" applyProtection="1">
      <protection locked="0"/>
    </xf>
    <xf numFmtId="0" fontId="43" fillId="0" borderId="0" xfId="0" applyFont="1" applyFill="1" applyProtection="1">
      <protection locked="0"/>
    </xf>
    <xf numFmtId="0" fontId="43" fillId="0" borderId="0" xfId="0" applyFont="1" applyFill="1" applyProtection="1"/>
    <xf numFmtId="0" fontId="43" fillId="0" borderId="0" xfId="0" applyFont="1" applyFill="1"/>
    <xf numFmtId="0" fontId="34" fillId="0" borderId="4" xfId="0" applyFont="1" applyFill="1" applyBorder="1" applyAlignment="1" applyProtection="1">
      <alignment horizontal="center" vertical="center" wrapText="1"/>
    </xf>
    <xf numFmtId="0" fontId="34" fillId="0" borderId="8" xfId="0" applyFont="1" applyFill="1" applyBorder="1" applyAlignment="1" applyProtection="1">
      <alignment horizontal="center" vertical="center" wrapText="1"/>
    </xf>
    <xf numFmtId="0" fontId="34" fillId="0" borderId="9" xfId="0" applyFont="1" applyFill="1" applyBorder="1" applyAlignment="1" applyProtection="1">
      <alignment horizontal="center" vertical="center" wrapText="1"/>
    </xf>
    <xf numFmtId="0" fontId="38" fillId="0" borderId="0" xfId="0" applyFont="1" applyFill="1" applyAlignment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vertical="center" wrapText="1"/>
    </xf>
    <xf numFmtId="164" fontId="6" fillId="0" borderId="12" xfId="0" applyNumberFormat="1" applyFont="1" applyFill="1" applyBorder="1" applyAlignment="1" applyProtection="1">
      <alignment vertical="center"/>
      <protection locked="0"/>
    </xf>
    <xf numFmtId="164" fontId="16" fillId="0" borderId="13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 wrapText="1"/>
    </xf>
    <xf numFmtId="164" fontId="6" fillId="0" borderId="6" xfId="0" applyNumberFormat="1" applyFont="1" applyFill="1" applyBorder="1" applyAlignment="1" applyProtection="1">
      <alignment vertical="center"/>
      <protection locked="0"/>
    </xf>
    <xf numFmtId="164" fontId="16" fillId="0" borderId="7" xfId="0" applyNumberFormat="1" applyFont="1" applyFill="1" applyBorder="1" applyAlignment="1" applyProtection="1">
      <alignment vertical="center"/>
    </xf>
    <xf numFmtId="0" fontId="6" fillId="0" borderId="34" xfId="0" applyFont="1" applyFill="1" applyBorder="1" applyAlignment="1" applyProtection="1">
      <alignment horizontal="center" vertical="center"/>
    </xf>
    <xf numFmtId="0" fontId="6" fillId="0" borderId="35" xfId="0" applyFont="1" applyFill="1" applyBorder="1" applyAlignment="1" applyProtection="1">
      <alignment vertical="center" wrapText="1"/>
    </xf>
    <xf numFmtId="164" fontId="6" fillId="0" borderId="35" xfId="0" applyNumberFormat="1" applyFont="1" applyFill="1" applyBorder="1" applyAlignment="1" applyProtection="1">
      <alignment vertical="center"/>
      <protection locked="0"/>
    </xf>
    <xf numFmtId="164" fontId="16" fillId="0" borderId="28" xfId="0" applyNumberFormat="1" applyFont="1" applyFill="1" applyBorder="1" applyAlignment="1" applyProtection="1">
      <alignment vertical="center"/>
    </xf>
    <xf numFmtId="0" fontId="16" fillId="0" borderId="4" xfId="0" applyFont="1" applyFill="1" applyBorder="1" applyAlignment="1" applyProtection="1">
      <alignment horizontal="center" vertical="center"/>
    </xf>
    <xf numFmtId="0" fontId="34" fillId="0" borderId="8" xfId="0" applyFont="1" applyFill="1" applyBorder="1" applyAlignment="1" applyProtection="1">
      <alignment vertical="center" wrapText="1"/>
    </xf>
    <xf numFmtId="164" fontId="16" fillId="0" borderId="8" xfId="0" applyNumberFormat="1" applyFont="1" applyFill="1" applyBorder="1" applyAlignment="1" applyProtection="1">
      <alignment vertical="center"/>
    </xf>
    <xf numFmtId="164" fontId="16" fillId="0" borderId="9" xfId="0" applyNumberFormat="1" applyFont="1" applyFill="1" applyBorder="1" applyAlignment="1" applyProtection="1">
      <alignment vertical="center"/>
    </xf>
    <xf numFmtId="0" fontId="38" fillId="0" borderId="0" xfId="0" applyFont="1" applyFill="1"/>
    <xf numFmtId="0" fontId="0" fillId="0" borderId="55" xfId="0" applyFont="1" applyFill="1" applyBorder="1" applyProtection="1"/>
    <xf numFmtId="0" fontId="37" fillId="0" borderId="55" xfId="0" applyFont="1" applyFill="1" applyBorder="1" applyAlignment="1" applyProtection="1">
      <alignment horizontal="center"/>
    </xf>
    <xf numFmtId="0" fontId="0" fillId="0" borderId="0" xfId="0" applyFont="1" applyFill="1" applyBorder="1"/>
    <xf numFmtId="0" fontId="37" fillId="0" borderId="0" xfId="0" applyFont="1" applyFill="1" applyBorder="1" applyAlignment="1">
      <alignment horizontal="center"/>
    </xf>
    <xf numFmtId="164" fontId="37" fillId="0" borderId="0" xfId="0" applyNumberFormat="1" applyFont="1" applyFill="1" applyAlignment="1" applyProtection="1">
      <alignment horizontal="right"/>
    </xf>
    <xf numFmtId="164" fontId="42" fillId="0" borderId="0" xfId="0" applyNumberFormat="1" applyFont="1" applyFill="1" applyAlignment="1" applyProtection="1">
      <alignment vertical="center"/>
    </xf>
    <xf numFmtId="164" fontId="34" fillId="0" borderId="56" xfId="0" applyNumberFormat="1" applyFont="1" applyFill="1" applyBorder="1" applyAlignment="1" applyProtection="1">
      <alignment horizontal="center" vertical="center"/>
    </xf>
    <xf numFmtId="164" fontId="34" fillId="0" borderId="30" xfId="0" applyNumberFormat="1" applyFont="1" applyFill="1" applyBorder="1" applyAlignment="1" applyProtection="1">
      <alignment horizontal="center" vertical="center" wrapText="1"/>
    </xf>
    <xf numFmtId="164" fontId="42" fillId="0" borderId="0" xfId="0" applyNumberFormat="1" applyFont="1" applyFill="1" applyAlignment="1" applyProtection="1">
      <alignment horizontal="center" vertical="center"/>
    </xf>
    <xf numFmtId="164" fontId="16" fillId="0" borderId="21" xfId="0" applyNumberFormat="1" applyFont="1" applyFill="1" applyBorder="1" applyAlignment="1" applyProtection="1">
      <alignment horizontal="center" vertical="center" wrapText="1"/>
    </xf>
    <xf numFmtId="164" fontId="16" fillId="0" borderId="50" xfId="0" applyNumberFormat="1" applyFont="1" applyFill="1" applyBorder="1" applyAlignment="1" applyProtection="1">
      <alignment horizontal="center" vertical="center" wrapText="1"/>
    </xf>
    <xf numFmtId="164" fontId="16" fillId="0" borderId="47" xfId="0" applyNumberFormat="1" applyFont="1" applyFill="1" applyBorder="1" applyAlignment="1" applyProtection="1">
      <alignment horizontal="center" vertical="center" wrapText="1"/>
    </xf>
    <xf numFmtId="164" fontId="42" fillId="0" borderId="0" xfId="0" applyNumberFormat="1" applyFont="1" applyFill="1" applyAlignment="1" applyProtection="1">
      <alignment horizontal="center" vertical="center" wrapText="1"/>
    </xf>
    <xf numFmtId="164" fontId="16" fillId="0" borderId="43" xfId="0" applyNumberFormat="1" applyFont="1" applyFill="1" applyBorder="1" applyAlignment="1" applyProtection="1">
      <alignment horizontal="left" vertical="center" wrapText="1" indent="1"/>
    </xf>
    <xf numFmtId="49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43" xfId="0" applyNumberFormat="1" applyFont="1" applyFill="1" applyBorder="1" applyAlignment="1" applyProtection="1">
      <alignment vertical="center" wrapText="1"/>
    </xf>
    <xf numFmtId="164" fontId="6" fillId="0" borderId="4" xfId="0" applyNumberFormat="1" applyFont="1" applyFill="1" applyBorder="1" applyAlignment="1" applyProtection="1">
      <alignment vertical="center" wrapText="1"/>
    </xf>
    <xf numFmtId="164" fontId="6" fillId="0" borderId="8" xfId="0" applyNumberFormat="1" applyFont="1" applyFill="1" applyBorder="1" applyAlignment="1" applyProtection="1">
      <alignment vertical="center" wrapText="1"/>
    </xf>
    <xf numFmtId="164" fontId="6" fillId="0" borderId="9" xfId="0" applyNumberFormat="1" applyFont="1" applyFill="1" applyBorder="1" applyAlignment="1" applyProtection="1">
      <alignment vertical="center" wrapText="1"/>
    </xf>
    <xf numFmtId="164" fontId="16" fillId="0" borderId="5" xfId="0" applyNumberFormat="1" applyFont="1" applyFill="1" applyBorder="1" applyAlignment="1" applyProtection="1">
      <alignment horizontal="center" vertical="center" wrapText="1"/>
    </xf>
    <xf numFmtId="164" fontId="6" fillId="0" borderId="45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45" xfId="0" applyNumberFormat="1" applyFont="1" applyFill="1" applyBorder="1" applyAlignment="1" applyProtection="1">
      <alignment vertical="center" wrapText="1"/>
      <protection locked="0"/>
    </xf>
    <xf numFmtId="164" fontId="6" fillId="0" borderId="5" xfId="0" applyNumberFormat="1" applyFont="1" applyFill="1" applyBorder="1" applyAlignment="1" applyProtection="1">
      <alignment vertical="center" wrapText="1"/>
      <protection locked="0"/>
    </xf>
    <xf numFmtId="164" fontId="6" fillId="0" borderId="6" xfId="0" applyNumberFormat="1" applyFont="1" applyFill="1" applyBorder="1" applyAlignment="1" applyProtection="1">
      <alignment vertical="center" wrapText="1"/>
      <protection locked="0"/>
    </xf>
    <xf numFmtId="164" fontId="6" fillId="0" borderId="7" xfId="0" applyNumberFormat="1" applyFont="1" applyFill="1" applyBorder="1" applyAlignment="1" applyProtection="1">
      <alignment vertical="center" wrapText="1"/>
      <protection locked="0"/>
    </xf>
    <xf numFmtId="164" fontId="6" fillId="0" borderId="45" xfId="0" applyNumberFormat="1" applyFont="1" applyFill="1" applyBorder="1" applyAlignment="1" applyProtection="1">
      <alignment vertical="center" wrapText="1"/>
    </xf>
    <xf numFmtId="49" fontId="0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34" xfId="0" applyNumberFormat="1" applyFont="1" applyFill="1" applyBorder="1" applyAlignment="1" applyProtection="1">
      <alignment horizontal="center" vertical="center" wrapText="1"/>
    </xf>
    <xf numFmtId="164" fontId="6" fillId="0" borderId="57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57" xfId="0" applyNumberFormat="1" applyFont="1" applyFill="1" applyBorder="1" applyAlignment="1" applyProtection="1">
      <alignment vertical="center" wrapText="1"/>
      <protection locked="0"/>
    </xf>
    <xf numFmtId="164" fontId="6" fillId="0" borderId="34" xfId="0" applyNumberFormat="1" applyFont="1" applyFill="1" applyBorder="1" applyAlignment="1" applyProtection="1">
      <alignment vertical="center" wrapText="1"/>
      <protection locked="0"/>
    </xf>
    <xf numFmtId="164" fontId="6" fillId="0" borderId="35" xfId="0" applyNumberFormat="1" applyFont="1" applyFill="1" applyBorder="1" applyAlignment="1" applyProtection="1">
      <alignment vertical="center" wrapText="1"/>
      <protection locked="0"/>
    </xf>
    <xf numFmtId="164" fontId="6" fillId="0" borderId="28" xfId="0" applyNumberFormat="1" applyFont="1" applyFill="1" applyBorder="1" applyAlignment="1" applyProtection="1">
      <alignment vertical="center" wrapText="1"/>
      <protection locked="0"/>
    </xf>
    <xf numFmtId="164" fontId="6" fillId="0" borderId="57" xfId="0" applyNumberFormat="1" applyFont="1" applyFill="1" applyBorder="1" applyAlignment="1" applyProtection="1">
      <alignment vertical="center" wrapText="1"/>
    </xf>
    <xf numFmtId="164" fontId="16" fillId="0" borderId="38" xfId="0" applyNumberFormat="1" applyFont="1" applyFill="1" applyBorder="1" applyAlignment="1" applyProtection="1">
      <alignment horizontal="center" vertical="center" wrapText="1"/>
    </xf>
    <xf numFmtId="164" fontId="6" fillId="0" borderId="44" xfId="0" applyNumberFormat="1" applyFont="1" applyFill="1" applyBorder="1" applyAlignment="1" applyProtection="1">
      <alignment horizontal="left" vertical="center" wrapText="1" indent="1"/>
      <protection locked="0"/>
    </xf>
    <xf numFmtId="49" fontId="0" fillId="0" borderId="48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47" xfId="0" applyNumberFormat="1" applyFont="1" applyFill="1" applyBorder="1" applyAlignment="1" applyProtection="1">
      <alignment vertical="center" wrapText="1"/>
      <protection locked="0"/>
    </xf>
    <xf numFmtId="164" fontId="6" fillId="0" borderId="38" xfId="0" applyNumberFormat="1" applyFont="1" applyFill="1" applyBorder="1" applyAlignment="1" applyProtection="1">
      <alignment vertical="center" wrapText="1"/>
      <protection locked="0"/>
    </xf>
    <xf numFmtId="164" fontId="6" fillId="0" borderId="26" xfId="0" applyNumberFormat="1" applyFont="1" applyFill="1" applyBorder="1" applyAlignment="1" applyProtection="1">
      <alignment vertical="center" wrapText="1"/>
      <protection locked="0"/>
    </xf>
    <xf numFmtId="164" fontId="6" fillId="0" borderId="27" xfId="0" applyNumberFormat="1" applyFont="1" applyFill="1" applyBorder="1" applyAlignment="1" applyProtection="1">
      <alignment vertical="center" wrapText="1"/>
      <protection locked="0"/>
    </xf>
    <xf numFmtId="164" fontId="6" fillId="0" borderId="47" xfId="0" applyNumberFormat="1" applyFont="1" applyFill="1" applyBorder="1" applyAlignment="1" applyProtection="1">
      <alignment vertical="center" wrapText="1"/>
    </xf>
    <xf numFmtId="164" fontId="0" fillId="2" borderId="50" xfId="0" applyNumberFormat="1" applyFont="1" applyFill="1" applyBorder="1" applyAlignment="1" applyProtection="1">
      <alignment horizontal="left" vertical="center" wrapText="1" indent="2"/>
    </xf>
    <xf numFmtId="0" fontId="7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Protection="1"/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right" vertical="center" indent="1"/>
    </xf>
    <xf numFmtId="0" fontId="2" fillId="0" borderId="16" xfId="0" applyFont="1" applyBorder="1" applyAlignment="1" applyProtection="1">
      <alignment horizontal="left" vertical="center" indent="1"/>
      <protection locked="0"/>
    </xf>
    <xf numFmtId="3" fontId="2" fillId="0" borderId="17" xfId="0" applyNumberFormat="1" applyFont="1" applyBorder="1" applyAlignment="1" applyProtection="1">
      <alignment horizontal="right" vertical="center" indent="1"/>
      <protection locked="0"/>
    </xf>
    <xf numFmtId="0" fontId="2" fillId="0" borderId="6" xfId="0" applyFont="1" applyBorder="1" applyAlignment="1" applyProtection="1">
      <alignment horizontal="left" vertical="center" indent="1"/>
      <protection locked="0"/>
    </xf>
    <xf numFmtId="3" fontId="2" fillId="0" borderId="7" xfId="0" applyNumberFormat="1" applyFont="1" applyBorder="1" applyAlignment="1" applyProtection="1">
      <alignment horizontal="right" vertical="center" indent="1"/>
      <protection locked="0"/>
    </xf>
    <xf numFmtId="0" fontId="2" fillId="0" borderId="6" xfId="0" applyFont="1" applyBorder="1" applyAlignment="1" applyProtection="1">
      <alignment horizontal="left" vertical="center" wrapText="1" indent="1"/>
      <protection locked="0"/>
    </xf>
    <xf numFmtId="0" fontId="7" fillId="0" borderId="21" xfId="0" applyFont="1" applyBorder="1" applyAlignment="1" applyProtection="1">
      <alignment vertical="center"/>
    </xf>
    <xf numFmtId="3" fontId="8" fillId="0" borderId="32" xfId="0" applyNumberFormat="1" applyFont="1" applyBorder="1" applyAlignment="1">
      <alignment vertical="center"/>
    </xf>
    <xf numFmtId="0" fontId="44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/>
    <xf numFmtId="0" fontId="44" fillId="0" borderId="0" xfId="0" applyFont="1" applyFill="1" applyBorder="1" applyAlignment="1" applyProtection="1">
      <alignment vertical="center"/>
    </xf>
    <xf numFmtId="0" fontId="44" fillId="0" borderId="0" xfId="0" applyFont="1" applyFill="1" applyBorder="1" applyAlignment="1" applyProtection="1">
      <alignment horizontal="center" vertical="center"/>
    </xf>
    <xf numFmtId="0" fontId="45" fillId="0" borderId="0" xfId="0" applyFont="1" applyFill="1" applyBorder="1" applyAlignment="1" applyProtection="1">
      <alignment horizontal="right"/>
    </xf>
    <xf numFmtId="0" fontId="44" fillId="0" borderId="6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/>
    <xf numFmtId="0" fontId="29" fillId="0" borderId="0" xfId="0" applyFont="1" applyFill="1" applyBorder="1" applyAlignment="1">
      <alignment vertical="center"/>
    </xf>
    <xf numFmtId="0" fontId="46" fillId="0" borderId="6" xfId="0" applyFont="1" applyFill="1" applyBorder="1" applyAlignment="1" applyProtection="1">
      <alignment horizontal="center" vertical="center" wrapText="1"/>
    </xf>
    <xf numFmtId="164" fontId="46" fillId="0" borderId="6" xfId="0" applyNumberFormat="1" applyFont="1" applyFill="1" applyBorder="1" applyAlignment="1" applyProtection="1">
      <alignment horizontal="right" vertical="center" wrapText="1"/>
    </xf>
    <xf numFmtId="0" fontId="47" fillId="0" borderId="6" xfId="0" applyFont="1" applyFill="1" applyBorder="1" applyAlignment="1" applyProtection="1">
      <alignment horizontal="left" vertical="center" wrapText="1"/>
      <protection locked="0"/>
    </xf>
    <xf numFmtId="164" fontId="47" fillId="0" borderId="6" xfId="0" applyNumberFormat="1" applyFont="1" applyFill="1" applyBorder="1" applyAlignment="1" applyProtection="1">
      <alignment horizontal="right" vertical="center" wrapText="1"/>
      <protection locked="0"/>
    </xf>
    <xf numFmtId="164" fontId="48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47" fillId="0" borderId="6" xfId="0" applyFont="1" applyFill="1" applyBorder="1" applyAlignment="1" applyProtection="1">
      <alignment horizontal="right" vertical="center" wrapText="1"/>
      <protection locked="0"/>
    </xf>
    <xf numFmtId="3" fontId="47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46" fillId="0" borderId="6" xfId="0" applyFont="1" applyFill="1" applyBorder="1" applyAlignment="1" applyProtection="1">
      <alignment horizontal="center" vertical="center" wrapText="1"/>
      <protection locked="0"/>
    </xf>
    <xf numFmtId="164" fontId="46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47" fillId="0" borderId="6" xfId="0" applyFont="1" applyFill="1" applyBorder="1" applyAlignment="1" applyProtection="1">
      <alignment vertical="center" wrapText="1"/>
      <protection locked="0"/>
    </xf>
    <xf numFmtId="164" fontId="47" fillId="0" borderId="6" xfId="0" applyNumberFormat="1" applyFont="1" applyFill="1" applyBorder="1" applyAlignment="1" applyProtection="1">
      <alignment vertical="center" wrapText="1"/>
      <protection locked="0"/>
    </xf>
    <xf numFmtId="164" fontId="47" fillId="0" borderId="6" xfId="0" applyNumberFormat="1" applyFont="1" applyFill="1" applyBorder="1" applyAlignment="1" applyProtection="1">
      <alignment horizontal="left" vertical="center" wrapText="1"/>
      <protection locked="0"/>
    </xf>
    <xf numFmtId="3" fontId="47" fillId="0" borderId="6" xfId="0" applyNumberFormat="1" applyFont="1" applyFill="1" applyBorder="1"/>
    <xf numFmtId="164" fontId="49" fillId="0" borderId="6" xfId="0" applyNumberFormat="1" applyFont="1" applyFill="1" applyBorder="1" applyAlignment="1" applyProtection="1">
      <alignment horizontal="left" vertical="center" wrapText="1"/>
      <protection locked="0"/>
    </xf>
    <xf numFmtId="3" fontId="49" fillId="0" borderId="6" xfId="0" applyNumberFormat="1" applyFont="1" applyFill="1" applyBorder="1"/>
    <xf numFmtId="0" fontId="36" fillId="0" borderId="0" xfId="0" applyFont="1" applyFill="1" applyBorder="1"/>
    <xf numFmtId="164" fontId="50" fillId="0" borderId="6" xfId="0" applyNumberFormat="1" applyFont="1" applyFill="1" applyBorder="1" applyAlignment="1" applyProtection="1">
      <alignment horizontal="left" vertical="center" wrapText="1"/>
      <protection locked="0"/>
    </xf>
    <xf numFmtId="3" fontId="50" fillId="0" borderId="6" xfId="0" applyNumberFormat="1" applyFont="1" applyFill="1" applyBorder="1"/>
    <xf numFmtId="3" fontId="46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vertical="center"/>
    </xf>
    <xf numFmtId="0" fontId="46" fillId="0" borderId="6" xfId="0" applyFont="1" applyFill="1" applyBorder="1" applyAlignment="1" applyProtection="1">
      <alignment vertical="center" wrapText="1"/>
    </xf>
    <xf numFmtId="0" fontId="7" fillId="0" borderId="0" xfId="5" applyFont="1" applyFill="1" applyProtection="1"/>
    <xf numFmtId="0" fontId="0" fillId="0" borderId="0" xfId="0" applyFont="1" applyFill="1" applyAlignment="1">
      <alignment horizontal="center" vertical="center" wrapText="1"/>
    </xf>
    <xf numFmtId="0" fontId="44" fillId="0" borderId="0" xfId="0" applyFont="1" applyAlignment="1">
      <alignment horizontal="center" wrapText="1"/>
    </xf>
    <xf numFmtId="164" fontId="17" fillId="0" borderId="0" xfId="0" applyNumberFormat="1" applyFont="1" applyFill="1" applyAlignment="1">
      <alignment horizontal="center" vertical="center" wrapText="1"/>
    </xf>
    <xf numFmtId="164" fontId="17" fillId="0" borderId="0" xfId="0" applyNumberFormat="1" applyFont="1" applyFill="1" applyAlignment="1">
      <alignment vertical="center" wrapText="1"/>
    </xf>
    <xf numFmtId="164" fontId="13" fillId="0" borderId="0" xfId="0" applyNumberFormat="1" applyFont="1" applyFill="1" applyAlignment="1">
      <alignment horizontal="right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 applyProtection="1">
      <alignment horizontal="center" vertical="center" wrapText="1"/>
    </xf>
    <xf numFmtId="0" fontId="11" fillId="0" borderId="9" xfId="0" applyFont="1" applyFill="1" applyBorder="1" applyAlignment="1" applyProtection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25" fillId="0" borderId="58" xfId="0" applyFont="1" applyFill="1" applyBorder="1" applyAlignment="1" applyProtection="1">
      <alignment horizontal="left" vertical="center" wrapText="1" indent="1"/>
    </xf>
    <xf numFmtId="164" fontId="6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5" xfId="0" applyFont="1" applyFill="1" applyBorder="1" applyAlignment="1">
      <alignment horizontal="center" vertical="center" wrapText="1"/>
    </xf>
    <xf numFmtId="0" fontId="25" fillId="0" borderId="37" xfId="0" applyFont="1" applyFill="1" applyBorder="1" applyAlignment="1" applyProtection="1">
      <alignment horizontal="left" vertical="center" wrapText="1" indent="1"/>
    </xf>
    <xf numFmtId="164" fontId="6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37" xfId="0" applyFont="1" applyFill="1" applyBorder="1" applyAlignment="1" applyProtection="1">
      <alignment horizontal="left" vertical="center" wrapText="1" indent="8"/>
    </xf>
    <xf numFmtId="0" fontId="6" fillId="0" borderId="12" xfId="0" applyFont="1" applyFill="1" applyBorder="1" applyAlignment="1" applyProtection="1">
      <alignment vertical="center" wrapText="1"/>
      <protection locked="0"/>
    </xf>
    <xf numFmtId="0" fontId="6" fillId="0" borderId="6" xfId="0" applyFont="1" applyFill="1" applyBorder="1" applyAlignment="1" applyProtection="1">
      <alignment vertical="center" wrapText="1"/>
      <protection locked="0"/>
    </xf>
    <xf numFmtId="0" fontId="6" fillId="0" borderId="34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 applyProtection="1">
      <alignment vertical="center" wrapText="1"/>
      <protection locked="0"/>
    </xf>
    <xf numFmtId="164" fontId="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4" xfId="0" applyFont="1" applyFill="1" applyBorder="1" applyAlignment="1">
      <alignment horizontal="center" vertical="center" wrapText="1"/>
    </xf>
    <xf numFmtId="0" fontId="34" fillId="0" borderId="29" xfId="0" applyFont="1" applyFill="1" applyBorder="1" applyAlignment="1" applyProtection="1">
      <alignment vertical="center" wrapText="1"/>
    </xf>
    <xf numFmtId="164" fontId="16" fillId="0" borderId="29" xfId="0" applyNumberFormat="1" applyFont="1" applyFill="1" applyBorder="1" applyAlignment="1" applyProtection="1">
      <alignment vertical="center" wrapText="1"/>
    </xf>
    <xf numFmtId="164" fontId="16" fillId="0" borderId="40" xfId="0" applyNumberFormat="1" applyFont="1" applyFill="1" applyBorder="1" applyAlignment="1" applyProtection="1">
      <alignment vertical="center" wrapText="1"/>
    </xf>
    <xf numFmtId="0" fontId="0" fillId="0" borderId="0" xfId="0" applyFont="1" applyFill="1" applyAlignment="1">
      <alignment horizontal="right" vertical="center" wrapText="1"/>
    </xf>
    <xf numFmtId="0" fontId="11" fillId="0" borderId="32" xfId="4" applyFont="1" applyFill="1" applyBorder="1" applyAlignment="1" applyProtection="1">
      <alignment horizontal="center" vertical="center" wrapText="1"/>
    </xf>
    <xf numFmtId="0" fontId="11" fillId="0" borderId="31" xfId="4" applyFont="1" applyFill="1" applyBorder="1" applyAlignment="1" applyProtection="1">
      <alignment horizontal="center" vertical="center" wrapText="1"/>
    </xf>
    <xf numFmtId="0" fontId="15" fillId="0" borderId="31" xfId="4" applyFont="1" applyFill="1" applyBorder="1" applyAlignment="1" applyProtection="1">
      <alignment horizontal="center" vertical="center" wrapText="1"/>
    </xf>
    <xf numFmtId="164" fontId="15" fillId="0" borderId="8" xfId="4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8" xfId="4" applyNumberFormat="1" applyFont="1" applyFill="1" applyBorder="1" applyAlignment="1" applyProtection="1">
      <alignment horizontal="right" vertical="center" wrapText="1" indent="1"/>
    </xf>
    <xf numFmtId="164" fontId="18" fillId="0" borderId="12" xfId="4" applyNumberFormat="1" applyFont="1" applyFill="1" applyBorder="1" applyAlignment="1" applyProtection="1">
      <alignment horizontal="right" vertical="center" wrapText="1" indent="1"/>
    </xf>
    <xf numFmtId="164" fontId="18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8" xfId="4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59" xfId="4" applyFont="1" applyFill="1" applyBorder="1" applyAlignment="1" applyProtection="1">
      <alignment horizontal="center" vertical="center" wrapText="1"/>
    </xf>
    <xf numFmtId="0" fontId="12" fillId="0" borderId="59" xfId="4" applyFont="1" applyFill="1" applyBorder="1" applyAlignment="1" applyProtection="1">
      <alignment vertical="center" wrapText="1"/>
    </xf>
    <xf numFmtId="164" fontId="12" fillId="0" borderId="59" xfId="4" applyNumberFormat="1" applyFont="1" applyFill="1" applyBorder="1" applyAlignment="1" applyProtection="1">
      <alignment horizontal="right" vertical="center" wrapText="1" indent="1"/>
    </xf>
    <xf numFmtId="0" fontId="18" fillId="0" borderId="59" xfId="4" applyFont="1" applyFill="1" applyBorder="1" applyAlignment="1" applyProtection="1">
      <alignment horizontal="right" vertical="center" wrapText="1" indent="1"/>
    </xf>
    <xf numFmtId="164" fontId="6" fillId="0" borderId="59" xfId="4" applyNumberFormat="1" applyFont="1" applyFill="1" applyBorder="1" applyAlignment="1" applyProtection="1">
      <alignment horizontal="right" vertical="center" wrapText="1" indent="1"/>
    </xf>
    <xf numFmtId="0" fontId="24" fillId="0" borderId="0" xfId="4" applyFont="1" applyFill="1" applyBorder="1" applyProtection="1"/>
    <xf numFmtId="0" fontId="15" fillId="0" borderId="60" xfId="4" applyFont="1" applyFill="1" applyBorder="1" applyAlignment="1" applyProtection="1">
      <alignment horizontal="center" vertical="center" wrapText="1"/>
    </xf>
    <xf numFmtId="0" fontId="16" fillId="0" borderId="29" xfId="4" applyFont="1" applyFill="1" applyBorder="1" applyAlignment="1" applyProtection="1">
      <alignment vertical="center" wrapText="1"/>
    </xf>
    <xf numFmtId="164" fontId="16" fillId="0" borderId="29" xfId="4" applyNumberFormat="1" applyFont="1" applyFill="1" applyBorder="1" applyAlignment="1" applyProtection="1">
      <alignment horizontal="right" vertical="center" wrapText="1" indent="1"/>
    </xf>
    <xf numFmtId="164" fontId="18" fillId="0" borderId="12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8" xfId="4" applyNumberFormat="1" applyFont="1" applyFill="1" applyBorder="1" applyAlignment="1" applyProtection="1">
      <alignment horizontal="right" vertical="center" wrapText="1" indent="1"/>
    </xf>
    <xf numFmtId="164" fontId="21" fillId="0" borderId="8" xfId="0" quotePrefix="1" applyNumberFormat="1" applyFont="1" applyBorder="1" applyAlignment="1" applyProtection="1">
      <alignment horizontal="right" vertical="center" wrapText="1" indent="1"/>
      <protection locked="0"/>
    </xf>
    <xf numFmtId="164" fontId="21" fillId="0" borderId="8" xfId="0" quotePrefix="1" applyNumberFormat="1" applyFont="1" applyBorder="1" applyAlignment="1" applyProtection="1">
      <alignment horizontal="right" vertical="center" wrapText="1" indent="1"/>
    </xf>
    <xf numFmtId="164" fontId="23" fillId="0" borderId="33" xfId="4" applyNumberFormat="1" applyFont="1" applyFill="1" applyBorder="1" applyAlignment="1" applyProtection="1">
      <alignment horizontal="left" vertical="center"/>
    </xf>
    <xf numFmtId="164" fontId="12" fillId="0" borderId="0" xfId="4" applyNumberFormat="1" applyFont="1" applyFill="1" applyBorder="1" applyAlignment="1" applyProtection="1">
      <alignment horizontal="center" vertical="center"/>
    </xf>
    <xf numFmtId="164" fontId="23" fillId="0" borderId="33" xfId="4" applyNumberFormat="1" applyFont="1" applyFill="1" applyBorder="1" applyAlignment="1" applyProtection="1">
      <alignment horizontal="left"/>
    </xf>
    <xf numFmtId="0" fontId="7" fillId="0" borderId="0" xfId="4" applyFont="1" applyFill="1" applyAlignment="1" applyProtection="1">
      <alignment horizontal="center"/>
    </xf>
    <xf numFmtId="164" fontId="34" fillId="0" borderId="61" xfId="0" applyNumberFormat="1" applyFont="1" applyFill="1" applyBorder="1" applyAlignment="1" applyProtection="1">
      <alignment horizontal="center" vertical="center" wrapText="1"/>
    </xf>
    <xf numFmtId="164" fontId="34" fillId="0" borderId="62" xfId="0" applyNumberFormat="1" applyFont="1" applyFill="1" applyBorder="1" applyAlignment="1" applyProtection="1">
      <alignment horizontal="center" vertical="center" wrapText="1"/>
    </xf>
    <xf numFmtId="164" fontId="40" fillId="0" borderId="59" xfId="0" applyNumberFormat="1" applyFont="1" applyFill="1" applyBorder="1" applyAlignment="1" applyProtection="1">
      <alignment horizontal="center" vertical="center" wrapText="1"/>
    </xf>
    <xf numFmtId="49" fontId="36" fillId="0" borderId="0" xfId="0" applyNumberFormat="1" applyFont="1" applyFill="1" applyAlignment="1" applyProtection="1">
      <alignment horizontal="right" vertical="center"/>
    </xf>
    <xf numFmtId="164" fontId="34" fillId="0" borderId="63" xfId="0" applyNumberFormat="1" applyFont="1" applyFill="1" applyBorder="1" applyAlignment="1" applyProtection="1">
      <alignment horizontal="center" vertical="center" wrapText="1"/>
    </xf>
    <xf numFmtId="164" fontId="34" fillId="0" borderId="64" xfId="0" applyNumberFormat="1" applyFont="1" applyFill="1" applyBorder="1" applyAlignment="1" applyProtection="1">
      <alignment horizontal="center" vertical="center" wrapText="1"/>
    </xf>
    <xf numFmtId="164" fontId="31" fillId="0" borderId="0" xfId="4" applyNumberFormat="1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right"/>
    </xf>
    <xf numFmtId="0" fontId="14" fillId="0" borderId="17" xfId="4" applyFont="1" applyFill="1" applyBorder="1" applyAlignment="1">
      <alignment horizontal="center" vertical="center" wrapText="1"/>
    </xf>
    <xf numFmtId="0" fontId="14" fillId="0" borderId="28" xfId="4" applyFont="1" applyFill="1" applyBorder="1" applyAlignment="1">
      <alignment horizontal="center" vertical="center" wrapText="1"/>
    </xf>
    <xf numFmtId="0" fontId="14" fillId="0" borderId="25" xfId="4" applyFont="1" applyFill="1" applyBorder="1" applyAlignment="1">
      <alignment horizontal="center" vertical="center" wrapText="1"/>
    </xf>
    <xf numFmtId="0" fontId="14" fillId="0" borderId="34" xfId="4" applyFont="1" applyFill="1" applyBorder="1" applyAlignment="1">
      <alignment horizontal="center" vertical="center" wrapText="1"/>
    </xf>
    <xf numFmtId="0" fontId="14" fillId="0" borderId="16" xfId="4" applyFont="1" applyFill="1" applyBorder="1" applyAlignment="1">
      <alignment horizontal="center" vertical="center" wrapText="1"/>
    </xf>
    <xf numFmtId="0" fontId="14" fillId="0" borderId="35" xfId="4" applyFont="1" applyFill="1" applyBorder="1" applyAlignment="1">
      <alignment horizontal="center" vertical="center" wrapText="1"/>
    </xf>
    <xf numFmtId="0" fontId="35" fillId="0" borderId="0" xfId="0" applyFont="1" applyFill="1" applyBorder="1" applyAlignment="1" applyProtection="1">
      <alignment horizontal="right"/>
    </xf>
    <xf numFmtId="0" fontId="34" fillId="0" borderId="4" xfId="4" applyFont="1" applyFill="1" applyBorder="1" applyAlignment="1" applyProtection="1">
      <alignment horizontal="left"/>
    </xf>
    <xf numFmtId="0" fontId="34" fillId="0" borderId="8" xfId="4" applyFont="1" applyFill="1" applyBorder="1" applyAlignment="1" applyProtection="1">
      <alignment horizontal="left"/>
    </xf>
    <xf numFmtId="0" fontId="18" fillId="0" borderId="59" xfId="4" applyFont="1" applyFill="1" applyBorder="1" applyAlignment="1">
      <alignment horizontal="justify" vertical="center" wrapText="1"/>
    </xf>
    <xf numFmtId="3" fontId="7" fillId="0" borderId="0" xfId="0" applyNumberFormat="1" applyFont="1" applyFill="1" applyAlignment="1">
      <alignment horizontal="center" vertical="center" wrapText="1"/>
    </xf>
    <xf numFmtId="164" fontId="38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 applyProtection="1">
      <alignment horizontal="left"/>
    </xf>
    <xf numFmtId="0" fontId="37" fillId="0" borderId="0" xfId="0" applyFont="1" applyFill="1" applyBorder="1" applyAlignment="1" applyProtection="1">
      <alignment horizontal="right"/>
    </xf>
    <xf numFmtId="0" fontId="34" fillId="0" borderId="21" xfId="0" applyFont="1" applyFill="1" applyBorder="1" applyAlignment="1" applyProtection="1">
      <alignment horizontal="left" indent="1"/>
    </xf>
    <xf numFmtId="0" fontId="34" fillId="0" borderId="10" xfId="0" applyFont="1" applyFill="1" applyBorder="1" applyAlignment="1" applyProtection="1">
      <alignment horizontal="left" indent="1"/>
    </xf>
    <xf numFmtId="0" fontId="34" fillId="0" borderId="32" xfId="0" applyFont="1" applyFill="1" applyBorder="1" applyAlignment="1" applyProtection="1">
      <alignment horizontal="left" indent="1"/>
    </xf>
    <xf numFmtId="0" fontId="6" fillId="0" borderId="16" xfId="0" applyFont="1" applyFill="1" applyBorder="1" applyAlignment="1" applyProtection="1">
      <alignment horizontal="right" indent="1"/>
      <protection locked="0"/>
    </xf>
    <xf numFmtId="0" fontId="6" fillId="0" borderId="17" xfId="0" applyFont="1" applyFill="1" applyBorder="1" applyAlignment="1" applyProtection="1">
      <alignment horizontal="right" indent="1"/>
      <protection locked="0"/>
    </xf>
    <xf numFmtId="0" fontId="6" fillId="0" borderId="35" xfId="0" applyFont="1" applyFill="1" applyBorder="1" applyAlignment="1" applyProtection="1">
      <alignment horizontal="right" indent="1"/>
      <protection locked="0"/>
    </xf>
    <xf numFmtId="0" fontId="6" fillId="0" borderId="28" xfId="0" applyFont="1" applyFill="1" applyBorder="1" applyAlignment="1" applyProtection="1">
      <alignment horizontal="right" indent="1"/>
      <protection locked="0"/>
    </xf>
    <xf numFmtId="0" fontId="16" fillId="0" borderId="8" xfId="0" applyFont="1" applyFill="1" applyBorder="1" applyAlignment="1" applyProtection="1">
      <alignment horizontal="right" indent="1"/>
    </xf>
    <xf numFmtId="0" fontId="16" fillId="0" borderId="9" xfId="0" applyFont="1" applyFill="1" applyBorder="1" applyAlignment="1" applyProtection="1">
      <alignment horizontal="right" indent="1"/>
    </xf>
    <xf numFmtId="0" fontId="34" fillId="0" borderId="2" xfId="0" applyFont="1" applyFill="1" applyBorder="1" applyAlignment="1" applyProtection="1">
      <alignment horizontal="center"/>
    </xf>
    <xf numFmtId="0" fontId="34" fillId="0" borderId="3" xfId="0" applyFont="1" applyFill="1" applyBorder="1" applyAlignment="1" applyProtection="1">
      <alignment horizontal="center"/>
    </xf>
    <xf numFmtId="0" fontId="34" fillId="0" borderId="65" xfId="0" applyFont="1" applyFill="1" applyBorder="1" applyAlignment="1" applyProtection="1">
      <alignment horizontal="center"/>
    </xf>
    <xf numFmtId="0" fontId="34" fillId="0" borderId="59" xfId="0" applyFont="1" applyFill="1" applyBorder="1" applyAlignment="1" applyProtection="1">
      <alignment horizontal="center"/>
    </xf>
    <xf numFmtId="0" fontId="34" fillId="0" borderId="66" xfId="0" applyFont="1" applyFill="1" applyBorder="1" applyAlignment="1" applyProtection="1">
      <alignment horizontal="center"/>
    </xf>
    <xf numFmtId="0" fontId="6" fillId="0" borderId="15" xfId="0" applyFont="1" applyFill="1" applyBorder="1" applyAlignment="1" applyProtection="1">
      <alignment horizontal="left" indent="1"/>
      <protection locked="0"/>
    </xf>
    <xf numFmtId="0" fontId="6" fillId="0" borderId="67" xfId="0" applyFont="1" applyFill="1" applyBorder="1" applyAlignment="1" applyProtection="1">
      <alignment horizontal="left" indent="1"/>
      <protection locked="0"/>
    </xf>
    <xf numFmtId="0" fontId="6" fillId="0" borderId="68" xfId="0" applyFont="1" applyFill="1" applyBorder="1" applyAlignment="1" applyProtection="1">
      <alignment horizontal="left" indent="1"/>
      <protection locked="0"/>
    </xf>
    <xf numFmtId="0" fontId="6" fillId="0" borderId="22" xfId="0" applyFont="1" applyFill="1" applyBorder="1" applyAlignment="1" applyProtection="1">
      <alignment horizontal="left" indent="1"/>
      <protection locked="0"/>
    </xf>
    <xf numFmtId="0" fontId="6" fillId="0" borderId="23" xfId="0" applyFont="1" applyFill="1" applyBorder="1" applyAlignment="1" applyProtection="1">
      <alignment horizontal="left" indent="1"/>
      <protection locked="0"/>
    </xf>
    <xf numFmtId="0" fontId="6" fillId="0" borderId="54" xfId="0" applyFont="1" applyFill="1" applyBorder="1" applyAlignment="1" applyProtection="1">
      <alignment horizontal="left" indent="1"/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7" fillId="0" borderId="0" xfId="0" applyFont="1" applyFill="1" applyAlignment="1">
      <alignment horizontal="center" wrapText="1"/>
    </xf>
    <xf numFmtId="164" fontId="14" fillId="0" borderId="0" xfId="4" applyNumberFormat="1" applyFont="1" applyFill="1" applyBorder="1" applyAlignment="1" applyProtection="1">
      <alignment horizontal="center" vertical="center"/>
    </xf>
    <xf numFmtId="164" fontId="37" fillId="0" borderId="33" xfId="4" applyNumberFormat="1" applyFont="1" applyFill="1" applyBorder="1" applyAlignment="1" applyProtection="1">
      <alignment horizontal="left"/>
    </xf>
    <xf numFmtId="164" fontId="37" fillId="0" borderId="33" xfId="4" applyNumberFormat="1" applyFont="1" applyFill="1" applyBorder="1" applyAlignment="1" applyProtection="1">
      <alignment horizontal="left" vertical="center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34" fillId="0" borderId="21" xfId="0" applyNumberFormat="1" applyFont="1" applyFill="1" applyBorder="1" applyAlignment="1" applyProtection="1">
      <alignment horizontal="left" vertical="center" wrapText="1" indent="2"/>
    </xf>
    <xf numFmtId="164" fontId="34" fillId="0" borderId="31" xfId="0" applyNumberFormat="1" applyFont="1" applyFill="1" applyBorder="1" applyAlignment="1" applyProtection="1">
      <alignment horizontal="left" vertical="center" wrapText="1" indent="2"/>
    </xf>
    <xf numFmtId="164" fontId="34" fillId="0" borderId="61" xfId="0" applyNumberFormat="1" applyFont="1" applyFill="1" applyBorder="1" applyAlignment="1" applyProtection="1">
      <alignment horizontal="center" vertical="center"/>
    </xf>
    <xf numFmtId="164" fontId="34" fillId="0" borderId="62" xfId="0" applyNumberFormat="1" applyFont="1" applyFill="1" applyBorder="1" applyAlignment="1" applyProtection="1">
      <alignment horizontal="center" vertical="center"/>
    </xf>
    <xf numFmtId="164" fontId="34" fillId="0" borderId="15" xfId="0" applyNumberFormat="1" applyFont="1" applyFill="1" applyBorder="1" applyAlignment="1" applyProtection="1">
      <alignment horizontal="center" vertical="center"/>
    </xf>
    <xf numFmtId="164" fontId="34" fillId="0" borderId="67" xfId="0" applyNumberFormat="1" applyFont="1" applyFill="1" applyBorder="1" applyAlignment="1" applyProtection="1">
      <alignment horizontal="center" vertical="center"/>
    </xf>
    <xf numFmtId="164" fontId="34" fillId="0" borderId="42" xfId="0" applyNumberFormat="1" applyFont="1" applyFill="1" applyBorder="1" applyAlignment="1" applyProtection="1">
      <alignment horizontal="center" vertical="center"/>
    </xf>
    <xf numFmtId="0" fontId="6" fillId="0" borderId="59" xfId="0" applyFont="1" applyFill="1" applyBorder="1" applyAlignment="1">
      <alignment horizontal="justify" vertical="center" wrapText="1"/>
    </xf>
    <xf numFmtId="0" fontId="44" fillId="0" borderId="0" xfId="0" applyFont="1" applyAlignment="1">
      <alignment horizontal="center" wrapText="1"/>
    </xf>
    <xf numFmtId="0" fontId="8" fillId="0" borderId="50" xfId="5" applyFont="1" applyFill="1" applyBorder="1" applyAlignment="1" applyProtection="1">
      <alignment horizontal="left" vertical="center" indent="1"/>
    </xf>
    <xf numFmtId="0" fontId="8" fillId="0" borderId="10" xfId="5" applyFont="1" applyFill="1" applyBorder="1" applyAlignment="1" applyProtection="1">
      <alignment horizontal="left" vertical="center" indent="1"/>
    </xf>
    <xf numFmtId="0" fontId="8" fillId="0" borderId="31" xfId="5" applyFont="1" applyFill="1" applyBorder="1" applyAlignment="1" applyProtection="1">
      <alignment horizontal="left" vertical="center" indent="1"/>
    </xf>
    <xf numFmtId="0" fontId="7" fillId="0" borderId="0" xfId="5" applyFont="1" applyFill="1" applyAlignment="1" applyProtection="1">
      <alignment horizontal="center" wrapText="1"/>
    </xf>
    <xf numFmtId="0" fontId="7" fillId="0" borderId="0" xfId="5" applyFont="1" applyFill="1" applyAlignment="1" applyProtection="1">
      <alignment horizontal="center"/>
    </xf>
    <xf numFmtId="0" fontId="8" fillId="0" borderId="0" xfId="0" applyFont="1" applyAlignment="1" applyProtection="1">
      <alignment horizontal="right"/>
    </xf>
    <xf numFmtId="0" fontId="7" fillId="0" borderId="0" xfId="0" applyFont="1" applyAlignment="1">
      <alignment horizontal="center" wrapText="1"/>
    </xf>
    <xf numFmtId="0" fontId="7" fillId="0" borderId="21" xfId="0" applyFont="1" applyBorder="1" applyAlignment="1" applyProtection="1">
      <alignment horizontal="left" vertical="center" indent="2"/>
    </xf>
    <xf numFmtId="0" fontId="7" fillId="0" borderId="32" xfId="0" applyFont="1" applyBorder="1" applyAlignment="1" applyProtection="1">
      <alignment horizontal="left" vertical="center" indent="2"/>
    </xf>
  </cellXfs>
  <cellStyles count="6">
    <cellStyle name="Ezres" xfId="1" builtinId="3"/>
    <cellStyle name="Hiperhivatkozás" xfId="2"/>
    <cellStyle name="Már látott hiperhivatkozás" xfId="3"/>
    <cellStyle name="Normál" xfId="0" builtinId="0"/>
    <cellStyle name="Normál_KVRENMUNKA" xfId="4"/>
    <cellStyle name="Normál_SEGEDLETEK" xfId="5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enzugy3\Asztal\K&#246;lts&#233;gvet&#233;s\K&#246;lts&#233;gvet&#233;s-2015\Ktgv-2015-M&#369;v.H&#225;z\Ktgv.2.m&#243;d-2015.09-M&#369;v.H&#225;z\Ktgv.2.m&#243;d-2015.09-M&#369;v.H&#225;z\Ktgv.2.m&#243;d-ervik-M&#369;v.H-2015.0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 sz. mell (2-1)"/>
      <sheetName val="9.2. sz. mell (2-2)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>
    <tabColor rgb="FFFFC000"/>
  </sheetPr>
  <dimension ref="A1:F159"/>
  <sheetViews>
    <sheetView view="pageLayout" topLeftCell="A89" zoomScaleNormal="100" zoomScaleSheetLayoutView="100" workbookViewId="0">
      <selection activeCell="D106" sqref="D106"/>
    </sheetView>
  </sheetViews>
  <sheetFormatPr defaultRowHeight="15.75"/>
  <cols>
    <col min="1" max="1" width="9.5" style="98" customWidth="1"/>
    <col min="2" max="2" width="71.6640625" style="98" customWidth="1"/>
    <col min="3" max="4" width="21.6640625" style="173" customWidth="1"/>
    <col min="5" max="16384" width="9.33203125" style="98"/>
  </cols>
  <sheetData>
    <row r="1" spans="1:6" ht="15.95" customHeight="1">
      <c r="A1" s="691" t="s">
        <v>13</v>
      </c>
      <c r="B1" s="691"/>
      <c r="C1" s="98"/>
      <c r="D1" s="98"/>
    </row>
    <row r="2" spans="1:6" ht="15.95" customHeight="1" thickBot="1">
      <c r="A2" s="690" t="s">
        <v>144</v>
      </c>
      <c r="B2" s="690"/>
      <c r="C2" s="99"/>
      <c r="D2" s="99"/>
    </row>
    <row r="3" spans="1:6" ht="38.1" customHeight="1" thickBot="1">
      <c r="A3" s="100" t="s">
        <v>66</v>
      </c>
      <c r="B3" s="101" t="s">
        <v>15</v>
      </c>
      <c r="C3" s="43" t="s">
        <v>613</v>
      </c>
      <c r="D3" s="43" t="s">
        <v>709</v>
      </c>
      <c r="F3" s="199"/>
    </row>
    <row r="4" spans="1:6" s="105" customFormat="1" ht="12" customHeight="1" thickBot="1">
      <c r="A4" s="102" t="s">
        <v>487</v>
      </c>
      <c r="B4" s="103" t="s">
        <v>488</v>
      </c>
      <c r="C4" s="104" t="s">
        <v>489</v>
      </c>
      <c r="D4" s="104" t="s">
        <v>489</v>
      </c>
    </row>
    <row r="5" spans="1:6" s="109" customFormat="1" ht="12" customHeight="1" thickBot="1">
      <c r="A5" s="106" t="s">
        <v>16</v>
      </c>
      <c r="B5" s="107" t="s">
        <v>245</v>
      </c>
      <c r="C5" s="108">
        <f>+C6+C7+C8+C9+C10+C11</f>
        <v>214106236</v>
      </c>
      <c r="D5" s="108">
        <f>+D6+D7+D8+D9+D10+D11</f>
        <v>215080283</v>
      </c>
    </row>
    <row r="6" spans="1:6" s="109" customFormat="1" ht="12" customHeight="1">
      <c r="A6" s="110" t="s">
        <v>95</v>
      </c>
      <c r="B6" s="111" t="s">
        <v>246</v>
      </c>
      <c r="C6" s="112">
        <v>116822015</v>
      </c>
      <c r="D6" s="112">
        <v>116822015</v>
      </c>
    </row>
    <row r="7" spans="1:6" s="109" customFormat="1" ht="12" customHeight="1">
      <c r="A7" s="113" t="s">
        <v>96</v>
      </c>
      <c r="B7" s="114" t="s">
        <v>247</v>
      </c>
      <c r="C7" s="115">
        <v>54429080</v>
      </c>
      <c r="D7" s="115">
        <v>54429080</v>
      </c>
    </row>
    <row r="8" spans="1:6" s="109" customFormat="1" ht="12" customHeight="1">
      <c r="A8" s="113" t="s">
        <v>97</v>
      </c>
      <c r="B8" s="114" t="s">
        <v>248</v>
      </c>
      <c r="C8" s="115">
        <v>40034781</v>
      </c>
      <c r="D8" s="115">
        <v>40034781</v>
      </c>
    </row>
    <row r="9" spans="1:6" s="109" customFormat="1" ht="12" customHeight="1">
      <c r="A9" s="113" t="s">
        <v>98</v>
      </c>
      <c r="B9" s="114" t="s">
        <v>249</v>
      </c>
      <c r="C9" s="115">
        <v>2820360</v>
      </c>
      <c r="D9" s="115">
        <v>3099983</v>
      </c>
    </row>
    <row r="10" spans="1:6" s="109" customFormat="1" ht="12" customHeight="1">
      <c r="A10" s="113" t="s">
        <v>141</v>
      </c>
      <c r="B10" s="116" t="s">
        <v>430</v>
      </c>
      <c r="C10" s="115"/>
      <c r="D10" s="115">
        <v>694424</v>
      </c>
    </row>
    <row r="11" spans="1:6" s="109" customFormat="1" ht="12" customHeight="1" thickBot="1">
      <c r="A11" s="117" t="s">
        <v>99</v>
      </c>
      <c r="B11" s="118" t="s">
        <v>431</v>
      </c>
      <c r="C11" s="115"/>
      <c r="D11" s="115"/>
    </row>
    <row r="12" spans="1:6" s="109" customFormat="1" ht="12" customHeight="1" thickBot="1">
      <c r="A12" s="106" t="s">
        <v>17</v>
      </c>
      <c r="B12" s="119" t="s">
        <v>250</v>
      </c>
      <c r="C12" s="108">
        <f>+C13+C14+C15+C16+C17</f>
        <v>56851987</v>
      </c>
      <c r="D12" s="108">
        <f>+D13+D14+D15+D16+D17</f>
        <v>66170635</v>
      </c>
    </row>
    <row r="13" spans="1:6" s="109" customFormat="1" ht="12" customHeight="1">
      <c r="A13" s="110" t="s">
        <v>101</v>
      </c>
      <c r="B13" s="111" t="s">
        <v>251</v>
      </c>
      <c r="C13" s="112"/>
      <c r="D13" s="112"/>
    </row>
    <row r="14" spans="1:6" s="109" customFormat="1" ht="12" customHeight="1">
      <c r="A14" s="113" t="s">
        <v>102</v>
      </c>
      <c r="B14" s="114" t="s">
        <v>252</v>
      </c>
      <c r="C14" s="115"/>
      <c r="D14" s="115"/>
    </row>
    <row r="15" spans="1:6" s="109" customFormat="1" ht="12" customHeight="1">
      <c r="A15" s="113" t="s">
        <v>103</v>
      </c>
      <c r="B15" s="114" t="s">
        <v>420</v>
      </c>
      <c r="C15" s="115"/>
      <c r="D15" s="115"/>
    </row>
    <row r="16" spans="1:6" s="109" customFormat="1" ht="12" customHeight="1">
      <c r="A16" s="113" t="s">
        <v>104</v>
      </c>
      <c r="B16" s="114" t="s">
        <v>421</v>
      </c>
      <c r="C16" s="115"/>
      <c r="D16" s="115"/>
    </row>
    <row r="17" spans="1:4" s="109" customFormat="1" ht="12" customHeight="1">
      <c r="A17" s="113" t="s">
        <v>105</v>
      </c>
      <c r="B17" s="114" t="s">
        <v>253</v>
      </c>
      <c r="C17" s="115">
        <f>55885159+966828</f>
        <v>56851987</v>
      </c>
      <c r="D17" s="115">
        <f>65203807+966828</f>
        <v>66170635</v>
      </c>
    </row>
    <row r="18" spans="1:4" s="109" customFormat="1" ht="12" customHeight="1" thickBot="1">
      <c r="A18" s="117" t="s">
        <v>114</v>
      </c>
      <c r="B18" s="118" t="s">
        <v>254</v>
      </c>
      <c r="C18" s="120"/>
      <c r="D18" s="120"/>
    </row>
    <row r="19" spans="1:4" s="109" customFormat="1" ht="12" customHeight="1" thickBot="1">
      <c r="A19" s="106" t="s">
        <v>18</v>
      </c>
      <c r="B19" s="107" t="s">
        <v>255</v>
      </c>
      <c r="C19" s="108">
        <f>+C20+C21+C22+C23+C24</f>
        <v>0</v>
      </c>
      <c r="D19" s="108">
        <f>+D20+D21+D22+D23+D24</f>
        <v>0</v>
      </c>
    </row>
    <row r="20" spans="1:4" s="109" customFormat="1" ht="12" customHeight="1">
      <c r="A20" s="110" t="s">
        <v>84</v>
      </c>
      <c r="B20" s="111" t="s">
        <v>256</v>
      </c>
      <c r="C20" s="112"/>
      <c r="D20" s="112"/>
    </row>
    <row r="21" spans="1:4" s="109" customFormat="1" ht="12" customHeight="1">
      <c r="A21" s="113" t="s">
        <v>85</v>
      </c>
      <c r="B21" s="114" t="s">
        <v>257</v>
      </c>
      <c r="C21" s="115"/>
      <c r="D21" s="115"/>
    </row>
    <row r="22" spans="1:4" s="109" customFormat="1" ht="12" customHeight="1">
      <c r="A22" s="113" t="s">
        <v>86</v>
      </c>
      <c r="B22" s="114" t="s">
        <v>422</v>
      </c>
      <c r="C22" s="115"/>
      <c r="D22" s="115"/>
    </row>
    <row r="23" spans="1:4" s="109" customFormat="1" ht="12" customHeight="1">
      <c r="A23" s="113" t="s">
        <v>87</v>
      </c>
      <c r="B23" s="114" t="s">
        <v>423</v>
      </c>
      <c r="C23" s="115"/>
      <c r="D23" s="115"/>
    </row>
    <row r="24" spans="1:4" s="109" customFormat="1" ht="12" customHeight="1">
      <c r="A24" s="113" t="s">
        <v>162</v>
      </c>
      <c r="B24" s="114" t="s">
        <v>258</v>
      </c>
      <c r="C24" s="115"/>
      <c r="D24" s="115"/>
    </row>
    <row r="25" spans="1:4" s="109" customFormat="1" ht="12" customHeight="1" thickBot="1">
      <c r="A25" s="117" t="s">
        <v>163</v>
      </c>
      <c r="B25" s="121" t="s">
        <v>259</v>
      </c>
      <c r="C25" s="120"/>
      <c r="D25" s="120"/>
    </row>
    <row r="26" spans="1:4" s="109" customFormat="1" ht="12" customHeight="1" thickBot="1">
      <c r="A26" s="106" t="s">
        <v>164</v>
      </c>
      <c r="B26" s="107" t="s">
        <v>260</v>
      </c>
      <c r="C26" s="122">
        <f>+C27+C31+C32+C33</f>
        <v>124930000</v>
      </c>
      <c r="D26" s="122">
        <f>+D27+D31+D32+D33</f>
        <v>124930000</v>
      </c>
    </row>
    <row r="27" spans="1:4" s="109" customFormat="1" ht="12" customHeight="1">
      <c r="A27" s="110" t="s">
        <v>261</v>
      </c>
      <c r="B27" s="111" t="s">
        <v>437</v>
      </c>
      <c r="C27" s="123">
        <f>+C28+C29+C30</f>
        <v>90400000</v>
      </c>
      <c r="D27" s="123">
        <f>+D28+D29+D30</f>
        <v>90400000</v>
      </c>
    </row>
    <row r="28" spans="1:4" s="109" customFormat="1" ht="12" customHeight="1">
      <c r="A28" s="113" t="s">
        <v>262</v>
      </c>
      <c r="B28" s="114" t="s">
        <v>267</v>
      </c>
      <c r="C28" s="115">
        <f>73070+55326930</f>
        <v>55400000</v>
      </c>
      <c r="D28" s="115">
        <v>55400000</v>
      </c>
    </row>
    <row r="29" spans="1:4" s="109" customFormat="1" ht="12" customHeight="1">
      <c r="A29" s="113" t="s">
        <v>263</v>
      </c>
      <c r="B29" s="114" t="s">
        <v>268</v>
      </c>
      <c r="C29" s="115"/>
      <c r="D29" s="115"/>
    </row>
    <row r="30" spans="1:4" s="109" customFormat="1" ht="12" customHeight="1">
      <c r="A30" s="113" t="s">
        <v>435</v>
      </c>
      <c r="B30" s="124" t="s">
        <v>436</v>
      </c>
      <c r="C30" s="115">
        <v>35000000</v>
      </c>
      <c r="D30" s="115">
        <v>35000000</v>
      </c>
    </row>
    <row r="31" spans="1:4" s="109" customFormat="1" ht="12" customHeight="1">
      <c r="A31" s="113" t="s">
        <v>264</v>
      </c>
      <c r="B31" s="114" t="s">
        <v>269</v>
      </c>
      <c r="C31" s="115">
        <v>7400000</v>
      </c>
      <c r="D31" s="115">
        <v>7400000</v>
      </c>
    </row>
    <row r="32" spans="1:4" s="109" customFormat="1" ht="12" customHeight="1">
      <c r="A32" s="113" t="s">
        <v>265</v>
      </c>
      <c r="B32" s="114" t="s">
        <v>270</v>
      </c>
      <c r="C32" s="115">
        <v>27000000</v>
      </c>
      <c r="D32" s="115">
        <v>26500000</v>
      </c>
    </row>
    <row r="33" spans="1:4" s="109" customFormat="1" ht="12" customHeight="1" thickBot="1">
      <c r="A33" s="117" t="s">
        <v>266</v>
      </c>
      <c r="B33" s="121" t="s">
        <v>271</v>
      </c>
      <c r="C33" s="120">
        <v>130000</v>
      </c>
      <c r="D33" s="120">
        <v>630000</v>
      </c>
    </row>
    <row r="34" spans="1:4" s="109" customFormat="1" ht="12" customHeight="1" thickBot="1">
      <c r="A34" s="106" t="s">
        <v>20</v>
      </c>
      <c r="B34" s="107" t="s">
        <v>432</v>
      </c>
      <c r="C34" s="108">
        <f>SUM(C35:C45)</f>
        <v>115514171</v>
      </c>
      <c r="D34" s="108">
        <f>SUM(D35:D45)</f>
        <v>116341787</v>
      </c>
    </row>
    <row r="35" spans="1:4" s="109" customFormat="1" ht="12" customHeight="1">
      <c r="A35" s="110" t="s">
        <v>88</v>
      </c>
      <c r="B35" s="111" t="s">
        <v>274</v>
      </c>
      <c r="C35" s="112"/>
      <c r="D35" s="112"/>
    </row>
    <row r="36" spans="1:4" s="109" customFormat="1" ht="12" customHeight="1">
      <c r="A36" s="113" t="s">
        <v>89</v>
      </c>
      <c r="B36" s="114" t="s">
        <v>275</v>
      </c>
      <c r="C36" s="115">
        <f>3510650+82842935</f>
        <v>86353585</v>
      </c>
      <c r="D36" s="115">
        <f>3510650+82653272</f>
        <v>86163922</v>
      </c>
    </row>
    <row r="37" spans="1:4" s="109" customFormat="1" ht="12" customHeight="1">
      <c r="A37" s="113" t="s">
        <v>90</v>
      </c>
      <c r="B37" s="114" t="s">
        <v>276</v>
      </c>
      <c r="C37" s="115">
        <f>60000+2400000</f>
        <v>2460000</v>
      </c>
      <c r="D37" s="115">
        <f>618000+2400000</f>
        <v>3018000</v>
      </c>
    </row>
    <row r="38" spans="1:4" s="109" customFormat="1" ht="12" customHeight="1">
      <c r="A38" s="113" t="s">
        <v>166</v>
      </c>
      <c r="B38" s="114" t="s">
        <v>277</v>
      </c>
      <c r="C38" s="115"/>
      <c r="D38" s="115"/>
    </row>
    <row r="39" spans="1:4" s="109" customFormat="1" ht="12" customHeight="1">
      <c r="A39" s="113" t="s">
        <v>167</v>
      </c>
      <c r="B39" s="114" t="s">
        <v>278</v>
      </c>
      <c r="C39" s="115">
        <v>1500000</v>
      </c>
      <c r="D39" s="115">
        <v>1500000</v>
      </c>
    </row>
    <row r="40" spans="1:4" s="109" customFormat="1" ht="12" customHeight="1">
      <c r="A40" s="113" t="s">
        <v>168</v>
      </c>
      <c r="B40" s="114" t="s">
        <v>279</v>
      </c>
      <c r="C40" s="115">
        <f>405000+24765346</f>
        <v>25170346</v>
      </c>
      <c r="D40" s="115">
        <f>405000+24809825</f>
        <v>25214825</v>
      </c>
    </row>
    <row r="41" spans="1:4" s="109" customFormat="1" ht="12" customHeight="1">
      <c r="A41" s="113" t="s">
        <v>169</v>
      </c>
      <c r="B41" s="114" t="s">
        <v>280</v>
      </c>
      <c r="C41" s="115"/>
      <c r="D41" s="115"/>
    </row>
    <row r="42" spans="1:4" s="109" customFormat="1" ht="12" customHeight="1">
      <c r="A42" s="113" t="s">
        <v>170</v>
      </c>
      <c r="B42" s="114" t="s">
        <v>281</v>
      </c>
      <c r="C42" s="115">
        <f>240+30000</f>
        <v>30240</v>
      </c>
      <c r="D42" s="115">
        <f>240+30000</f>
        <v>30240</v>
      </c>
    </row>
    <row r="43" spans="1:4" s="109" customFormat="1" ht="12" customHeight="1">
      <c r="A43" s="113" t="s">
        <v>272</v>
      </c>
      <c r="B43" s="114" t="s">
        <v>282</v>
      </c>
      <c r="C43" s="125"/>
      <c r="D43" s="125"/>
    </row>
    <row r="44" spans="1:4" s="109" customFormat="1" ht="12" customHeight="1">
      <c r="A44" s="117" t="s">
        <v>273</v>
      </c>
      <c r="B44" s="121" t="s">
        <v>434</v>
      </c>
      <c r="C44" s="126"/>
      <c r="D44" s="126"/>
    </row>
    <row r="45" spans="1:4" s="109" customFormat="1" ht="12" customHeight="1" thickBot="1">
      <c r="A45" s="117" t="s">
        <v>433</v>
      </c>
      <c r="B45" s="118" t="s">
        <v>283</v>
      </c>
      <c r="C45" s="126"/>
      <c r="D45" s="126">
        <f>24000+390800</f>
        <v>414800</v>
      </c>
    </row>
    <row r="46" spans="1:4" s="109" customFormat="1" ht="12" customHeight="1" thickBot="1">
      <c r="A46" s="106" t="s">
        <v>21</v>
      </c>
      <c r="B46" s="107" t="s">
        <v>284</v>
      </c>
      <c r="C46" s="108">
        <f>SUM(C47:C51)</f>
        <v>6480567</v>
      </c>
      <c r="D46" s="108">
        <f>SUM(D47:D51)</f>
        <v>6480567</v>
      </c>
    </row>
    <row r="47" spans="1:4" s="109" customFormat="1" ht="12" customHeight="1">
      <c r="A47" s="110" t="s">
        <v>91</v>
      </c>
      <c r="B47" s="111" t="s">
        <v>288</v>
      </c>
      <c r="C47" s="127"/>
      <c r="D47" s="127"/>
    </row>
    <row r="48" spans="1:4" s="109" customFormat="1" ht="12" customHeight="1">
      <c r="A48" s="113" t="s">
        <v>92</v>
      </c>
      <c r="B48" s="114" t="s">
        <v>289</v>
      </c>
      <c r="C48" s="125">
        <v>6480567</v>
      </c>
      <c r="D48" s="125">
        <v>6480567</v>
      </c>
    </row>
    <row r="49" spans="1:4" s="109" customFormat="1" ht="12" customHeight="1">
      <c r="A49" s="113" t="s">
        <v>285</v>
      </c>
      <c r="B49" s="114" t="s">
        <v>290</v>
      </c>
      <c r="C49" s="125"/>
      <c r="D49" s="125"/>
    </row>
    <row r="50" spans="1:4" s="109" customFormat="1" ht="12" customHeight="1">
      <c r="A50" s="113" t="s">
        <v>286</v>
      </c>
      <c r="B50" s="114" t="s">
        <v>291</v>
      </c>
      <c r="C50" s="125"/>
      <c r="D50" s="125"/>
    </row>
    <row r="51" spans="1:4" s="109" customFormat="1" ht="12" customHeight="1" thickBot="1">
      <c r="A51" s="117" t="s">
        <v>287</v>
      </c>
      <c r="B51" s="118" t="s">
        <v>292</v>
      </c>
      <c r="C51" s="126"/>
      <c r="D51" s="126"/>
    </row>
    <row r="52" spans="1:4" s="109" customFormat="1" ht="12" customHeight="1" thickBot="1">
      <c r="A52" s="106" t="s">
        <v>171</v>
      </c>
      <c r="B52" s="107" t="s">
        <v>293</v>
      </c>
      <c r="C52" s="108">
        <f>SUM(C53:C55)</f>
        <v>293300</v>
      </c>
      <c r="D52" s="108">
        <f>SUM(D53:D55)</f>
        <v>343300</v>
      </c>
    </row>
    <row r="53" spans="1:4" s="109" customFormat="1" ht="12" customHeight="1">
      <c r="A53" s="110" t="s">
        <v>93</v>
      </c>
      <c r="B53" s="111" t="s">
        <v>294</v>
      </c>
      <c r="C53" s="112"/>
      <c r="D53" s="112"/>
    </row>
    <row r="54" spans="1:4" s="109" customFormat="1" ht="12" customHeight="1">
      <c r="A54" s="113" t="s">
        <v>94</v>
      </c>
      <c r="B54" s="114" t="s">
        <v>424</v>
      </c>
      <c r="C54" s="115"/>
      <c r="D54" s="115"/>
    </row>
    <row r="55" spans="1:4" s="109" customFormat="1" ht="12" customHeight="1">
      <c r="A55" s="113" t="s">
        <v>297</v>
      </c>
      <c r="B55" s="114" t="s">
        <v>295</v>
      </c>
      <c r="C55" s="115">
        <v>293300</v>
      </c>
      <c r="D55" s="115">
        <f>293300+50000</f>
        <v>343300</v>
      </c>
    </row>
    <row r="56" spans="1:4" s="109" customFormat="1" ht="12" customHeight="1" thickBot="1">
      <c r="A56" s="117" t="s">
        <v>298</v>
      </c>
      <c r="B56" s="118" t="s">
        <v>296</v>
      </c>
      <c r="C56" s="120"/>
      <c r="D56" s="120"/>
    </row>
    <row r="57" spans="1:4" s="109" customFormat="1" ht="12" customHeight="1" thickBot="1">
      <c r="A57" s="106" t="s">
        <v>23</v>
      </c>
      <c r="B57" s="119" t="s">
        <v>299</v>
      </c>
      <c r="C57" s="108">
        <f>SUM(C58:C60)</f>
        <v>70000</v>
      </c>
      <c r="D57" s="108">
        <f>SUM(D58:D60)</f>
        <v>70000</v>
      </c>
    </row>
    <row r="58" spans="1:4" s="109" customFormat="1" ht="12" customHeight="1">
      <c r="A58" s="110" t="s">
        <v>172</v>
      </c>
      <c r="B58" s="111" t="s">
        <v>301</v>
      </c>
      <c r="C58" s="125"/>
      <c r="D58" s="125"/>
    </row>
    <row r="59" spans="1:4" s="109" customFormat="1" ht="12" customHeight="1">
      <c r="A59" s="113" t="s">
        <v>173</v>
      </c>
      <c r="B59" s="114" t="s">
        <v>425</v>
      </c>
      <c r="C59" s="125">
        <v>70000</v>
      </c>
      <c r="D59" s="125">
        <v>70000</v>
      </c>
    </row>
    <row r="60" spans="1:4" s="109" customFormat="1" ht="12" customHeight="1">
      <c r="A60" s="113" t="s">
        <v>221</v>
      </c>
      <c r="B60" s="114" t="s">
        <v>302</v>
      </c>
      <c r="C60" s="125"/>
      <c r="D60" s="125"/>
    </row>
    <row r="61" spans="1:4" s="109" customFormat="1" ht="12" customHeight="1" thickBot="1">
      <c r="A61" s="117" t="s">
        <v>300</v>
      </c>
      <c r="B61" s="118" t="s">
        <v>303</v>
      </c>
      <c r="C61" s="125"/>
      <c r="D61" s="125"/>
    </row>
    <row r="62" spans="1:4" s="109" customFormat="1" ht="12" customHeight="1" thickBot="1">
      <c r="A62" s="128" t="s">
        <v>476</v>
      </c>
      <c r="B62" s="107" t="s">
        <v>304</v>
      </c>
      <c r="C62" s="122">
        <f>+C5+C12+C19+C26+C34+C46+C52+C57</f>
        <v>518246261</v>
      </c>
      <c r="D62" s="122">
        <f>+D5+D12+D19+D26+D34+D46+D52+D57</f>
        <v>529416572</v>
      </c>
    </row>
    <row r="63" spans="1:4" s="109" customFormat="1" ht="12" customHeight="1" thickBot="1">
      <c r="A63" s="129" t="s">
        <v>305</v>
      </c>
      <c r="B63" s="119" t="s">
        <v>306</v>
      </c>
      <c r="C63" s="108">
        <f>SUM(C64:C66)</f>
        <v>0</v>
      </c>
      <c r="D63" s="108">
        <f>SUM(D64:D66)</f>
        <v>0</v>
      </c>
    </row>
    <row r="64" spans="1:4" s="109" customFormat="1" ht="12" customHeight="1">
      <c r="A64" s="110" t="s">
        <v>337</v>
      </c>
      <c r="B64" s="111" t="s">
        <v>307</v>
      </c>
      <c r="C64" s="125"/>
      <c r="D64" s="125"/>
    </row>
    <row r="65" spans="1:4" s="109" customFormat="1" ht="12" customHeight="1">
      <c r="A65" s="113" t="s">
        <v>346</v>
      </c>
      <c r="B65" s="114" t="s">
        <v>308</v>
      </c>
      <c r="C65" s="125"/>
      <c r="D65" s="125"/>
    </row>
    <row r="66" spans="1:4" s="109" customFormat="1" ht="12" customHeight="1" thickBot="1">
      <c r="A66" s="117" t="s">
        <v>347</v>
      </c>
      <c r="B66" s="130" t="s">
        <v>461</v>
      </c>
      <c r="C66" s="125"/>
      <c r="D66" s="125"/>
    </row>
    <row r="67" spans="1:4" s="109" customFormat="1" ht="12" customHeight="1" thickBot="1">
      <c r="A67" s="129" t="s">
        <v>310</v>
      </c>
      <c r="B67" s="119" t="s">
        <v>311</v>
      </c>
      <c r="C67" s="108">
        <f>SUM(C68:C71)</f>
        <v>0</v>
      </c>
      <c r="D67" s="108">
        <f>SUM(D68:D71)</f>
        <v>0</v>
      </c>
    </row>
    <row r="68" spans="1:4" s="109" customFormat="1" ht="12" customHeight="1">
      <c r="A68" s="110" t="s">
        <v>142</v>
      </c>
      <c r="B68" s="111" t="s">
        <v>312</v>
      </c>
      <c r="C68" s="125"/>
      <c r="D68" s="125"/>
    </row>
    <row r="69" spans="1:4" s="109" customFormat="1" ht="12" customHeight="1">
      <c r="A69" s="113" t="s">
        <v>143</v>
      </c>
      <c r="B69" s="114" t="s">
        <v>313</v>
      </c>
      <c r="C69" s="125"/>
      <c r="D69" s="125"/>
    </row>
    <row r="70" spans="1:4" s="109" customFormat="1" ht="12" customHeight="1">
      <c r="A70" s="113" t="s">
        <v>338</v>
      </c>
      <c r="B70" s="114" t="s">
        <v>314</v>
      </c>
      <c r="C70" s="125"/>
      <c r="D70" s="125"/>
    </row>
    <row r="71" spans="1:4" s="109" customFormat="1" ht="12" customHeight="1" thickBot="1">
      <c r="A71" s="117" t="s">
        <v>339</v>
      </c>
      <c r="B71" s="118" t="s">
        <v>315</v>
      </c>
      <c r="C71" s="125"/>
      <c r="D71" s="125"/>
    </row>
    <row r="72" spans="1:4" s="109" customFormat="1" ht="12" customHeight="1" thickBot="1">
      <c r="A72" s="129" t="s">
        <v>316</v>
      </c>
      <c r="B72" s="119" t="s">
        <v>317</v>
      </c>
      <c r="C72" s="108">
        <f>SUM(C73:C74)</f>
        <v>210964229</v>
      </c>
      <c r="D72" s="108">
        <f>SUM(D73:D74)</f>
        <v>223686425</v>
      </c>
    </row>
    <row r="73" spans="1:4" s="109" customFormat="1" ht="12" customHeight="1">
      <c r="A73" s="110" t="s">
        <v>340</v>
      </c>
      <c r="B73" s="111" t="s">
        <v>318</v>
      </c>
      <c r="C73" s="125">
        <v>210964229</v>
      </c>
      <c r="D73" s="125">
        <f>223686425</f>
        <v>223686425</v>
      </c>
    </row>
    <row r="74" spans="1:4" s="109" customFormat="1" ht="12" customHeight="1" thickBot="1">
      <c r="A74" s="117" t="s">
        <v>341</v>
      </c>
      <c r="B74" s="118" t="s">
        <v>319</v>
      </c>
      <c r="C74" s="125"/>
      <c r="D74" s="125"/>
    </row>
    <row r="75" spans="1:4" s="109" customFormat="1" ht="12" customHeight="1" thickBot="1">
      <c r="A75" s="129" t="s">
        <v>320</v>
      </c>
      <c r="B75" s="119" t="s">
        <v>321</v>
      </c>
      <c r="C75" s="108">
        <f>SUM(C76:C78)</f>
        <v>0</v>
      </c>
      <c r="D75" s="108">
        <f>SUM(D76:D78)</f>
        <v>0</v>
      </c>
    </row>
    <row r="76" spans="1:4" s="109" customFormat="1" ht="12" customHeight="1">
      <c r="A76" s="110" t="s">
        <v>342</v>
      </c>
      <c r="B76" s="111" t="s">
        <v>322</v>
      </c>
      <c r="C76" s="125"/>
      <c r="D76" s="125"/>
    </row>
    <row r="77" spans="1:4" s="109" customFormat="1" ht="12" customHeight="1">
      <c r="A77" s="113" t="s">
        <v>343</v>
      </c>
      <c r="B77" s="114" t="s">
        <v>323</v>
      </c>
      <c r="C77" s="125"/>
      <c r="D77" s="125"/>
    </row>
    <row r="78" spans="1:4" s="109" customFormat="1" ht="12" customHeight="1" thickBot="1">
      <c r="A78" s="117" t="s">
        <v>344</v>
      </c>
      <c r="B78" s="118" t="s">
        <v>324</v>
      </c>
      <c r="C78" s="125"/>
      <c r="D78" s="125"/>
    </row>
    <row r="79" spans="1:4" s="109" customFormat="1" ht="12" customHeight="1" thickBot="1">
      <c r="A79" s="129" t="s">
        <v>325</v>
      </c>
      <c r="B79" s="119" t="s">
        <v>345</v>
      </c>
      <c r="C79" s="108">
        <f>SUM(C80:C83)</f>
        <v>0</v>
      </c>
      <c r="D79" s="108">
        <f>SUM(D80:D83)</f>
        <v>0</v>
      </c>
    </row>
    <row r="80" spans="1:4" s="109" customFormat="1" ht="12" customHeight="1">
      <c r="A80" s="131" t="s">
        <v>326</v>
      </c>
      <c r="B80" s="111" t="s">
        <v>327</v>
      </c>
      <c r="C80" s="125"/>
      <c r="D80" s="125"/>
    </row>
    <row r="81" spans="1:4" s="109" customFormat="1" ht="12" customHeight="1">
      <c r="A81" s="132" t="s">
        <v>328</v>
      </c>
      <c r="B81" s="114" t="s">
        <v>329</v>
      </c>
      <c r="C81" s="125"/>
      <c r="D81" s="125"/>
    </row>
    <row r="82" spans="1:4" s="109" customFormat="1" ht="12" customHeight="1">
      <c r="A82" s="132" t="s">
        <v>330</v>
      </c>
      <c r="B82" s="114" t="s">
        <v>331</v>
      </c>
      <c r="C82" s="125"/>
      <c r="D82" s="125"/>
    </row>
    <row r="83" spans="1:4" s="109" customFormat="1" ht="12" customHeight="1" thickBot="1">
      <c r="A83" s="133" t="s">
        <v>332</v>
      </c>
      <c r="B83" s="118" t="s">
        <v>333</v>
      </c>
      <c r="C83" s="125"/>
      <c r="D83" s="125"/>
    </row>
    <row r="84" spans="1:4" s="109" customFormat="1" ht="12" customHeight="1" thickBot="1">
      <c r="A84" s="129" t="s">
        <v>334</v>
      </c>
      <c r="B84" s="119" t="s">
        <v>475</v>
      </c>
      <c r="C84" s="134"/>
      <c r="D84" s="134"/>
    </row>
    <row r="85" spans="1:4" s="109" customFormat="1" ht="13.5" customHeight="1" thickBot="1">
      <c r="A85" s="129" t="s">
        <v>336</v>
      </c>
      <c r="B85" s="119" t="s">
        <v>335</v>
      </c>
      <c r="C85" s="134"/>
      <c r="D85" s="134"/>
    </row>
    <row r="86" spans="1:4" s="109" customFormat="1" ht="15.75" customHeight="1" thickBot="1">
      <c r="A86" s="129" t="s">
        <v>348</v>
      </c>
      <c r="B86" s="135" t="s">
        <v>478</v>
      </c>
      <c r="C86" s="122">
        <f>+C63+C67+C72+C75+C79+C85+C84</f>
        <v>210964229</v>
      </c>
      <c r="D86" s="122">
        <f>+D63+D67+D72+D75+D79+D85+D84</f>
        <v>223686425</v>
      </c>
    </row>
    <row r="87" spans="1:4" s="109" customFormat="1" ht="16.5" customHeight="1" thickBot="1">
      <c r="A87" s="136" t="s">
        <v>477</v>
      </c>
      <c r="B87" s="137" t="s">
        <v>479</v>
      </c>
      <c r="C87" s="122">
        <f>+C62+C86</f>
        <v>729210490</v>
      </c>
      <c r="D87" s="122">
        <f>+D62+D86</f>
        <v>753102997</v>
      </c>
    </row>
    <row r="88" spans="1:4" s="109" customFormat="1" ht="83.25" customHeight="1">
      <c r="A88" s="138"/>
      <c r="B88" s="139"/>
      <c r="C88" s="140"/>
      <c r="D88" s="140"/>
    </row>
    <row r="89" spans="1:4" ht="16.5" customHeight="1">
      <c r="A89" s="691" t="s">
        <v>44</v>
      </c>
      <c r="B89" s="691"/>
      <c r="C89" s="98"/>
      <c r="D89" s="98"/>
    </row>
    <row r="90" spans="1:4" s="142" customFormat="1" ht="16.5" customHeight="1" thickBot="1">
      <c r="A90" s="692" t="s">
        <v>145</v>
      </c>
      <c r="B90" s="692"/>
      <c r="C90" s="141"/>
      <c r="D90" s="141"/>
    </row>
    <row r="91" spans="1:4" ht="38.1" customHeight="1" thickBot="1">
      <c r="A91" s="100" t="s">
        <v>66</v>
      </c>
      <c r="B91" s="101" t="s">
        <v>45</v>
      </c>
      <c r="C91" s="43" t="str">
        <f>+C3</f>
        <v>Eredeti előirányzat (2017.01)</v>
      </c>
      <c r="D91" s="43" t="str">
        <f>+D3</f>
        <v>Módosított előirányzat (2017.05)</v>
      </c>
    </row>
    <row r="92" spans="1:4" s="105" customFormat="1" ht="12" customHeight="1" thickBot="1">
      <c r="A92" s="143" t="s">
        <v>487</v>
      </c>
      <c r="B92" s="144" t="s">
        <v>488</v>
      </c>
      <c r="C92" s="145" t="s">
        <v>489</v>
      </c>
      <c r="D92" s="145" t="s">
        <v>489</v>
      </c>
    </row>
    <row r="93" spans="1:4" ht="12" customHeight="1" thickBot="1">
      <c r="A93" s="146" t="s">
        <v>16</v>
      </c>
      <c r="B93" s="147" t="s">
        <v>710</v>
      </c>
      <c r="C93" s="148">
        <f>C94+C95+C96+C97+C98+C111</f>
        <v>599781895</v>
      </c>
      <c r="D93" s="148">
        <f>D94+D95+D96+D97+D98+D111</f>
        <v>615380538</v>
      </c>
    </row>
    <row r="94" spans="1:4" ht="12" customHeight="1">
      <c r="A94" s="149" t="s">
        <v>95</v>
      </c>
      <c r="B94" s="56" t="s">
        <v>46</v>
      </c>
      <c r="C94" s="150">
        <f>124857728+29557010</f>
        <v>154414738</v>
      </c>
      <c r="D94" s="150">
        <f>128084044+29560010</f>
        <v>157644054</v>
      </c>
    </row>
    <row r="95" spans="1:4" ht="12" customHeight="1">
      <c r="A95" s="113" t="s">
        <v>96</v>
      </c>
      <c r="B95" s="59" t="s">
        <v>174</v>
      </c>
      <c r="C95" s="115">
        <f>31584529+7153354</f>
        <v>38737883</v>
      </c>
      <c r="D95" s="115">
        <f>31993278+7150354</f>
        <v>39143632</v>
      </c>
    </row>
    <row r="96" spans="1:4" ht="12" customHeight="1">
      <c r="A96" s="113" t="s">
        <v>97</v>
      </c>
      <c r="B96" s="59" t="s">
        <v>133</v>
      </c>
      <c r="C96" s="120">
        <f>160910341+72997442</f>
        <v>233907783</v>
      </c>
      <c r="D96" s="120">
        <f>161995437+72997442</f>
        <v>234992879</v>
      </c>
    </row>
    <row r="97" spans="1:4" ht="12" customHeight="1">
      <c r="A97" s="113" t="s">
        <v>98</v>
      </c>
      <c r="B97" s="151" t="s">
        <v>175</v>
      </c>
      <c r="C97" s="120">
        <v>13067373</v>
      </c>
      <c r="D97" s="120">
        <v>13067373</v>
      </c>
    </row>
    <row r="98" spans="1:4" ht="12" customHeight="1">
      <c r="A98" s="113" t="s">
        <v>109</v>
      </c>
      <c r="B98" s="152" t="s">
        <v>176</v>
      </c>
      <c r="C98" s="120">
        <f>C99+C100+C101+C102+C103+C104+C105+C106+C107+C108+C109+C110</f>
        <v>126892493</v>
      </c>
      <c r="D98" s="120">
        <f>D99+D100+D101+D102+D103+D104+D105+D106+D107+D108+D109+D110</f>
        <v>129916117</v>
      </c>
    </row>
    <row r="99" spans="1:4" ht="12" customHeight="1">
      <c r="A99" s="113" t="s">
        <v>99</v>
      </c>
      <c r="B99" s="59" t="s">
        <v>442</v>
      </c>
      <c r="C99" s="120"/>
      <c r="D99" s="120"/>
    </row>
    <row r="100" spans="1:4" ht="12" customHeight="1">
      <c r="A100" s="113" t="s">
        <v>100</v>
      </c>
      <c r="B100" s="153" t="s">
        <v>441</v>
      </c>
      <c r="C100" s="120"/>
      <c r="D100" s="120"/>
    </row>
    <row r="101" spans="1:4" ht="12" customHeight="1">
      <c r="A101" s="113" t="s">
        <v>110</v>
      </c>
      <c r="B101" s="153" t="s">
        <v>440</v>
      </c>
      <c r="C101" s="120">
        <v>572567</v>
      </c>
      <c r="D101" s="120">
        <v>572567</v>
      </c>
    </row>
    <row r="102" spans="1:4" ht="12" customHeight="1">
      <c r="A102" s="113" t="s">
        <v>111</v>
      </c>
      <c r="B102" s="154" t="s">
        <v>351</v>
      </c>
      <c r="C102" s="120"/>
      <c r="D102" s="120"/>
    </row>
    <row r="103" spans="1:4" ht="12" customHeight="1">
      <c r="A103" s="113" t="s">
        <v>112</v>
      </c>
      <c r="B103" s="155" t="s">
        <v>352</v>
      </c>
      <c r="C103" s="120"/>
      <c r="D103" s="120"/>
    </row>
    <row r="104" spans="1:4" ht="12" customHeight="1">
      <c r="A104" s="113" t="s">
        <v>113</v>
      </c>
      <c r="B104" s="155" t="s">
        <v>353</v>
      </c>
      <c r="C104" s="120"/>
      <c r="D104" s="120"/>
    </row>
    <row r="105" spans="1:4" ht="12" customHeight="1">
      <c r="A105" s="113" t="s">
        <v>115</v>
      </c>
      <c r="B105" s="154" t="s">
        <v>354</v>
      </c>
      <c r="C105" s="120">
        <v>113979926</v>
      </c>
      <c r="D105" s="120">
        <v>115773550</v>
      </c>
    </row>
    <row r="106" spans="1:4" ht="12" customHeight="1">
      <c r="A106" s="113" t="s">
        <v>177</v>
      </c>
      <c r="B106" s="154" t="s">
        <v>355</v>
      </c>
      <c r="C106" s="120"/>
      <c r="D106" s="120"/>
    </row>
    <row r="107" spans="1:4" ht="12" customHeight="1">
      <c r="A107" s="113" t="s">
        <v>349</v>
      </c>
      <c r="B107" s="155" t="s">
        <v>356</v>
      </c>
      <c r="C107" s="120"/>
      <c r="D107" s="120"/>
    </row>
    <row r="108" spans="1:4" ht="12" customHeight="1">
      <c r="A108" s="156" t="s">
        <v>350</v>
      </c>
      <c r="B108" s="153" t="s">
        <v>357</v>
      </c>
      <c r="C108" s="120"/>
      <c r="D108" s="120"/>
    </row>
    <row r="109" spans="1:4" ht="12" customHeight="1">
      <c r="A109" s="113" t="s">
        <v>438</v>
      </c>
      <c r="B109" s="153" t="s">
        <v>358</v>
      </c>
      <c r="C109" s="120"/>
      <c r="D109" s="120"/>
    </row>
    <row r="110" spans="1:4" ht="12" customHeight="1">
      <c r="A110" s="117" t="s">
        <v>439</v>
      </c>
      <c r="B110" s="153" t="s">
        <v>359</v>
      </c>
      <c r="C110" s="120">
        <f>1440000+10900000</f>
        <v>12340000</v>
      </c>
      <c r="D110" s="120">
        <f>1440000+12130000</f>
        <v>13570000</v>
      </c>
    </row>
    <row r="111" spans="1:4" ht="12" customHeight="1">
      <c r="A111" s="113" t="s">
        <v>443</v>
      </c>
      <c r="B111" s="151" t="s">
        <v>47</v>
      </c>
      <c r="C111" s="115">
        <f>C112+C113</f>
        <v>32761625</v>
      </c>
      <c r="D111" s="115">
        <f>D112+D113</f>
        <v>40616483</v>
      </c>
    </row>
    <row r="112" spans="1:4" ht="12" customHeight="1">
      <c r="A112" s="113" t="s">
        <v>444</v>
      </c>
      <c r="B112" s="59" t="s">
        <v>446</v>
      </c>
      <c r="C112" s="115">
        <v>8430181</v>
      </c>
      <c r="D112" s="115">
        <v>16285039</v>
      </c>
    </row>
    <row r="113" spans="1:4" ht="12" customHeight="1" thickBot="1">
      <c r="A113" s="157" t="s">
        <v>445</v>
      </c>
      <c r="B113" s="158" t="s">
        <v>447</v>
      </c>
      <c r="C113" s="159">
        <v>24331444</v>
      </c>
      <c r="D113" s="159">
        <v>24331444</v>
      </c>
    </row>
    <row r="114" spans="1:4" ht="12" customHeight="1" thickBot="1">
      <c r="A114" s="160" t="s">
        <v>17</v>
      </c>
      <c r="B114" s="161" t="s">
        <v>711</v>
      </c>
      <c r="C114" s="162">
        <f>+C115+C117+C119</f>
        <v>121651389</v>
      </c>
      <c r="D114" s="162">
        <f>+D115+D117+D119</f>
        <v>129945253</v>
      </c>
    </row>
    <row r="115" spans="1:4" ht="12" customHeight="1">
      <c r="A115" s="110" t="s">
        <v>101</v>
      </c>
      <c r="B115" s="59" t="s">
        <v>219</v>
      </c>
      <c r="C115" s="112">
        <f>64162605+11169000</f>
        <v>75331605</v>
      </c>
      <c r="D115" s="112">
        <f>79263463+11169005</f>
        <v>90432468</v>
      </c>
    </row>
    <row r="116" spans="1:4" ht="12" customHeight="1">
      <c r="A116" s="110" t="s">
        <v>102</v>
      </c>
      <c r="B116" s="163" t="s">
        <v>363</v>
      </c>
      <c r="C116" s="112"/>
      <c r="D116" s="112"/>
    </row>
    <row r="117" spans="1:4" ht="12" customHeight="1">
      <c r="A117" s="110" t="s">
        <v>103</v>
      </c>
      <c r="B117" s="163" t="s">
        <v>178</v>
      </c>
      <c r="C117" s="115">
        <v>44319784</v>
      </c>
      <c r="D117" s="115">
        <f>37512785</f>
        <v>37512785</v>
      </c>
    </row>
    <row r="118" spans="1:4" ht="12" customHeight="1">
      <c r="A118" s="110" t="s">
        <v>104</v>
      </c>
      <c r="B118" s="163" t="s">
        <v>364</v>
      </c>
      <c r="C118" s="164"/>
      <c r="D118" s="164"/>
    </row>
    <row r="119" spans="1:4" ht="12" customHeight="1">
      <c r="A119" s="110" t="s">
        <v>105</v>
      </c>
      <c r="B119" s="118" t="s">
        <v>222</v>
      </c>
      <c r="C119" s="164">
        <f>C120+C121+C122+C123+C124+C125+C126+C127</f>
        <v>2000000</v>
      </c>
      <c r="D119" s="164">
        <f>D120+D121+D122+D123+D124+D125+D126+D127</f>
        <v>2000000</v>
      </c>
    </row>
    <row r="120" spans="1:4" ht="12" customHeight="1">
      <c r="A120" s="110" t="s">
        <v>114</v>
      </c>
      <c r="B120" s="116" t="s">
        <v>426</v>
      </c>
      <c r="C120" s="164"/>
      <c r="D120" s="164"/>
    </row>
    <row r="121" spans="1:4" ht="12" customHeight="1">
      <c r="A121" s="110" t="s">
        <v>116</v>
      </c>
      <c r="B121" s="165" t="s">
        <v>369</v>
      </c>
      <c r="C121" s="164"/>
      <c r="D121" s="164"/>
    </row>
    <row r="122" spans="1:4">
      <c r="A122" s="110" t="s">
        <v>179</v>
      </c>
      <c r="B122" s="155" t="s">
        <v>353</v>
      </c>
      <c r="C122" s="164"/>
      <c r="D122" s="164"/>
    </row>
    <row r="123" spans="1:4" ht="12" customHeight="1">
      <c r="A123" s="110" t="s">
        <v>180</v>
      </c>
      <c r="B123" s="155" t="s">
        <v>368</v>
      </c>
      <c r="C123" s="164"/>
      <c r="D123" s="164"/>
    </row>
    <row r="124" spans="1:4" ht="12" customHeight="1">
      <c r="A124" s="110" t="s">
        <v>181</v>
      </c>
      <c r="B124" s="155" t="s">
        <v>367</v>
      </c>
      <c r="C124" s="164"/>
      <c r="D124" s="164"/>
    </row>
    <row r="125" spans="1:4" ht="12" customHeight="1">
      <c r="A125" s="110" t="s">
        <v>360</v>
      </c>
      <c r="B125" s="155" t="s">
        <v>356</v>
      </c>
      <c r="C125" s="164"/>
      <c r="D125" s="164"/>
    </row>
    <row r="126" spans="1:4" ht="12" customHeight="1">
      <c r="A126" s="110" t="s">
        <v>361</v>
      </c>
      <c r="B126" s="155" t="s">
        <v>366</v>
      </c>
      <c r="C126" s="164">
        <v>2000000</v>
      </c>
      <c r="D126" s="164">
        <v>2000000</v>
      </c>
    </row>
    <row r="127" spans="1:4" ht="16.5" thickBot="1">
      <c r="A127" s="156" t="s">
        <v>362</v>
      </c>
      <c r="B127" s="155" t="s">
        <v>365</v>
      </c>
      <c r="C127" s="166"/>
      <c r="D127" s="166"/>
    </row>
    <row r="128" spans="1:4" ht="12" customHeight="1" thickBot="1">
      <c r="A128" s="106" t="s">
        <v>18</v>
      </c>
      <c r="B128" s="67" t="s">
        <v>448</v>
      </c>
      <c r="C128" s="108">
        <f>+C93+C114</f>
        <v>721433284</v>
      </c>
      <c r="D128" s="108">
        <f>+D93+D114</f>
        <v>745325791</v>
      </c>
    </row>
    <row r="129" spans="1:4" ht="12" customHeight="1" thickBot="1">
      <c r="A129" s="106" t="s">
        <v>19</v>
      </c>
      <c r="B129" s="67" t="s">
        <v>449</v>
      </c>
      <c r="C129" s="108">
        <f>+C130+C131+C132</f>
        <v>0</v>
      </c>
      <c r="D129" s="108">
        <f>+D130+D131+D132</f>
        <v>0</v>
      </c>
    </row>
    <row r="130" spans="1:4" ht="12" customHeight="1">
      <c r="A130" s="110" t="s">
        <v>261</v>
      </c>
      <c r="B130" s="163" t="s">
        <v>456</v>
      </c>
      <c r="C130" s="164"/>
      <c r="D130" s="164"/>
    </row>
    <row r="131" spans="1:4" ht="12" customHeight="1">
      <c r="A131" s="110" t="s">
        <v>264</v>
      </c>
      <c r="B131" s="163" t="s">
        <v>457</v>
      </c>
      <c r="C131" s="164"/>
      <c r="D131" s="164"/>
    </row>
    <row r="132" spans="1:4" ht="12" customHeight="1" thickBot="1">
      <c r="A132" s="156" t="s">
        <v>265</v>
      </c>
      <c r="B132" s="163" t="s">
        <v>458</v>
      </c>
      <c r="C132" s="164"/>
      <c r="D132" s="164"/>
    </row>
    <row r="133" spans="1:4" ht="12" customHeight="1" thickBot="1">
      <c r="A133" s="106" t="s">
        <v>20</v>
      </c>
      <c r="B133" s="67" t="s">
        <v>450</v>
      </c>
      <c r="C133" s="108">
        <f>SUM(C134:C139)</f>
        <v>0</v>
      </c>
      <c r="D133" s="108">
        <f>SUM(D134:D139)</f>
        <v>0</v>
      </c>
    </row>
    <row r="134" spans="1:4" ht="12" customHeight="1">
      <c r="A134" s="110" t="s">
        <v>88</v>
      </c>
      <c r="B134" s="65" t="s">
        <v>459</v>
      </c>
      <c r="C134" s="164"/>
      <c r="D134" s="164"/>
    </row>
    <row r="135" spans="1:4" ht="12" customHeight="1">
      <c r="A135" s="110" t="s">
        <v>89</v>
      </c>
      <c r="B135" s="65" t="s">
        <v>451</v>
      </c>
      <c r="C135" s="164"/>
      <c r="D135" s="164"/>
    </row>
    <row r="136" spans="1:4" ht="12" customHeight="1">
      <c r="A136" s="110" t="s">
        <v>90</v>
      </c>
      <c r="B136" s="65" t="s">
        <v>452</v>
      </c>
      <c r="C136" s="164"/>
      <c r="D136" s="164"/>
    </row>
    <row r="137" spans="1:4" ht="12" customHeight="1">
      <c r="A137" s="110" t="s">
        <v>166</v>
      </c>
      <c r="B137" s="65" t="s">
        <v>453</v>
      </c>
      <c r="C137" s="164"/>
      <c r="D137" s="164"/>
    </row>
    <row r="138" spans="1:4" ht="12" customHeight="1">
      <c r="A138" s="110" t="s">
        <v>167</v>
      </c>
      <c r="B138" s="65" t="s">
        <v>454</v>
      </c>
      <c r="C138" s="164"/>
      <c r="D138" s="164"/>
    </row>
    <row r="139" spans="1:4" ht="12" customHeight="1" thickBot="1">
      <c r="A139" s="156" t="s">
        <v>168</v>
      </c>
      <c r="B139" s="65" t="s">
        <v>455</v>
      </c>
      <c r="C139" s="164"/>
      <c r="D139" s="164"/>
    </row>
    <row r="140" spans="1:4" ht="12" customHeight="1" thickBot="1">
      <c r="A140" s="106" t="s">
        <v>21</v>
      </c>
      <c r="B140" s="67" t="s">
        <v>463</v>
      </c>
      <c r="C140" s="122">
        <f>+C141+C142+C143+C144</f>
        <v>7777206</v>
      </c>
      <c r="D140" s="122">
        <f>+D141+D142+D143+D144</f>
        <v>7777206</v>
      </c>
    </row>
    <row r="141" spans="1:4" ht="12" customHeight="1">
      <c r="A141" s="110" t="s">
        <v>91</v>
      </c>
      <c r="B141" s="65" t="s">
        <v>370</v>
      </c>
      <c r="C141" s="164"/>
      <c r="D141" s="164"/>
    </row>
    <row r="142" spans="1:4" ht="12" customHeight="1">
      <c r="A142" s="110" t="s">
        <v>92</v>
      </c>
      <c r="B142" s="65" t="s">
        <v>371</v>
      </c>
      <c r="C142" s="164">
        <v>7777206</v>
      </c>
      <c r="D142" s="164">
        <v>7777206</v>
      </c>
    </row>
    <row r="143" spans="1:4" ht="12" customHeight="1">
      <c r="A143" s="110" t="s">
        <v>285</v>
      </c>
      <c r="B143" s="65" t="s">
        <v>464</v>
      </c>
      <c r="C143" s="164"/>
      <c r="D143" s="164"/>
    </row>
    <row r="144" spans="1:4" ht="12" customHeight="1" thickBot="1">
      <c r="A144" s="156" t="s">
        <v>286</v>
      </c>
      <c r="B144" s="61" t="s">
        <v>390</v>
      </c>
      <c r="C144" s="164"/>
      <c r="D144" s="164"/>
    </row>
    <row r="145" spans="1:4" ht="12" customHeight="1" thickBot="1">
      <c r="A145" s="106" t="s">
        <v>22</v>
      </c>
      <c r="B145" s="67" t="s">
        <v>465</v>
      </c>
      <c r="C145" s="167">
        <f>SUM(C146:C150)</f>
        <v>0</v>
      </c>
      <c r="D145" s="167">
        <f>SUM(D146:D150)</f>
        <v>0</v>
      </c>
    </row>
    <row r="146" spans="1:4" ht="12" customHeight="1">
      <c r="A146" s="110" t="s">
        <v>93</v>
      </c>
      <c r="B146" s="65" t="s">
        <v>460</v>
      </c>
      <c r="C146" s="164"/>
      <c r="D146" s="164"/>
    </row>
    <row r="147" spans="1:4" ht="12" customHeight="1">
      <c r="A147" s="110" t="s">
        <v>94</v>
      </c>
      <c r="B147" s="65" t="s">
        <v>467</v>
      </c>
      <c r="C147" s="164"/>
      <c r="D147" s="164"/>
    </row>
    <row r="148" spans="1:4" ht="12" customHeight="1">
      <c r="A148" s="110" t="s">
        <v>297</v>
      </c>
      <c r="B148" s="65" t="s">
        <v>462</v>
      </c>
      <c r="C148" s="164"/>
      <c r="D148" s="164"/>
    </row>
    <row r="149" spans="1:4" ht="12" customHeight="1">
      <c r="A149" s="110" t="s">
        <v>298</v>
      </c>
      <c r="B149" s="65" t="s">
        <v>468</v>
      </c>
      <c r="C149" s="164"/>
      <c r="D149" s="164"/>
    </row>
    <row r="150" spans="1:4" ht="12" customHeight="1" thickBot="1">
      <c r="A150" s="110" t="s">
        <v>466</v>
      </c>
      <c r="B150" s="65" t="s">
        <v>469</v>
      </c>
      <c r="C150" s="164"/>
      <c r="D150" s="164"/>
    </row>
    <row r="151" spans="1:4" ht="12" customHeight="1" thickBot="1">
      <c r="A151" s="106" t="s">
        <v>23</v>
      </c>
      <c r="B151" s="67" t="s">
        <v>470</v>
      </c>
      <c r="C151" s="168"/>
      <c r="D151" s="168"/>
    </row>
    <row r="152" spans="1:4" ht="12" customHeight="1" thickBot="1">
      <c r="A152" s="106" t="s">
        <v>24</v>
      </c>
      <c r="B152" s="67" t="s">
        <v>545</v>
      </c>
      <c r="C152" s="168"/>
      <c r="D152" s="168"/>
    </row>
    <row r="153" spans="1:4" ht="15" customHeight="1" thickBot="1">
      <c r="A153" s="106" t="s">
        <v>25</v>
      </c>
      <c r="B153" s="67" t="s">
        <v>473</v>
      </c>
      <c r="C153" s="169">
        <f>+C129+C133+C140+C145+C151+C152</f>
        <v>7777206</v>
      </c>
      <c r="D153" s="169">
        <f>+D129+D133+D140+D145+D151+D152</f>
        <v>7777206</v>
      </c>
    </row>
    <row r="154" spans="1:4" s="109" customFormat="1" ht="12.95" customHeight="1" thickBot="1">
      <c r="A154" s="171" t="s">
        <v>26</v>
      </c>
      <c r="B154" s="172" t="s">
        <v>472</v>
      </c>
      <c r="C154" s="169">
        <f>+C128+C153</f>
        <v>729210490</v>
      </c>
      <c r="D154" s="169">
        <f>+D128+D153</f>
        <v>753102997</v>
      </c>
    </row>
    <row r="155" spans="1:4" ht="7.5" customHeight="1"/>
    <row r="156" spans="1:4">
      <c r="A156" s="200" t="s">
        <v>372</v>
      </c>
      <c r="B156" s="200"/>
      <c r="C156" s="98"/>
      <c r="D156" s="98"/>
    </row>
    <row r="157" spans="1:4" ht="15" customHeight="1" thickBot="1">
      <c r="A157" s="690" t="s">
        <v>146</v>
      </c>
      <c r="B157" s="690"/>
      <c r="C157" s="99" t="s">
        <v>633</v>
      </c>
      <c r="D157" s="99" t="s">
        <v>633</v>
      </c>
    </row>
    <row r="158" spans="1:4" ht="30.75" customHeight="1" thickBot="1">
      <c r="A158" s="106">
        <v>1</v>
      </c>
      <c r="B158" s="174" t="s">
        <v>474</v>
      </c>
      <c r="C158" s="108">
        <f>+C62-C128</f>
        <v>-203187023</v>
      </c>
      <c r="D158" s="108">
        <f>+D62-D128</f>
        <v>-215909219</v>
      </c>
    </row>
    <row r="159" spans="1:4" ht="34.5" customHeight="1" thickBot="1">
      <c r="A159" s="106" t="s">
        <v>17</v>
      </c>
      <c r="B159" s="174" t="s">
        <v>480</v>
      </c>
      <c r="C159" s="108">
        <f>+C86-C153</f>
        <v>203187023</v>
      </c>
      <c r="D159" s="108">
        <f>+D86-D153</f>
        <v>215909219</v>
      </c>
    </row>
  </sheetData>
  <mergeCells count="5">
    <mergeCell ref="A157:B157"/>
    <mergeCell ref="A89:B89"/>
    <mergeCell ref="A1:B1"/>
    <mergeCell ref="A2:B2"/>
    <mergeCell ref="A90:B90"/>
  </mergeCells>
  <phoneticPr fontId="0" type="noConversion"/>
  <printOptions horizontalCentered="1"/>
  <pageMargins left="0.19685039370078741" right="0.19685039370078741" top="1.1811023622047245" bottom="1.1811023622047245" header="0.78740157480314965" footer="0.59055118110236227"/>
  <pageSetup paperSize="9" scale="63" fitToHeight="2" orientation="portrait" r:id="rId1"/>
  <headerFooter alignWithMargins="0">
    <oddHeader>&amp;C&amp;"Times New Roman CE,Félkövér"&amp;12
Vonyarcvashegy Nagyközség Önkormányzata
2017. ÉVI KÖLTSÉGVETÉSÉNEK ÖSSZEVONT MÉRLEGE&amp;10
&amp;R&amp;"Times New Roman CE,Félkövér dőlt"&amp;11 1.1. melléklet a 7/2017. (V.26.) önkormányzati rendelethez</oddHeader>
    <oddFooter>&amp;P. oldal, összesen: &amp;N</oddFooter>
  </headerFooter>
  <rowBreaks count="2" manualBreakCount="2">
    <brk id="87" max="3" man="1"/>
    <brk id="88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Munka10">
    <tabColor rgb="FFFFFF00"/>
  </sheetPr>
  <dimension ref="A1:N59"/>
  <sheetViews>
    <sheetView topLeftCell="C1" zoomScaleNormal="100" workbookViewId="0">
      <selection activeCell="M11" sqref="M11"/>
    </sheetView>
  </sheetViews>
  <sheetFormatPr defaultRowHeight="15.75"/>
  <cols>
    <col min="1" max="1" width="93" style="350" bestFit="1" customWidth="1"/>
    <col min="2" max="2" width="32.1640625" style="350" bestFit="1" customWidth="1"/>
    <col min="3" max="3" width="14.6640625" style="313" bestFit="1" customWidth="1"/>
    <col min="4" max="4" width="23" style="313" bestFit="1" customWidth="1"/>
    <col min="5" max="5" width="16.1640625" style="313" bestFit="1" customWidth="1"/>
    <col min="6" max="6" width="14.6640625" style="313" bestFit="1" customWidth="1"/>
    <col min="7" max="7" width="14.6640625" style="313" customWidth="1"/>
    <col min="8" max="8" width="16.83203125" style="315" customWidth="1"/>
    <col min="9" max="9" width="14.6640625" style="313" customWidth="1"/>
    <col min="10" max="10" width="17.5" style="349" customWidth="1"/>
    <col min="11" max="13" width="14.6640625" style="313" customWidth="1"/>
    <col min="14" max="14" width="16.83203125" style="315" bestFit="1" customWidth="1"/>
    <col min="15" max="16" width="12.83203125" style="313" customWidth="1"/>
    <col min="17" max="17" width="13.83203125" style="313" customWidth="1"/>
    <col min="18" max="16384" width="9.33203125" style="313"/>
  </cols>
  <sheetData>
    <row r="1" spans="1:14" ht="25.5" customHeight="1">
      <c r="A1" s="712" t="s">
        <v>0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  <c r="M1" s="712"/>
      <c r="N1" s="712"/>
    </row>
    <row r="2" spans="1:14" ht="22.5" customHeight="1" thickBot="1">
      <c r="A2" s="314"/>
      <c r="B2" s="314"/>
      <c r="C2" s="315"/>
      <c r="D2" s="315"/>
      <c r="E2" s="315"/>
      <c r="F2" s="315"/>
      <c r="G2" s="315"/>
      <c r="H2" s="316" t="s">
        <v>597</v>
      </c>
      <c r="I2" s="315"/>
      <c r="J2" s="317" t="s">
        <v>597</v>
      </c>
      <c r="K2" s="315"/>
      <c r="L2" s="315"/>
      <c r="M2" s="315"/>
      <c r="N2" s="316"/>
    </row>
    <row r="3" spans="1:14" s="312" customFormat="1" ht="44.25" customHeight="1" thickBot="1">
      <c r="A3" s="318" t="s">
        <v>61</v>
      </c>
      <c r="B3" s="319" t="s">
        <v>693</v>
      </c>
      <c r="C3" s="320" t="s">
        <v>62</v>
      </c>
      <c r="D3" s="320" t="s">
        <v>63</v>
      </c>
      <c r="E3" s="320" t="s">
        <v>637</v>
      </c>
      <c r="F3" s="320" t="s">
        <v>613</v>
      </c>
      <c r="G3" s="320" t="s">
        <v>709</v>
      </c>
      <c r="H3" s="321" t="s">
        <v>638</v>
      </c>
      <c r="I3" s="322"/>
      <c r="J3" s="322" t="s">
        <v>684</v>
      </c>
      <c r="K3" s="323" t="s">
        <v>685</v>
      </c>
      <c r="L3" s="323" t="s">
        <v>686</v>
      </c>
      <c r="M3" s="324" t="s">
        <v>683</v>
      </c>
      <c r="N3" s="321"/>
    </row>
    <row r="4" spans="1:14" s="315" customFormat="1" ht="12" customHeight="1" thickBot="1">
      <c r="A4" s="325" t="s">
        <v>487</v>
      </c>
      <c r="B4" s="326"/>
      <c r="C4" s="327" t="s">
        <v>488</v>
      </c>
      <c r="D4" s="327" t="s">
        <v>489</v>
      </c>
      <c r="E4" s="327" t="s">
        <v>491</v>
      </c>
      <c r="F4" s="327" t="s">
        <v>490</v>
      </c>
      <c r="G4" s="327" t="s">
        <v>490</v>
      </c>
      <c r="H4" s="328" t="s">
        <v>493</v>
      </c>
      <c r="I4" s="329"/>
      <c r="J4" s="329"/>
      <c r="K4" s="330"/>
      <c r="L4" s="330"/>
      <c r="M4" s="327"/>
      <c r="N4" s="328"/>
    </row>
    <row r="5" spans="1:14" ht="24.75" customHeight="1">
      <c r="A5" s="331" t="s">
        <v>654</v>
      </c>
      <c r="B5" s="332" t="s">
        <v>694</v>
      </c>
      <c r="C5" s="333">
        <f>7437008*1.27</f>
        <v>9445000.1600000001</v>
      </c>
      <c r="D5" s="334" t="s">
        <v>648</v>
      </c>
      <c r="E5" s="333">
        <f>3500000*1.27</f>
        <v>4445000</v>
      </c>
      <c r="F5" s="333">
        <f>3937008*1.27</f>
        <v>5000000.16</v>
      </c>
      <c r="G5" s="333">
        <f>3937008*1.27</f>
        <v>5000000.16</v>
      </c>
      <c r="H5" s="335"/>
      <c r="I5" s="336"/>
      <c r="J5" s="337">
        <f>3937008*1.27</f>
        <v>5000000.16</v>
      </c>
      <c r="K5" s="336">
        <v>2500000</v>
      </c>
      <c r="L5" s="336"/>
      <c r="M5" s="333">
        <v>2500000</v>
      </c>
      <c r="N5" s="335"/>
    </row>
    <row r="6" spans="1:14" ht="24.75" customHeight="1">
      <c r="A6" s="331" t="s">
        <v>717</v>
      </c>
      <c r="B6" s="332" t="s">
        <v>694</v>
      </c>
      <c r="C6" s="333">
        <v>950000</v>
      </c>
      <c r="D6" s="334" t="s">
        <v>639</v>
      </c>
      <c r="E6" s="333"/>
      <c r="F6" s="333"/>
      <c r="G6" s="333">
        <v>950000</v>
      </c>
      <c r="H6" s="335"/>
      <c r="I6" s="336"/>
      <c r="J6" s="337">
        <v>950000</v>
      </c>
      <c r="K6" s="336">
        <v>950000</v>
      </c>
      <c r="L6" s="336"/>
      <c r="M6" s="333"/>
      <c r="N6" s="335"/>
    </row>
    <row r="7" spans="1:14" ht="24.75" customHeight="1">
      <c r="A7" s="331" t="s">
        <v>663</v>
      </c>
      <c r="B7" s="332" t="s">
        <v>695</v>
      </c>
      <c r="C7" s="333">
        <f>1750000*1.27</f>
        <v>2222500</v>
      </c>
      <c r="D7" s="334" t="s">
        <v>639</v>
      </c>
      <c r="E7" s="333"/>
      <c r="F7" s="333">
        <f>1750000*1.27</f>
        <v>2222500</v>
      </c>
      <c r="G7" s="333">
        <f>1750000*1.27</f>
        <v>2222500</v>
      </c>
      <c r="H7" s="335"/>
      <c r="I7" s="336"/>
      <c r="J7" s="337">
        <f>1750000*1.27</f>
        <v>2222500</v>
      </c>
      <c r="K7" s="336">
        <f>1750000*1.27</f>
        <v>2222500</v>
      </c>
      <c r="L7" s="336"/>
      <c r="M7" s="333"/>
      <c r="N7" s="335"/>
    </row>
    <row r="8" spans="1:14" s="343" customFormat="1" ht="24.75" customHeight="1">
      <c r="A8" s="338" t="s">
        <v>674</v>
      </c>
      <c r="B8" s="339"/>
      <c r="C8" s="340">
        <f>SUM(C5:C7)</f>
        <v>12617500.16</v>
      </c>
      <c r="D8" s="340">
        <f>SUM(D5:D7)</f>
        <v>0</v>
      </c>
      <c r="E8" s="340">
        <f>SUM(E5:E7)</f>
        <v>4445000</v>
      </c>
      <c r="F8" s="340">
        <f>SUM(F5:F7)</f>
        <v>7222500.1600000001</v>
      </c>
      <c r="G8" s="340">
        <f>SUM(G5:G7)</f>
        <v>8172500.1600000001</v>
      </c>
      <c r="H8" s="341"/>
      <c r="I8" s="342"/>
      <c r="J8" s="342">
        <f>SUM(J5:J7)</f>
        <v>8172500.1600000001</v>
      </c>
      <c r="K8" s="342">
        <f>SUM(K5:K7)</f>
        <v>5672500</v>
      </c>
      <c r="L8" s="342">
        <f>SUM(L5:L7)</f>
        <v>0</v>
      </c>
      <c r="M8" s="342">
        <f>SUM(M5:M7)</f>
        <v>2500000</v>
      </c>
      <c r="N8" s="341"/>
    </row>
    <row r="9" spans="1:14" s="343" customFormat="1" ht="24.75" customHeight="1">
      <c r="A9" s="338"/>
      <c r="B9" s="339"/>
      <c r="C9" s="340"/>
      <c r="D9" s="344"/>
      <c r="E9" s="340"/>
      <c r="F9" s="340"/>
      <c r="G9" s="340"/>
      <c r="H9" s="341"/>
      <c r="I9" s="342"/>
      <c r="J9" s="342"/>
      <c r="K9" s="342"/>
      <c r="L9" s="342"/>
      <c r="M9" s="340"/>
      <c r="N9" s="341"/>
    </row>
    <row r="10" spans="1:14" ht="24.75" customHeight="1">
      <c r="A10" s="331" t="s">
        <v>611</v>
      </c>
      <c r="B10" s="332" t="s">
        <v>692</v>
      </c>
      <c r="C10" s="333">
        <f>27457128*1.27</f>
        <v>34870552.560000002</v>
      </c>
      <c r="D10" s="334" t="s">
        <v>648</v>
      </c>
      <c r="E10" s="333"/>
      <c r="F10" s="333">
        <f>27457128*1.27</f>
        <v>34870552.560000002</v>
      </c>
      <c r="G10" s="333">
        <f>27457128*1.27+8381999</f>
        <v>43252551.560000002</v>
      </c>
      <c r="H10" s="335"/>
      <c r="I10" s="336"/>
      <c r="J10" s="337">
        <f>27457128*1.27+8381999</f>
        <v>43252551.560000002</v>
      </c>
      <c r="K10" s="336"/>
      <c r="L10" s="336"/>
      <c r="M10" s="333">
        <f>34870553+8381999</f>
        <v>43252552</v>
      </c>
      <c r="N10" s="335"/>
    </row>
    <row r="11" spans="1:14" ht="24.75" customHeight="1">
      <c r="A11" s="331" t="s">
        <v>655</v>
      </c>
      <c r="B11" s="332" t="s">
        <v>692</v>
      </c>
      <c r="C11" s="333">
        <f>1300000*1.27</f>
        <v>1651000</v>
      </c>
      <c r="D11" s="334" t="s">
        <v>639</v>
      </c>
      <c r="E11" s="333"/>
      <c r="F11" s="333">
        <f>1300000*1.27</f>
        <v>1651000</v>
      </c>
      <c r="G11" s="333">
        <f>1300000*1.27</f>
        <v>1651000</v>
      </c>
      <c r="H11" s="335"/>
      <c r="I11" s="336"/>
      <c r="J11" s="337">
        <f>1300000*1.27</f>
        <v>1651000</v>
      </c>
      <c r="K11" s="336">
        <f>1300000*1.27</f>
        <v>1651000</v>
      </c>
      <c r="L11" s="336"/>
      <c r="M11" s="333"/>
      <c r="N11" s="335"/>
    </row>
    <row r="12" spans="1:14" ht="24.75" customHeight="1">
      <c r="A12" s="331" t="s">
        <v>656</v>
      </c>
      <c r="B12" s="332" t="s">
        <v>692</v>
      </c>
      <c r="C12" s="333">
        <f>1847314*1.27</f>
        <v>2346088.7800000003</v>
      </c>
      <c r="D12" s="334" t="s">
        <v>639</v>
      </c>
      <c r="E12" s="333"/>
      <c r="F12" s="333">
        <f>1847314*1.27</f>
        <v>2346088.7800000003</v>
      </c>
      <c r="G12" s="333">
        <f>1847314*1.27-180000</f>
        <v>2166088.7800000003</v>
      </c>
      <c r="H12" s="335"/>
      <c r="I12" s="336"/>
      <c r="J12" s="337">
        <f>1847314*1.27</f>
        <v>2346088.7800000003</v>
      </c>
      <c r="K12" s="336"/>
      <c r="L12" s="336">
        <f>1847314*1.27</f>
        <v>2346088.7800000003</v>
      </c>
      <c r="M12" s="333"/>
      <c r="N12" s="335"/>
    </row>
    <row r="13" spans="1:14" ht="24.75" customHeight="1">
      <c r="A13" s="331" t="s">
        <v>657</v>
      </c>
      <c r="B13" s="332" t="s">
        <v>692</v>
      </c>
      <c r="C13" s="333">
        <f>1100000*1.27</f>
        <v>1397000</v>
      </c>
      <c r="D13" s="334" t="s">
        <v>639</v>
      </c>
      <c r="E13" s="333"/>
      <c r="F13" s="333">
        <f>1100000*1.27</f>
        <v>1397000</v>
      </c>
      <c r="G13" s="333">
        <f>1100000*1.27+180000</f>
        <v>1577000</v>
      </c>
      <c r="H13" s="335"/>
      <c r="I13" s="336"/>
      <c r="J13" s="337">
        <f>1100000*1.27</f>
        <v>1397000</v>
      </c>
      <c r="K13" s="336">
        <f>1100000*1.27</f>
        <v>1397000</v>
      </c>
      <c r="L13" s="336"/>
      <c r="M13" s="333"/>
      <c r="N13" s="335"/>
    </row>
    <row r="14" spans="1:14" ht="24.75" customHeight="1">
      <c r="A14" s="331" t="s">
        <v>658</v>
      </c>
      <c r="B14" s="332" t="s">
        <v>692</v>
      </c>
      <c r="C14" s="333">
        <f>400000+37800</f>
        <v>437800</v>
      </c>
      <c r="D14" s="334" t="s">
        <v>639</v>
      </c>
      <c r="E14" s="333"/>
      <c r="F14" s="333">
        <v>400000</v>
      </c>
      <c r="G14" s="333">
        <f>400000+37800</f>
        <v>437800</v>
      </c>
      <c r="H14" s="335"/>
      <c r="I14" s="336"/>
      <c r="J14" s="337">
        <f>400000+37800</f>
        <v>437800</v>
      </c>
      <c r="K14" s="336">
        <f>400000+37800</f>
        <v>437800</v>
      </c>
      <c r="L14" s="336"/>
      <c r="M14" s="333"/>
      <c r="N14" s="335"/>
    </row>
    <row r="15" spans="1:14" ht="24.75" customHeight="1">
      <c r="A15" s="331" t="s">
        <v>680</v>
      </c>
      <c r="B15" s="332" t="s">
        <v>696</v>
      </c>
      <c r="C15" s="333">
        <f>377953*1.27</f>
        <v>480000.31</v>
      </c>
      <c r="D15" s="334" t="s">
        <v>648</v>
      </c>
      <c r="E15" s="333">
        <f>78740*1.27</f>
        <v>99999.8</v>
      </c>
      <c r="F15" s="333">
        <f>299212*1.27+1</f>
        <v>380000.24</v>
      </c>
      <c r="G15" s="333">
        <f>299212*1.27+1</f>
        <v>380000.24</v>
      </c>
      <c r="H15" s="335"/>
      <c r="I15" s="336"/>
      <c r="J15" s="337">
        <f>299212*1.27+1</f>
        <v>380000.24</v>
      </c>
      <c r="K15" s="336">
        <f>299212*1.27+1</f>
        <v>380000.24</v>
      </c>
      <c r="L15" s="336"/>
      <c r="M15" s="333"/>
      <c r="N15" s="335"/>
    </row>
    <row r="16" spans="1:14" ht="24.75" customHeight="1">
      <c r="A16" s="331" t="s">
        <v>681</v>
      </c>
      <c r="B16" s="332" t="s">
        <v>696</v>
      </c>
      <c r="C16" s="333">
        <f>634286*1.27</f>
        <v>805543.22</v>
      </c>
      <c r="D16" s="334" t="s">
        <v>639</v>
      </c>
      <c r="E16" s="333"/>
      <c r="F16" s="333">
        <f>634286*1.27</f>
        <v>805543.22</v>
      </c>
      <c r="G16" s="333">
        <f>634286*1.27</f>
        <v>805543.22</v>
      </c>
      <c r="H16" s="335"/>
      <c r="I16" s="336"/>
      <c r="J16" s="337">
        <f>634286*1.27</f>
        <v>805543.22</v>
      </c>
      <c r="K16" s="336">
        <f>634286*1.27</f>
        <v>805543.22</v>
      </c>
      <c r="L16" s="336"/>
      <c r="M16" s="333"/>
      <c r="N16" s="335"/>
    </row>
    <row r="17" spans="1:14" ht="24.75" customHeight="1">
      <c r="A17" s="331" t="s">
        <v>666</v>
      </c>
      <c r="B17" s="332" t="s">
        <v>694</v>
      </c>
      <c r="C17" s="333">
        <f>4326510*1.27</f>
        <v>5494667.7000000002</v>
      </c>
      <c r="D17" s="334" t="s">
        <v>648</v>
      </c>
      <c r="E17" s="333"/>
      <c r="F17" s="333">
        <f>390120*1.27</f>
        <v>495452.4</v>
      </c>
      <c r="G17" s="333">
        <f>390120*1.27</f>
        <v>495452.4</v>
      </c>
      <c r="H17" s="335"/>
      <c r="I17" s="336"/>
      <c r="J17" s="337">
        <f>390120*1.27</f>
        <v>495452.4</v>
      </c>
      <c r="K17" s="336">
        <f>390120*1.27</f>
        <v>495452.4</v>
      </c>
      <c r="L17" s="336"/>
      <c r="M17" s="333"/>
      <c r="N17" s="335"/>
    </row>
    <row r="18" spans="1:14" ht="24.75" customHeight="1">
      <c r="A18" s="331" t="s">
        <v>664</v>
      </c>
      <c r="B18" s="332" t="s">
        <v>694</v>
      </c>
      <c r="C18" s="333">
        <f>4724409*1.27</f>
        <v>5999999.4299999997</v>
      </c>
      <c r="D18" s="334" t="s">
        <v>639</v>
      </c>
      <c r="E18" s="333"/>
      <c r="F18" s="333">
        <f>4724409*1.27+1</f>
        <v>6000000.4299999997</v>
      </c>
      <c r="G18" s="333">
        <f>4724409*1.27+1</f>
        <v>6000000.4299999997</v>
      </c>
      <c r="H18" s="335"/>
      <c r="I18" s="336"/>
      <c r="J18" s="337">
        <f>4724409*1.27+1</f>
        <v>6000000.4299999997</v>
      </c>
      <c r="K18" s="336">
        <f>4724409*1.27+1</f>
        <v>6000000.4299999997</v>
      </c>
      <c r="L18" s="336"/>
      <c r="M18" s="333"/>
      <c r="N18" s="335"/>
    </row>
    <row r="19" spans="1:14" ht="24.75" customHeight="1">
      <c r="A19" s="331" t="s">
        <v>665</v>
      </c>
      <c r="B19" s="332" t="s">
        <v>694</v>
      </c>
      <c r="C19" s="333">
        <f>1500000*1.27</f>
        <v>1905000</v>
      </c>
      <c r="D19" s="334" t="s">
        <v>639</v>
      </c>
      <c r="E19" s="333"/>
      <c r="F19" s="333">
        <f>1500000*1.27</f>
        <v>1905000</v>
      </c>
      <c r="G19" s="333">
        <f>1500000*1.27</f>
        <v>1905000</v>
      </c>
      <c r="H19" s="335"/>
      <c r="I19" s="336"/>
      <c r="J19" s="337">
        <f>1500000*1.27</f>
        <v>1905000</v>
      </c>
      <c r="K19" s="336">
        <f>1500000*1.27</f>
        <v>1905000</v>
      </c>
      <c r="L19" s="336"/>
      <c r="M19" s="333"/>
      <c r="N19" s="335"/>
    </row>
    <row r="20" spans="1:14" ht="24.75" customHeight="1">
      <c r="A20" s="331" t="s">
        <v>713</v>
      </c>
      <c r="B20" s="332" t="s">
        <v>694</v>
      </c>
      <c r="C20" s="333">
        <v>2138680</v>
      </c>
      <c r="D20" s="334" t="s">
        <v>639</v>
      </c>
      <c r="E20" s="333"/>
      <c r="F20" s="333"/>
      <c r="G20" s="333">
        <v>2138680</v>
      </c>
      <c r="H20" s="335"/>
      <c r="I20" s="336"/>
      <c r="J20" s="337">
        <v>2138680</v>
      </c>
      <c r="K20" s="336"/>
      <c r="L20" s="336"/>
      <c r="M20" s="336">
        <v>2138680</v>
      </c>
      <c r="N20" s="335"/>
    </row>
    <row r="21" spans="1:14" ht="24.75" customHeight="1">
      <c r="A21" s="331" t="s">
        <v>726</v>
      </c>
      <c r="B21" s="332" t="s">
        <v>694</v>
      </c>
      <c r="C21" s="333">
        <v>606609</v>
      </c>
      <c r="D21" s="334" t="s">
        <v>639</v>
      </c>
      <c r="E21" s="333"/>
      <c r="F21" s="333"/>
      <c r="G21" s="333">
        <v>606609</v>
      </c>
      <c r="H21" s="335"/>
      <c r="I21" s="336"/>
      <c r="J21" s="337">
        <v>606609</v>
      </c>
      <c r="K21" s="336">
        <v>606609</v>
      </c>
      <c r="L21" s="336"/>
      <c r="M21" s="336"/>
      <c r="N21" s="335"/>
    </row>
    <row r="22" spans="1:14" ht="24.75" customHeight="1">
      <c r="A22" s="331" t="s">
        <v>607</v>
      </c>
      <c r="B22" s="332" t="s">
        <v>695</v>
      </c>
      <c r="C22" s="333">
        <f>500000*1.27</f>
        <v>635000</v>
      </c>
      <c r="D22" s="334" t="s">
        <v>639</v>
      </c>
      <c r="E22" s="333"/>
      <c r="F22" s="333">
        <f>500000*1.27</f>
        <v>635000</v>
      </c>
      <c r="G22" s="333">
        <f>500000*1.27</f>
        <v>635000</v>
      </c>
      <c r="H22" s="335"/>
      <c r="I22" s="336"/>
      <c r="J22" s="337">
        <f>500000*1.27</f>
        <v>635000</v>
      </c>
      <c r="K22" s="336">
        <f>500000*1.27</f>
        <v>635000</v>
      </c>
      <c r="L22" s="336"/>
      <c r="M22" s="333"/>
      <c r="N22" s="335"/>
    </row>
    <row r="23" spans="1:14" ht="24.75" customHeight="1">
      <c r="A23" s="331" t="s">
        <v>667</v>
      </c>
      <c r="B23" s="332" t="s">
        <v>695</v>
      </c>
      <c r="C23" s="333">
        <f>500000*1.27</f>
        <v>635000</v>
      </c>
      <c r="D23" s="334" t="s">
        <v>639</v>
      </c>
      <c r="E23" s="333"/>
      <c r="F23" s="333">
        <f>500000*1.27</f>
        <v>635000</v>
      </c>
      <c r="G23" s="333">
        <f>500000*1.27</f>
        <v>635000</v>
      </c>
      <c r="H23" s="335"/>
      <c r="I23" s="336"/>
      <c r="J23" s="337">
        <f>500000*1.27</f>
        <v>635000</v>
      </c>
      <c r="K23" s="336">
        <f>500000*1.27</f>
        <v>635000</v>
      </c>
      <c r="L23" s="336"/>
      <c r="M23" s="333"/>
      <c r="N23" s="335"/>
    </row>
    <row r="24" spans="1:14" ht="24.75" customHeight="1">
      <c r="A24" s="331" t="s">
        <v>668</v>
      </c>
      <c r="B24" s="332" t="s">
        <v>695</v>
      </c>
      <c r="C24" s="333">
        <f>700000*1.27</f>
        <v>889000</v>
      </c>
      <c r="D24" s="334" t="s">
        <v>639</v>
      </c>
      <c r="E24" s="333"/>
      <c r="F24" s="333">
        <f>700000*1.27</f>
        <v>889000</v>
      </c>
      <c r="G24" s="333">
        <f>700000*1.27</f>
        <v>889000</v>
      </c>
      <c r="H24" s="335"/>
      <c r="I24" s="336"/>
      <c r="J24" s="337">
        <f>700000*1.27</f>
        <v>889000</v>
      </c>
      <c r="K24" s="336">
        <f>700000*1.27</f>
        <v>889000</v>
      </c>
      <c r="L24" s="336"/>
      <c r="M24" s="333"/>
      <c r="N24" s="335"/>
    </row>
    <row r="25" spans="1:14" ht="24.75" customHeight="1">
      <c r="A25" s="331" t="s">
        <v>679</v>
      </c>
      <c r="B25" s="332" t="s">
        <v>695</v>
      </c>
      <c r="C25" s="333">
        <f>120000</f>
        <v>120000</v>
      </c>
      <c r="D25" s="334" t="s">
        <v>639</v>
      </c>
      <c r="E25" s="333"/>
      <c r="F25" s="333">
        <f>120000</f>
        <v>120000</v>
      </c>
      <c r="G25" s="333">
        <f>120000</f>
        <v>120000</v>
      </c>
      <c r="H25" s="335"/>
      <c r="I25" s="336"/>
      <c r="J25" s="337">
        <f>120000</f>
        <v>120000</v>
      </c>
      <c r="K25" s="336">
        <f>120000</f>
        <v>120000</v>
      </c>
      <c r="L25" s="336"/>
      <c r="M25" s="333"/>
      <c r="N25" s="335"/>
    </row>
    <row r="26" spans="1:14" ht="24.75" customHeight="1">
      <c r="A26" s="331" t="s">
        <v>609</v>
      </c>
      <c r="B26" s="332" t="s">
        <v>691</v>
      </c>
      <c r="C26" s="333">
        <f>1500000*1.27</f>
        <v>1905000</v>
      </c>
      <c r="D26" s="334" t="s">
        <v>639</v>
      </c>
      <c r="E26" s="333"/>
      <c r="F26" s="333">
        <f>1500000*1.27</f>
        <v>1905000</v>
      </c>
      <c r="G26" s="333">
        <f>1500000*1.27</f>
        <v>1905000</v>
      </c>
      <c r="H26" s="335"/>
      <c r="I26" s="336"/>
      <c r="J26" s="337">
        <f>1500000*1.27</f>
        <v>1905000</v>
      </c>
      <c r="K26" s="336">
        <f>1500000*1.27</f>
        <v>1905000</v>
      </c>
      <c r="L26" s="336"/>
      <c r="M26" s="333"/>
      <c r="N26" s="335"/>
    </row>
    <row r="27" spans="1:14" ht="24.75" customHeight="1">
      <c r="A27" s="331" t="s">
        <v>610</v>
      </c>
      <c r="B27" s="332" t="s">
        <v>691</v>
      </c>
      <c r="C27" s="333">
        <f>500000*1.27</f>
        <v>635000</v>
      </c>
      <c r="D27" s="334" t="s">
        <v>639</v>
      </c>
      <c r="E27" s="333"/>
      <c r="F27" s="333">
        <f>500000*1.27</f>
        <v>635000</v>
      </c>
      <c r="G27" s="333">
        <f>500000*1.27</f>
        <v>635000</v>
      </c>
      <c r="H27" s="335"/>
      <c r="I27" s="336"/>
      <c r="J27" s="337">
        <f>500000*1.27</f>
        <v>635000</v>
      </c>
      <c r="K27" s="336">
        <f>500000*1.27</f>
        <v>635000</v>
      </c>
      <c r="L27" s="336"/>
      <c r="M27" s="333"/>
      <c r="N27" s="335"/>
    </row>
    <row r="28" spans="1:14" s="343" customFormat="1" ht="24.75" customHeight="1">
      <c r="A28" s="338" t="s">
        <v>675</v>
      </c>
      <c r="B28" s="339"/>
      <c r="C28" s="340">
        <f t="shared" ref="C28:M28" si="0">SUM(C10:C27)</f>
        <v>62951941.000000007</v>
      </c>
      <c r="D28" s="340">
        <f t="shared" si="0"/>
        <v>0</v>
      </c>
      <c r="E28" s="340">
        <f t="shared" si="0"/>
        <v>99999.8</v>
      </c>
      <c r="F28" s="340">
        <f t="shared" si="0"/>
        <v>55069637.630000003</v>
      </c>
      <c r="G28" s="340">
        <f t="shared" si="0"/>
        <v>66234725.630000003</v>
      </c>
      <c r="H28" s="340">
        <f t="shared" si="0"/>
        <v>0</v>
      </c>
      <c r="I28" s="340">
        <f t="shared" si="0"/>
        <v>0</v>
      </c>
      <c r="J28" s="340">
        <f t="shared" si="0"/>
        <v>66234725.630000003</v>
      </c>
      <c r="K28" s="340">
        <f t="shared" si="0"/>
        <v>18497405.289999999</v>
      </c>
      <c r="L28" s="340">
        <f t="shared" si="0"/>
        <v>2346088.7800000003</v>
      </c>
      <c r="M28" s="340">
        <f t="shared" si="0"/>
        <v>45391232</v>
      </c>
      <c r="N28" s="341"/>
    </row>
    <row r="29" spans="1:14" ht="24.75" customHeight="1">
      <c r="A29" s="331"/>
      <c r="B29" s="332"/>
      <c r="C29" s="333"/>
      <c r="D29" s="334"/>
      <c r="E29" s="333"/>
      <c r="F29" s="333"/>
      <c r="G29" s="333"/>
      <c r="H29" s="335"/>
      <c r="I29" s="336"/>
      <c r="J29" s="337"/>
      <c r="K29" s="336"/>
      <c r="L29" s="336"/>
      <c r="M29" s="333"/>
      <c r="N29" s="335"/>
    </row>
    <row r="30" spans="1:14" ht="24.75" customHeight="1">
      <c r="A30" s="331" t="s">
        <v>651</v>
      </c>
      <c r="B30" s="332" t="s">
        <v>697</v>
      </c>
      <c r="C30" s="333">
        <f>400000*1.27</f>
        <v>508000</v>
      </c>
      <c r="D30" s="334" t="s">
        <v>639</v>
      </c>
      <c r="E30" s="333"/>
      <c r="F30" s="333">
        <f>400000*1.27</f>
        <v>508000</v>
      </c>
      <c r="G30" s="333">
        <f>400000*1.27</f>
        <v>508000</v>
      </c>
      <c r="H30" s="335"/>
      <c r="I30" s="336"/>
      <c r="J30" s="337">
        <f>400000*1.27</f>
        <v>508000</v>
      </c>
      <c r="K30" s="336">
        <f>400000*1.27</f>
        <v>508000</v>
      </c>
      <c r="L30" s="336"/>
      <c r="M30" s="333"/>
      <c r="N30" s="335"/>
    </row>
    <row r="31" spans="1:14" ht="24.75" customHeight="1">
      <c r="A31" s="331" t="s">
        <v>649</v>
      </c>
      <c r="B31" s="332" t="s">
        <v>697</v>
      </c>
      <c r="C31" s="333">
        <f>600000*1.27</f>
        <v>762000</v>
      </c>
      <c r="D31" s="334" t="s">
        <v>639</v>
      </c>
      <c r="E31" s="333"/>
      <c r="F31" s="333">
        <f>600000*1.27</f>
        <v>762000</v>
      </c>
      <c r="G31" s="333">
        <f>600000*1.27</f>
        <v>762000</v>
      </c>
      <c r="H31" s="335"/>
      <c r="I31" s="336"/>
      <c r="J31" s="337">
        <f>600000*1.27</f>
        <v>762000</v>
      </c>
      <c r="K31" s="336">
        <f>600000*1.27</f>
        <v>762000</v>
      </c>
      <c r="L31" s="336"/>
      <c r="M31" s="333"/>
      <c r="N31" s="335"/>
    </row>
    <row r="32" spans="1:14" ht="24.75" customHeight="1">
      <c r="A32" s="331" t="s">
        <v>661</v>
      </c>
      <c r="B32" s="332" t="s">
        <v>698</v>
      </c>
      <c r="C32" s="333">
        <f>50000*1.27</f>
        <v>63500</v>
      </c>
      <c r="D32" s="334" t="s">
        <v>639</v>
      </c>
      <c r="E32" s="333"/>
      <c r="F32" s="333">
        <f>50000*1.27</f>
        <v>63500</v>
      </c>
      <c r="G32" s="333">
        <f>50000*1.27</f>
        <v>63500</v>
      </c>
      <c r="H32" s="335"/>
      <c r="I32" s="336"/>
      <c r="J32" s="337">
        <f>50000*1.27</f>
        <v>63500</v>
      </c>
      <c r="K32" s="336">
        <f>50000*1.27</f>
        <v>63500</v>
      </c>
      <c r="L32" s="336"/>
      <c r="M32" s="333"/>
      <c r="N32" s="335"/>
    </row>
    <row r="33" spans="1:14" s="343" customFormat="1" ht="24.75" customHeight="1">
      <c r="A33" s="338" t="s">
        <v>676</v>
      </c>
      <c r="B33" s="339"/>
      <c r="C33" s="340">
        <f>SUM(C30:C32)</f>
        <v>1333500</v>
      </c>
      <c r="D33" s="340">
        <f>SUM(D30:D32)</f>
        <v>0</v>
      </c>
      <c r="E33" s="340">
        <f>SUM(E30:E32)</f>
        <v>0</v>
      </c>
      <c r="F33" s="340">
        <f>SUM(F30:F32)</f>
        <v>1333500</v>
      </c>
      <c r="G33" s="340">
        <f>SUM(G30:G32)</f>
        <v>1333500</v>
      </c>
      <c r="H33" s="341"/>
      <c r="I33" s="342"/>
      <c r="J33" s="342">
        <f>SUM(J30:J32)</f>
        <v>1333500</v>
      </c>
      <c r="K33" s="342">
        <f>SUM(K30:K32)</f>
        <v>1333500</v>
      </c>
      <c r="L33" s="342">
        <f>SUM(L30:L32)</f>
        <v>0</v>
      </c>
      <c r="M33" s="342">
        <f>SUM(M30:M32)</f>
        <v>0</v>
      </c>
      <c r="N33" s="341"/>
    </row>
    <row r="34" spans="1:14" ht="24.75" customHeight="1">
      <c r="A34" s="331"/>
      <c r="B34" s="332"/>
      <c r="C34" s="333"/>
      <c r="D34" s="334"/>
      <c r="E34" s="333"/>
      <c r="F34" s="333"/>
      <c r="G34" s="333"/>
      <c r="H34" s="335"/>
      <c r="I34" s="336"/>
      <c r="J34" s="337"/>
      <c r="K34" s="336"/>
      <c r="L34" s="336"/>
      <c r="M34" s="333"/>
      <c r="N34" s="335"/>
    </row>
    <row r="35" spans="1:14" ht="35.25" customHeight="1">
      <c r="A35" s="331" t="s">
        <v>682</v>
      </c>
      <c r="B35" s="332" t="s">
        <v>699</v>
      </c>
      <c r="C35" s="333">
        <f>2162371*1.27</f>
        <v>2746211.17</v>
      </c>
      <c r="D35" s="334" t="s">
        <v>639</v>
      </c>
      <c r="E35" s="333"/>
      <c r="F35" s="333">
        <f>2162371*1.27</f>
        <v>2746211.17</v>
      </c>
      <c r="G35" s="333">
        <f>2162371*1.27</f>
        <v>2746211.17</v>
      </c>
      <c r="H35" s="335"/>
      <c r="I35" s="336"/>
      <c r="J35" s="337">
        <f>2162371*1.27</f>
        <v>2746211.17</v>
      </c>
      <c r="K35" s="336"/>
      <c r="L35" s="336">
        <v>2746211</v>
      </c>
      <c r="M35" s="333"/>
      <c r="N35" s="335"/>
    </row>
    <row r="36" spans="1:14" ht="24.75" customHeight="1">
      <c r="A36" s="331" t="s">
        <v>652</v>
      </c>
      <c r="B36" s="332" t="s">
        <v>700</v>
      </c>
      <c r="C36" s="333">
        <f>500000*1.27</f>
        <v>635000</v>
      </c>
      <c r="D36" s="334" t="s">
        <v>639</v>
      </c>
      <c r="E36" s="333"/>
      <c r="F36" s="333">
        <f>500000*1.27</f>
        <v>635000</v>
      </c>
      <c r="G36" s="333">
        <f>500000*1.27</f>
        <v>635000</v>
      </c>
      <c r="H36" s="335"/>
      <c r="I36" s="336"/>
      <c r="J36" s="337">
        <f>500000*1.27</f>
        <v>635000</v>
      </c>
      <c r="K36" s="336">
        <f>500000*1.27</f>
        <v>635000</v>
      </c>
      <c r="L36" s="336"/>
      <c r="M36" s="333"/>
      <c r="N36" s="335"/>
    </row>
    <row r="37" spans="1:14" ht="24.75" customHeight="1">
      <c r="A37" s="331" t="s">
        <v>650</v>
      </c>
      <c r="B37" s="332" t="s">
        <v>697</v>
      </c>
      <c r="C37" s="333">
        <f>300000*1.27</f>
        <v>381000</v>
      </c>
      <c r="D37" s="334" t="s">
        <v>639</v>
      </c>
      <c r="E37" s="333"/>
      <c r="F37" s="333">
        <f>300000*1.27</f>
        <v>381000</v>
      </c>
      <c r="G37" s="333">
        <f>300000*1.27</f>
        <v>381000</v>
      </c>
      <c r="H37" s="335"/>
      <c r="I37" s="336"/>
      <c r="J37" s="337">
        <f>300000*1.27</f>
        <v>381000</v>
      </c>
      <c r="K37" s="336">
        <f>300000*1.27</f>
        <v>381000</v>
      </c>
      <c r="L37" s="336"/>
      <c r="M37" s="333"/>
      <c r="N37" s="335"/>
    </row>
    <row r="38" spans="1:14" ht="24.75" customHeight="1">
      <c r="A38" s="331" t="s">
        <v>653</v>
      </c>
      <c r="B38" s="332" t="s">
        <v>697</v>
      </c>
      <c r="C38" s="333">
        <f>500000*1.27</f>
        <v>635000</v>
      </c>
      <c r="D38" s="334" t="s">
        <v>639</v>
      </c>
      <c r="E38" s="333"/>
      <c r="F38" s="333">
        <f>500000*1.27</f>
        <v>635000</v>
      </c>
      <c r="G38" s="333">
        <f>500000*1.27</f>
        <v>635000</v>
      </c>
      <c r="H38" s="335"/>
      <c r="I38" s="336"/>
      <c r="J38" s="337">
        <f>500000*1.27</f>
        <v>635000</v>
      </c>
      <c r="K38" s="336">
        <f>500000*1.27</f>
        <v>635000</v>
      </c>
      <c r="L38" s="336"/>
      <c r="M38" s="333"/>
      <c r="N38" s="335"/>
    </row>
    <row r="39" spans="1:14" ht="24.75" customHeight="1">
      <c r="A39" s="331" t="s">
        <v>659</v>
      </c>
      <c r="B39" s="332" t="s">
        <v>694</v>
      </c>
      <c r="C39" s="333">
        <f>1200000*1.27</f>
        <v>1524000</v>
      </c>
      <c r="D39" s="334" t="s">
        <v>639</v>
      </c>
      <c r="E39" s="333"/>
      <c r="F39" s="333">
        <f>1200000*1.27</f>
        <v>1524000</v>
      </c>
      <c r="G39" s="333">
        <f>1200000*1.27</f>
        <v>1524000</v>
      </c>
      <c r="H39" s="335"/>
      <c r="I39" s="336"/>
      <c r="J39" s="337">
        <f>1200000*1.27</f>
        <v>1524000</v>
      </c>
      <c r="K39" s="336">
        <f>1200000*1.27</f>
        <v>1524000</v>
      </c>
      <c r="L39" s="336"/>
      <c r="M39" s="333"/>
      <c r="N39" s="335"/>
    </row>
    <row r="40" spans="1:14" ht="24.75" customHeight="1">
      <c r="A40" s="331" t="s">
        <v>714</v>
      </c>
      <c r="B40" s="332" t="s">
        <v>694</v>
      </c>
      <c r="C40" s="333">
        <v>2858770</v>
      </c>
      <c r="D40" s="334" t="s">
        <v>639</v>
      </c>
      <c r="E40" s="333"/>
      <c r="F40" s="333"/>
      <c r="G40" s="333">
        <v>2858770</v>
      </c>
      <c r="H40" s="335"/>
      <c r="I40" s="336"/>
      <c r="J40" s="337">
        <v>2858770</v>
      </c>
      <c r="K40" s="336"/>
      <c r="L40" s="336"/>
      <c r="M40" s="333">
        <v>2858770</v>
      </c>
      <c r="N40" s="335"/>
    </row>
    <row r="41" spans="1:14" ht="24.75" customHeight="1">
      <c r="A41" s="331" t="s">
        <v>660</v>
      </c>
      <c r="B41" s="332" t="s">
        <v>701</v>
      </c>
      <c r="C41" s="333">
        <f>100000*1.27</f>
        <v>127000</v>
      </c>
      <c r="D41" s="334" t="s">
        <v>639</v>
      </c>
      <c r="E41" s="333"/>
      <c r="F41" s="333">
        <f t="shared" ref="F41:G43" si="1">100000*1.27</f>
        <v>127000</v>
      </c>
      <c r="G41" s="333">
        <f t="shared" si="1"/>
        <v>127000</v>
      </c>
      <c r="H41" s="335"/>
      <c r="I41" s="336"/>
      <c r="J41" s="337">
        <f t="shared" ref="J41:K43" si="2">100000*1.27</f>
        <v>127000</v>
      </c>
      <c r="K41" s="336">
        <f t="shared" si="2"/>
        <v>127000</v>
      </c>
      <c r="L41" s="336"/>
      <c r="M41" s="333"/>
      <c r="N41" s="335"/>
    </row>
    <row r="42" spans="1:14" ht="24.75" customHeight="1">
      <c r="A42" s="331" t="s">
        <v>703</v>
      </c>
      <c r="B42" s="332" t="s">
        <v>698</v>
      </c>
      <c r="C42" s="333">
        <f>100000*1.27</f>
        <v>127000</v>
      </c>
      <c r="D42" s="334" t="s">
        <v>639</v>
      </c>
      <c r="E42" s="333"/>
      <c r="F42" s="333">
        <f t="shared" si="1"/>
        <v>127000</v>
      </c>
      <c r="G42" s="333">
        <f t="shared" si="1"/>
        <v>127000</v>
      </c>
      <c r="H42" s="335"/>
      <c r="I42" s="336"/>
      <c r="J42" s="337">
        <f t="shared" si="2"/>
        <v>127000</v>
      </c>
      <c r="K42" s="336">
        <f t="shared" si="2"/>
        <v>127000</v>
      </c>
      <c r="L42" s="336"/>
      <c r="M42" s="333"/>
      <c r="N42" s="335"/>
    </row>
    <row r="43" spans="1:14" ht="24.75" customHeight="1">
      <c r="A43" s="331" t="s">
        <v>662</v>
      </c>
      <c r="B43" s="332" t="s">
        <v>702</v>
      </c>
      <c r="C43" s="333">
        <f>100000*1.27</f>
        <v>127000</v>
      </c>
      <c r="D43" s="334" t="s">
        <v>639</v>
      </c>
      <c r="E43" s="333"/>
      <c r="F43" s="333">
        <f t="shared" si="1"/>
        <v>127000</v>
      </c>
      <c r="G43" s="333">
        <f t="shared" si="1"/>
        <v>127000</v>
      </c>
      <c r="H43" s="335"/>
      <c r="I43" s="336"/>
      <c r="J43" s="337">
        <f t="shared" si="2"/>
        <v>127000</v>
      </c>
      <c r="K43" s="336">
        <f t="shared" si="2"/>
        <v>127000</v>
      </c>
      <c r="L43" s="336"/>
      <c r="M43" s="333"/>
      <c r="N43" s="335"/>
    </row>
    <row r="44" spans="1:14" ht="24.75" customHeight="1">
      <c r="A44" s="331" t="s">
        <v>669</v>
      </c>
      <c r="B44" s="332" t="s">
        <v>695</v>
      </c>
      <c r="C44" s="333">
        <f>50000*1.27</f>
        <v>63500</v>
      </c>
      <c r="D44" s="334" t="s">
        <v>639</v>
      </c>
      <c r="E44" s="333"/>
      <c r="F44" s="333">
        <f>50000*1.27</f>
        <v>63500</v>
      </c>
      <c r="G44" s="333">
        <f>50000*1.27</f>
        <v>63500</v>
      </c>
      <c r="H44" s="335"/>
      <c r="I44" s="336"/>
      <c r="J44" s="337">
        <f>50000*1.27</f>
        <v>63500</v>
      </c>
      <c r="K44" s="336">
        <f>50000*1.27</f>
        <v>63500</v>
      </c>
      <c r="L44" s="336"/>
      <c r="M44" s="333"/>
      <c r="N44" s="335"/>
    </row>
    <row r="45" spans="1:14" ht="24.75" customHeight="1">
      <c r="A45" s="331" t="s">
        <v>670</v>
      </c>
      <c r="B45" s="332" t="s">
        <v>695</v>
      </c>
      <c r="C45" s="333">
        <f>100000*1.27</f>
        <v>127000</v>
      </c>
      <c r="D45" s="334" t="s">
        <v>639</v>
      </c>
      <c r="E45" s="333"/>
      <c r="F45" s="333">
        <f>100000*1.27</f>
        <v>127000</v>
      </c>
      <c r="G45" s="333">
        <f>100000*1.27</f>
        <v>127000</v>
      </c>
      <c r="H45" s="335"/>
      <c r="I45" s="336"/>
      <c r="J45" s="337">
        <f>100000*1.27</f>
        <v>127000</v>
      </c>
      <c r="K45" s="336">
        <f>100000*1.27</f>
        <v>127000</v>
      </c>
      <c r="L45" s="336"/>
      <c r="M45" s="333"/>
      <c r="N45" s="335"/>
    </row>
    <row r="46" spans="1:14" ht="24.75" customHeight="1">
      <c r="A46" s="331" t="s">
        <v>608</v>
      </c>
      <c r="B46" s="332" t="s">
        <v>695</v>
      </c>
      <c r="C46" s="333">
        <f>800000*1.27</f>
        <v>1016000</v>
      </c>
      <c r="D46" s="334" t="s">
        <v>639</v>
      </c>
      <c r="E46" s="333"/>
      <c r="F46" s="333">
        <f>800000*1.27</f>
        <v>1016000</v>
      </c>
      <c r="G46" s="333">
        <f>800000*1.27</f>
        <v>1016000</v>
      </c>
      <c r="H46" s="335"/>
      <c r="I46" s="336"/>
      <c r="J46" s="337">
        <f>800000*1.27</f>
        <v>1016000</v>
      </c>
      <c r="K46" s="336">
        <f>800000*1.27</f>
        <v>1016000</v>
      </c>
      <c r="L46" s="336"/>
      <c r="M46" s="333"/>
      <c r="N46" s="335"/>
    </row>
    <row r="47" spans="1:14" ht="24.75" customHeight="1">
      <c r="A47" s="331" t="s">
        <v>671</v>
      </c>
      <c r="B47" s="332" t="s">
        <v>695</v>
      </c>
      <c r="C47" s="333">
        <f>1500000*1.27</f>
        <v>1905000</v>
      </c>
      <c r="D47" s="334" t="s">
        <v>639</v>
      </c>
      <c r="E47" s="333"/>
      <c r="F47" s="333">
        <f>1500000*1.27</f>
        <v>1905000</v>
      </c>
      <c r="G47" s="333">
        <f>1500000*1.27</f>
        <v>1905000</v>
      </c>
      <c r="H47" s="335"/>
      <c r="I47" s="336"/>
      <c r="J47" s="337">
        <f>1500000*1.27</f>
        <v>1905000</v>
      </c>
      <c r="K47" s="336">
        <f>1500000*1.27</f>
        <v>1905000</v>
      </c>
      <c r="L47" s="336"/>
      <c r="M47" s="333"/>
      <c r="N47" s="335"/>
    </row>
    <row r="48" spans="1:14" ht="24.75" customHeight="1">
      <c r="A48" s="331" t="s">
        <v>672</v>
      </c>
      <c r="B48" s="332" t="s">
        <v>695</v>
      </c>
      <c r="C48" s="333">
        <f>200000*1.27</f>
        <v>254000</v>
      </c>
      <c r="D48" s="334" t="s">
        <v>639</v>
      </c>
      <c r="E48" s="333"/>
      <c r="F48" s="333">
        <f>200000*1.27</f>
        <v>254000</v>
      </c>
      <c r="G48" s="333">
        <f>200000*1.27</f>
        <v>254000</v>
      </c>
      <c r="H48" s="335"/>
      <c r="I48" s="336"/>
      <c r="J48" s="337">
        <f>200000*1.27</f>
        <v>254000</v>
      </c>
      <c r="K48" s="336">
        <f>200000*1.27</f>
        <v>254000</v>
      </c>
      <c r="L48" s="336"/>
      <c r="M48" s="333"/>
      <c r="N48" s="335"/>
    </row>
    <row r="49" spans="1:14" ht="24.75" customHeight="1">
      <c r="A49" s="331" t="s">
        <v>673</v>
      </c>
      <c r="B49" s="332" t="s">
        <v>695</v>
      </c>
      <c r="C49" s="333">
        <f>300000*1.27</f>
        <v>381000</v>
      </c>
      <c r="D49" s="334" t="s">
        <v>639</v>
      </c>
      <c r="E49" s="333"/>
      <c r="F49" s="333">
        <f>300000*1.27</f>
        <v>381000</v>
      </c>
      <c r="G49" s="333">
        <f>300000*1.27</f>
        <v>381000</v>
      </c>
      <c r="H49" s="335"/>
      <c r="I49" s="336"/>
      <c r="J49" s="337">
        <f>300000*1.27</f>
        <v>381000</v>
      </c>
      <c r="K49" s="336">
        <f>300000*1.27</f>
        <v>381000</v>
      </c>
      <c r="L49" s="336"/>
      <c r="M49" s="333"/>
      <c r="N49" s="335"/>
    </row>
    <row r="50" spans="1:14" s="343" customFormat="1" ht="24.75" customHeight="1">
      <c r="A50" s="338" t="s">
        <v>677</v>
      </c>
      <c r="B50" s="339"/>
      <c r="C50" s="340">
        <f>SUM(C35:C49)</f>
        <v>12907481.17</v>
      </c>
      <c r="D50" s="340">
        <f>SUM(D35:D49)</f>
        <v>0</v>
      </c>
      <c r="E50" s="340">
        <f>SUM(E35:E49)</f>
        <v>0</v>
      </c>
      <c r="F50" s="340">
        <f>SUM(F35:F49)</f>
        <v>10048711.17</v>
      </c>
      <c r="G50" s="340">
        <f>SUM(G35:G49)</f>
        <v>12907481.17</v>
      </c>
      <c r="H50" s="341"/>
      <c r="I50" s="342"/>
      <c r="J50" s="342">
        <f>SUM(J35:J49)</f>
        <v>12907481.17</v>
      </c>
      <c r="K50" s="342">
        <f>SUM(K35:K49)</f>
        <v>7302500</v>
      </c>
      <c r="L50" s="342">
        <f>SUM(L35:L49)</f>
        <v>2746211</v>
      </c>
      <c r="M50" s="342">
        <f>SUM(M35:M49)</f>
        <v>2858770</v>
      </c>
      <c r="N50" s="341"/>
    </row>
    <row r="51" spans="1:14" ht="15.95" customHeight="1">
      <c r="A51" s="331"/>
      <c r="B51" s="332"/>
      <c r="C51" s="333"/>
      <c r="D51" s="334"/>
      <c r="E51" s="333"/>
      <c r="F51" s="333"/>
      <c r="G51" s="333"/>
      <c r="H51" s="335"/>
      <c r="I51" s="336"/>
      <c r="J51" s="337"/>
      <c r="K51" s="336"/>
      <c r="L51" s="336"/>
      <c r="M51" s="333"/>
      <c r="N51" s="335"/>
    </row>
    <row r="52" spans="1:14" ht="15.95" customHeight="1">
      <c r="A52" s="331" t="s">
        <v>721</v>
      </c>
      <c r="B52" s="332" t="s">
        <v>694</v>
      </c>
      <c r="C52" s="333">
        <v>5</v>
      </c>
      <c r="D52" s="334" t="s">
        <v>639</v>
      </c>
      <c r="E52" s="333"/>
      <c r="F52" s="333"/>
      <c r="G52" s="333">
        <v>5</v>
      </c>
      <c r="H52" s="335"/>
      <c r="I52" s="336"/>
      <c r="J52" s="337">
        <v>5</v>
      </c>
      <c r="K52" s="336">
        <v>5</v>
      </c>
      <c r="L52" s="336"/>
      <c r="M52" s="333"/>
      <c r="N52" s="335"/>
    </row>
    <row r="53" spans="1:14" s="343" customFormat="1" ht="15.95" customHeight="1">
      <c r="A53" s="338" t="s">
        <v>722</v>
      </c>
      <c r="B53" s="339"/>
      <c r="C53" s="340">
        <f>SUM(C52)</f>
        <v>5</v>
      </c>
      <c r="D53" s="340">
        <f t="shared" ref="D53:L53" si="3">SUM(D52)</f>
        <v>0</v>
      </c>
      <c r="E53" s="340">
        <f t="shared" si="3"/>
        <v>0</v>
      </c>
      <c r="F53" s="340">
        <f t="shared" si="3"/>
        <v>0</v>
      </c>
      <c r="G53" s="340">
        <f t="shared" si="3"/>
        <v>5</v>
      </c>
      <c r="H53" s="340">
        <f t="shared" si="3"/>
        <v>0</v>
      </c>
      <c r="I53" s="340">
        <f t="shared" si="3"/>
        <v>0</v>
      </c>
      <c r="J53" s="340">
        <f t="shared" si="3"/>
        <v>5</v>
      </c>
      <c r="K53" s="340">
        <f t="shared" si="3"/>
        <v>5</v>
      </c>
      <c r="L53" s="340">
        <f t="shared" si="3"/>
        <v>0</v>
      </c>
      <c r="M53" s="340">
        <f>SUM(M52)</f>
        <v>0</v>
      </c>
      <c r="N53" s="341"/>
    </row>
    <row r="54" spans="1:14" ht="15.95" customHeight="1">
      <c r="A54" s="331"/>
      <c r="B54" s="332"/>
      <c r="C54" s="333"/>
      <c r="D54" s="334"/>
      <c r="E54" s="333"/>
      <c r="F54" s="333"/>
      <c r="G54" s="333"/>
      <c r="H54" s="335"/>
      <c r="I54" s="336"/>
      <c r="J54" s="337"/>
      <c r="K54" s="336"/>
      <c r="L54" s="336"/>
      <c r="M54" s="333"/>
      <c r="N54" s="335"/>
    </row>
    <row r="55" spans="1:14" ht="15.95" customHeight="1">
      <c r="A55" s="331"/>
      <c r="B55" s="332"/>
      <c r="C55" s="333"/>
      <c r="D55" s="334"/>
      <c r="E55" s="333"/>
      <c r="F55" s="333"/>
      <c r="G55" s="333"/>
      <c r="H55" s="335"/>
      <c r="I55" s="336"/>
      <c r="J55" s="337"/>
      <c r="K55" s="336"/>
      <c r="L55" s="336"/>
      <c r="M55" s="333"/>
      <c r="N55" s="335"/>
    </row>
    <row r="56" spans="1:14" ht="15.95" customHeight="1">
      <c r="A56" s="331"/>
      <c r="B56" s="332"/>
      <c r="C56" s="333"/>
      <c r="D56" s="334"/>
      <c r="E56" s="333"/>
      <c r="F56" s="333"/>
      <c r="G56" s="333"/>
      <c r="H56" s="335"/>
      <c r="I56" s="336"/>
      <c r="J56" s="337"/>
      <c r="K56" s="336"/>
      <c r="L56" s="336"/>
      <c r="M56" s="333"/>
      <c r="N56" s="335"/>
    </row>
    <row r="57" spans="1:14" ht="15.95" customHeight="1">
      <c r="A57" s="331"/>
      <c r="B57" s="332"/>
      <c r="C57" s="333"/>
      <c r="D57" s="334"/>
      <c r="E57" s="333"/>
      <c r="F57" s="333"/>
      <c r="G57" s="333"/>
      <c r="H57" s="335"/>
      <c r="I57" s="336"/>
      <c r="J57" s="337"/>
      <c r="K57" s="336"/>
      <c r="L57" s="336"/>
      <c r="M57" s="333"/>
      <c r="N57" s="335"/>
    </row>
    <row r="58" spans="1:14" ht="15.95" customHeight="1" thickBot="1">
      <c r="A58" s="331"/>
      <c r="B58" s="332"/>
      <c r="C58" s="333"/>
      <c r="D58" s="334"/>
      <c r="E58" s="333"/>
      <c r="F58" s="333"/>
      <c r="G58" s="333"/>
      <c r="H58" s="335"/>
      <c r="I58" s="336"/>
      <c r="J58" s="337"/>
      <c r="K58" s="336"/>
      <c r="L58" s="336"/>
      <c r="M58" s="333"/>
      <c r="N58" s="335"/>
    </row>
    <row r="59" spans="1:14" s="349" customFormat="1" ht="18" customHeight="1" thickBot="1">
      <c r="A59" s="345" t="s">
        <v>678</v>
      </c>
      <c r="B59" s="346"/>
      <c r="C59" s="347">
        <f t="shared" ref="C59:M59" si="4">C8+C28+C33+C50+C53</f>
        <v>89810427.330000013</v>
      </c>
      <c r="D59" s="347">
        <f t="shared" si="4"/>
        <v>0</v>
      </c>
      <c r="E59" s="347">
        <f t="shared" si="4"/>
        <v>4544999.8</v>
      </c>
      <c r="F59" s="347">
        <f t="shared" si="4"/>
        <v>73674348.960000008</v>
      </c>
      <c r="G59" s="347">
        <f t="shared" si="4"/>
        <v>88648211.960000008</v>
      </c>
      <c r="H59" s="347">
        <f t="shared" si="4"/>
        <v>0</v>
      </c>
      <c r="I59" s="347">
        <f t="shared" si="4"/>
        <v>0</v>
      </c>
      <c r="J59" s="347">
        <f t="shared" si="4"/>
        <v>88648211.960000008</v>
      </c>
      <c r="K59" s="347">
        <f t="shared" si="4"/>
        <v>32805910.289999999</v>
      </c>
      <c r="L59" s="347">
        <f t="shared" si="4"/>
        <v>5092299.78</v>
      </c>
      <c r="M59" s="347">
        <f t="shared" si="4"/>
        <v>50750002</v>
      </c>
      <c r="N59" s="348">
        <f>SUM(N10:N58)</f>
        <v>0</v>
      </c>
    </row>
  </sheetData>
  <mergeCells count="1">
    <mergeCell ref="A1:N1"/>
  </mergeCells>
  <phoneticPr fontId="0" type="noConversion"/>
  <printOptions horizontalCentered="1"/>
  <pageMargins left="0.19685039370078741" right="0.19685039370078741" top="0.19685039370078741" bottom="0.19685039370078741" header="0.78740157480314965" footer="0.78740157480314965"/>
  <pageSetup paperSize="9" scale="43" orientation="landscape" horizontalDpi="300" verticalDpi="300" r:id="rId1"/>
  <headerFooter alignWithMargins="0">
    <oddHeader>&amp;LVonyarcvashegy Nagyközség Önkormányzata&amp;R&amp;"Times New Roman CE,Félkövér dőlt"&amp;11 6. melléklet a 7/2017. (V.26.) önkormányzati rendelethez</oddHeader>
    <oddFooter>&amp;P. oldal, összesen: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Munka11">
    <tabColor rgb="FFFFFF00"/>
  </sheetPr>
  <dimension ref="A1:O26"/>
  <sheetViews>
    <sheetView view="pageLayout" zoomScaleNormal="100" workbookViewId="0">
      <selection activeCell="G8" sqref="G8"/>
    </sheetView>
  </sheetViews>
  <sheetFormatPr defaultRowHeight="12.75"/>
  <cols>
    <col min="1" max="1" width="60" style="439" bestFit="1" customWidth="1"/>
    <col min="2" max="2" width="19.33203125" style="439" bestFit="1" customWidth="1"/>
    <col min="3" max="3" width="14.33203125" style="395" bestFit="1" customWidth="1"/>
    <col min="4" max="4" width="13.6640625" style="395" bestFit="1" customWidth="1"/>
    <col min="5" max="5" width="13" style="395" bestFit="1" customWidth="1"/>
    <col min="6" max="6" width="12.1640625" style="395" bestFit="1" customWidth="1"/>
    <col min="7" max="7" width="12.1640625" style="395" customWidth="1"/>
    <col min="8" max="8" width="11.1640625" style="395" bestFit="1" customWidth="1"/>
    <col min="9" max="9" width="14.6640625" style="395" customWidth="1"/>
    <col min="10" max="10" width="14" style="438" bestFit="1" customWidth="1"/>
    <col min="11" max="11" width="12.1640625" style="395" bestFit="1" customWidth="1"/>
    <col min="12" max="12" width="11" style="395" bestFit="1" customWidth="1"/>
    <col min="13" max="13" width="12.1640625" style="395" bestFit="1" customWidth="1"/>
    <col min="14" max="14" width="16.83203125" style="397" customWidth="1"/>
    <col min="15" max="15" width="12.83203125" style="395" customWidth="1"/>
    <col min="16" max="16384" width="9.33203125" style="395"/>
  </cols>
  <sheetData>
    <row r="1" spans="1:15" ht="24.75" customHeight="1">
      <c r="A1" s="713" t="s">
        <v>1</v>
      </c>
      <c r="B1" s="713"/>
      <c r="C1" s="713"/>
      <c r="D1" s="713"/>
      <c r="E1" s="713"/>
      <c r="F1" s="713"/>
      <c r="G1" s="713"/>
      <c r="H1" s="713"/>
      <c r="J1" s="395"/>
      <c r="N1" s="395"/>
    </row>
    <row r="2" spans="1:15" ht="23.25" customHeight="1" thickBot="1">
      <c r="A2" s="396"/>
      <c r="B2" s="396"/>
      <c r="C2" s="397"/>
      <c r="D2" s="397"/>
      <c r="E2" s="397"/>
      <c r="F2" s="397"/>
      <c r="G2" s="397"/>
      <c r="H2" s="398" t="s">
        <v>597</v>
      </c>
      <c r="I2" s="397"/>
      <c r="J2" s="399" t="s">
        <v>597</v>
      </c>
      <c r="K2" s="397"/>
      <c r="L2" s="397"/>
      <c r="M2" s="397"/>
      <c r="N2" s="398"/>
    </row>
    <row r="3" spans="1:15" s="394" customFormat="1" ht="48.75" customHeight="1" thickBot="1">
      <c r="A3" s="400" t="s">
        <v>64</v>
      </c>
      <c r="B3" s="401" t="s">
        <v>690</v>
      </c>
      <c r="C3" s="402" t="s">
        <v>62</v>
      </c>
      <c r="D3" s="402" t="s">
        <v>63</v>
      </c>
      <c r="E3" s="402" t="s">
        <v>637</v>
      </c>
      <c r="F3" s="402" t="s">
        <v>613</v>
      </c>
      <c r="G3" s="402" t="s">
        <v>709</v>
      </c>
      <c r="H3" s="403" t="s">
        <v>638</v>
      </c>
      <c r="I3" s="404"/>
      <c r="J3" s="404" t="s">
        <v>687</v>
      </c>
      <c r="K3" s="405" t="s">
        <v>685</v>
      </c>
      <c r="L3" s="405" t="s">
        <v>686</v>
      </c>
      <c r="M3" s="406" t="s">
        <v>683</v>
      </c>
      <c r="N3" s="403"/>
    </row>
    <row r="4" spans="1:15" s="397" customFormat="1" ht="15" customHeight="1" thickBot="1">
      <c r="A4" s="407" t="s">
        <v>487</v>
      </c>
      <c r="B4" s="408"/>
      <c r="C4" s="409" t="s">
        <v>488</v>
      </c>
      <c r="D4" s="409" t="s">
        <v>489</v>
      </c>
      <c r="E4" s="409" t="s">
        <v>491</v>
      </c>
      <c r="F4" s="409" t="s">
        <v>490</v>
      </c>
      <c r="G4" s="409" t="s">
        <v>490</v>
      </c>
      <c r="H4" s="410" t="s">
        <v>492</v>
      </c>
      <c r="I4" s="411"/>
      <c r="J4" s="411"/>
      <c r="K4" s="412"/>
      <c r="L4" s="412"/>
      <c r="M4" s="409"/>
      <c r="N4" s="410"/>
    </row>
    <row r="5" spans="1:15" s="420" customFormat="1" ht="15.95" customHeight="1">
      <c r="A5" s="413" t="s">
        <v>647</v>
      </c>
      <c r="B5" s="414" t="s">
        <v>691</v>
      </c>
      <c r="C5" s="415">
        <f>400000*1.27</f>
        <v>508000</v>
      </c>
      <c r="D5" s="416" t="s">
        <v>639</v>
      </c>
      <c r="E5" s="415"/>
      <c r="F5" s="415">
        <f>400000*1.27</f>
        <v>508000</v>
      </c>
      <c r="G5" s="415">
        <f>400000*1.27</f>
        <v>508000</v>
      </c>
      <c r="H5" s="417"/>
      <c r="I5" s="418"/>
      <c r="J5" s="415">
        <f>400000*1.27</f>
        <v>508000</v>
      </c>
      <c r="K5" s="418">
        <v>508000</v>
      </c>
      <c r="L5" s="418"/>
      <c r="M5" s="415"/>
      <c r="N5" s="419"/>
      <c r="O5" s="395"/>
    </row>
    <row r="6" spans="1:15" s="420" customFormat="1" ht="15.95" customHeight="1">
      <c r="A6" s="413" t="s">
        <v>642</v>
      </c>
      <c r="B6" s="414" t="s">
        <v>692</v>
      </c>
      <c r="C6" s="415">
        <f>C7+C8+C9+C10</f>
        <v>43811784.360000007</v>
      </c>
      <c r="D6" s="415"/>
      <c r="E6" s="415"/>
      <c r="F6" s="415">
        <f>F7+F8+F9+F10</f>
        <v>43811784.360000007</v>
      </c>
      <c r="G6" s="415">
        <f>G7+G8+G9+G10</f>
        <v>35429785.630000003</v>
      </c>
      <c r="H6" s="417">
        <f t="shared" ref="H6:H25" si="0">C6-E6-F6</f>
        <v>0</v>
      </c>
      <c r="I6" s="418"/>
      <c r="J6" s="415">
        <f>J7+J8+J9+J10</f>
        <v>43811784.360000007</v>
      </c>
      <c r="K6" s="418"/>
      <c r="L6" s="418"/>
      <c r="M6" s="415">
        <f>M7+M8+M9+M10</f>
        <v>43811784.360000007</v>
      </c>
      <c r="N6" s="419"/>
      <c r="O6" s="395"/>
    </row>
    <row r="7" spans="1:15" ht="26.25" customHeight="1">
      <c r="A7" s="421" t="s">
        <v>643</v>
      </c>
      <c r="B7" s="422" t="s">
        <v>692</v>
      </c>
      <c r="C7" s="423">
        <f>17296738*1.27</f>
        <v>21966857.260000002</v>
      </c>
      <c r="D7" s="424" t="s">
        <v>639</v>
      </c>
      <c r="E7" s="423"/>
      <c r="F7" s="423">
        <f>17296738*1.27</f>
        <v>21966857.260000002</v>
      </c>
      <c r="G7" s="423">
        <f>17296738*1.27</f>
        <v>21966857.260000002</v>
      </c>
      <c r="H7" s="419">
        <f t="shared" si="0"/>
        <v>0</v>
      </c>
      <c r="I7" s="425"/>
      <c r="J7" s="423">
        <f>17296738*1.27</f>
        <v>21966857.260000002</v>
      </c>
      <c r="K7" s="425"/>
      <c r="L7" s="425">
        <f>SUM(L5:L6)</f>
        <v>0</v>
      </c>
      <c r="M7" s="423">
        <f>17296738*1.27</f>
        <v>21966857.260000002</v>
      </c>
      <c r="N7" s="426"/>
      <c r="O7" s="427"/>
    </row>
    <row r="8" spans="1:15" ht="15.95" customHeight="1">
      <c r="A8" s="421" t="s">
        <v>644</v>
      </c>
      <c r="B8" s="422" t="s">
        <v>692</v>
      </c>
      <c r="C8" s="423">
        <f>6599999*1.27</f>
        <v>8381998.7300000004</v>
      </c>
      <c r="D8" s="424" t="s">
        <v>639</v>
      </c>
      <c r="E8" s="423"/>
      <c r="F8" s="423">
        <f>6599999*1.27</f>
        <v>8381998.7300000004</v>
      </c>
      <c r="G8" s="423"/>
      <c r="H8" s="419">
        <f t="shared" si="0"/>
        <v>0</v>
      </c>
      <c r="I8" s="425"/>
      <c r="J8" s="423">
        <f>6599999*1.27</f>
        <v>8381998.7300000004</v>
      </c>
      <c r="K8" s="425"/>
      <c r="L8" s="425"/>
      <c r="M8" s="423">
        <f>6599999*1.27</f>
        <v>8381998.7300000004</v>
      </c>
      <c r="N8" s="426"/>
      <c r="O8" s="427"/>
    </row>
    <row r="9" spans="1:15" ht="15.95" customHeight="1">
      <c r="A9" s="421" t="s">
        <v>645</v>
      </c>
      <c r="B9" s="422" t="s">
        <v>692</v>
      </c>
      <c r="C9" s="423">
        <f>4855208*1.27</f>
        <v>6166114.1600000001</v>
      </c>
      <c r="D9" s="424" t="s">
        <v>639</v>
      </c>
      <c r="E9" s="423"/>
      <c r="F9" s="423">
        <f>4855208*1.27</f>
        <v>6166114.1600000001</v>
      </c>
      <c r="G9" s="423">
        <f>4855208*1.27</f>
        <v>6166114.1600000001</v>
      </c>
      <c r="H9" s="419">
        <f t="shared" si="0"/>
        <v>0</v>
      </c>
      <c r="I9" s="418"/>
      <c r="J9" s="423">
        <f>4855208*1.27</f>
        <v>6166114.1600000001</v>
      </c>
      <c r="K9" s="418"/>
      <c r="L9" s="418"/>
      <c r="M9" s="423">
        <f>4855208*1.27</f>
        <v>6166114.1600000001</v>
      </c>
      <c r="N9" s="419"/>
    </row>
    <row r="10" spans="1:15" ht="20.25" customHeight="1">
      <c r="A10" s="421" t="s">
        <v>646</v>
      </c>
      <c r="B10" s="422" t="s">
        <v>692</v>
      </c>
      <c r="C10" s="423">
        <f>5745523*1.27</f>
        <v>7296814.21</v>
      </c>
      <c r="D10" s="424" t="s">
        <v>639</v>
      </c>
      <c r="E10" s="423"/>
      <c r="F10" s="423">
        <f>5745523*1.27</f>
        <v>7296814.21</v>
      </c>
      <c r="G10" s="423">
        <f>5745523*1.27</f>
        <v>7296814.21</v>
      </c>
      <c r="H10" s="419">
        <f t="shared" si="0"/>
        <v>0</v>
      </c>
      <c r="I10" s="418"/>
      <c r="J10" s="423">
        <f>5745523*1.27</f>
        <v>7296814.21</v>
      </c>
      <c r="K10" s="418"/>
      <c r="L10" s="418"/>
      <c r="M10" s="423">
        <f>5745523*1.27</f>
        <v>7296814.21</v>
      </c>
      <c r="N10" s="419"/>
    </row>
    <row r="11" spans="1:15" s="420" customFormat="1" ht="15.95" customHeight="1">
      <c r="A11" s="413" t="s">
        <v>718</v>
      </c>
      <c r="B11" s="414" t="s">
        <v>719</v>
      </c>
      <c r="C11" s="415"/>
      <c r="D11" s="416" t="s">
        <v>720</v>
      </c>
      <c r="E11" s="415"/>
      <c r="F11" s="415"/>
      <c r="G11" s="415">
        <v>1575000</v>
      </c>
      <c r="H11" s="417"/>
      <c r="I11" s="428"/>
      <c r="J11" s="415">
        <v>1575000</v>
      </c>
      <c r="K11" s="428"/>
      <c r="L11" s="418">
        <v>1575000</v>
      </c>
      <c r="M11" s="415"/>
      <c r="N11" s="417"/>
    </row>
    <row r="12" spans="1:15" ht="15.95" customHeight="1">
      <c r="A12" s="421"/>
      <c r="B12" s="422"/>
      <c r="C12" s="423"/>
      <c r="D12" s="424"/>
      <c r="E12" s="423"/>
      <c r="F12" s="423"/>
      <c r="G12" s="423"/>
      <c r="H12" s="419">
        <f t="shared" si="0"/>
        <v>0</v>
      </c>
      <c r="I12" s="418"/>
      <c r="J12" s="423"/>
      <c r="K12" s="418"/>
      <c r="L12" s="418"/>
      <c r="M12" s="423"/>
      <c r="N12" s="419"/>
    </row>
    <row r="13" spans="1:15" ht="15.95" customHeight="1">
      <c r="A13" s="421"/>
      <c r="B13" s="422"/>
      <c r="C13" s="423"/>
      <c r="D13" s="424"/>
      <c r="E13" s="423"/>
      <c r="F13" s="423"/>
      <c r="G13" s="423"/>
      <c r="H13" s="419">
        <f t="shared" si="0"/>
        <v>0</v>
      </c>
      <c r="I13" s="418"/>
      <c r="J13" s="423"/>
      <c r="K13" s="418"/>
      <c r="L13" s="418"/>
      <c r="M13" s="423"/>
      <c r="N13" s="419"/>
    </row>
    <row r="14" spans="1:15" ht="15.95" customHeight="1">
      <c r="A14" s="421"/>
      <c r="B14" s="422"/>
      <c r="C14" s="423"/>
      <c r="D14" s="424"/>
      <c r="E14" s="423"/>
      <c r="F14" s="423"/>
      <c r="G14" s="423"/>
      <c r="H14" s="419">
        <f t="shared" si="0"/>
        <v>0</v>
      </c>
      <c r="I14" s="418"/>
      <c r="J14" s="423"/>
      <c r="K14" s="418"/>
      <c r="L14" s="418"/>
      <c r="M14" s="423"/>
      <c r="N14" s="419"/>
    </row>
    <row r="15" spans="1:15" ht="15.95" customHeight="1">
      <c r="A15" s="421"/>
      <c r="B15" s="422"/>
      <c r="C15" s="423"/>
      <c r="D15" s="424"/>
      <c r="E15" s="423"/>
      <c r="F15" s="423"/>
      <c r="G15" s="423"/>
      <c r="H15" s="419">
        <f t="shared" si="0"/>
        <v>0</v>
      </c>
      <c r="I15" s="418"/>
      <c r="J15" s="423"/>
      <c r="K15" s="418"/>
      <c r="L15" s="418"/>
      <c r="M15" s="423"/>
      <c r="N15" s="419"/>
    </row>
    <row r="16" spans="1:15" ht="15.95" customHeight="1">
      <c r="A16" s="421"/>
      <c r="B16" s="422"/>
      <c r="C16" s="423"/>
      <c r="D16" s="424"/>
      <c r="E16" s="423"/>
      <c r="F16" s="423"/>
      <c r="G16" s="423"/>
      <c r="H16" s="419">
        <f t="shared" si="0"/>
        <v>0</v>
      </c>
      <c r="I16" s="418"/>
      <c r="J16" s="423"/>
      <c r="K16" s="418"/>
      <c r="L16" s="418"/>
      <c r="M16" s="423"/>
      <c r="N16" s="419"/>
    </row>
    <row r="17" spans="1:15" ht="15.95" customHeight="1">
      <c r="A17" s="421"/>
      <c r="B17" s="422"/>
      <c r="C17" s="423"/>
      <c r="D17" s="424"/>
      <c r="E17" s="423"/>
      <c r="F17" s="423"/>
      <c r="G17" s="423"/>
      <c r="H17" s="419">
        <f t="shared" si="0"/>
        <v>0</v>
      </c>
      <c r="I17" s="418"/>
      <c r="J17" s="423"/>
      <c r="K17" s="418"/>
      <c r="L17" s="418"/>
      <c r="M17" s="423"/>
      <c r="N17" s="419"/>
    </row>
    <row r="18" spans="1:15" ht="15.95" customHeight="1">
      <c r="A18" s="421"/>
      <c r="B18" s="422"/>
      <c r="C18" s="423"/>
      <c r="D18" s="424"/>
      <c r="E18" s="423"/>
      <c r="F18" s="423"/>
      <c r="G18" s="423"/>
      <c r="H18" s="419">
        <f t="shared" si="0"/>
        <v>0</v>
      </c>
      <c r="I18" s="418"/>
      <c r="J18" s="423"/>
      <c r="K18" s="418"/>
      <c r="L18" s="418"/>
      <c r="M18" s="423"/>
      <c r="N18" s="419"/>
    </row>
    <row r="19" spans="1:15" ht="15.95" customHeight="1">
      <c r="A19" s="421"/>
      <c r="B19" s="422"/>
      <c r="C19" s="423"/>
      <c r="D19" s="424"/>
      <c r="E19" s="423"/>
      <c r="F19" s="423"/>
      <c r="G19" s="423"/>
      <c r="H19" s="419">
        <f t="shared" si="0"/>
        <v>0</v>
      </c>
      <c r="I19" s="418"/>
      <c r="J19" s="423"/>
      <c r="K19" s="418"/>
      <c r="L19" s="418"/>
      <c r="M19" s="423"/>
      <c r="N19" s="419"/>
    </row>
    <row r="20" spans="1:15" ht="15.95" customHeight="1">
      <c r="A20" s="421"/>
      <c r="B20" s="422"/>
      <c r="C20" s="423"/>
      <c r="D20" s="424"/>
      <c r="E20" s="423"/>
      <c r="F20" s="423"/>
      <c r="G20" s="423"/>
      <c r="H20" s="419">
        <f t="shared" si="0"/>
        <v>0</v>
      </c>
      <c r="I20" s="418"/>
      <c r="J20" s="423"/>
      <c r="K20" s="418"/>
      <c r="L20" s="418"/>
      <c r="M20" s="423"/>
      <c r="N20" s="419"/>
    </row>
    <row r="21" spans="1:15" ht="15.95" customHeight="1">
      <c r="A21" s="421"/>
      <c r="B21" s="422"/>
      <c r="C21" s="423"/>
      <c r="D21" s="424"/>
      <c r="E21" s="423"/>
      <c r="F21" s="423"/>
      <c r="G21" s="423"/>
      <c r="H21" s="419">
        <f t="shared" si="0"/>
        <v>0</v>
      </c>
      <c r="I21" s="418"/>
      <c r="J21" s="423"/>
      <c r="K21" s="418"/>
      <c r="L21" s="418"/>
      <c r="M21" s="423"/>
      <c r="N21" s="419"/>
    </row>
    <row r="22" spans="1:15" ht="15.95" customHeight="1">
      <c r="A22" s="421"/>
      <c r="B22" s="422"/>
      <c r="C22" s="423"/>
      <c r="D22" s="424"/>
      <c r="E22" s="423"/>
      <c r="F22" s="423"/>
      <c r="G22" s="423"/>
      <c r="H22" s="419">
        <f t="shared" si="0"/>
        <v>0</v>
      </c>
      <c r="I22" s="418"/>
      <c r="J22" s="423"/>
      <c r="K22" s="418"/>
      <c r="L22" s="418"/>
      <c r="M22" s="423"/>
      <c r="N22" s="419"/>
    </row>
    <row r="23" spans="1:15" ht="15.95" customHeight="1">
      <c r="A23" s="421"/>
      <c r="B23" s="422"/>
      <c r="C23" s="423"/>
      <c r="D23" s="424"/>
      <c r="E23" s="423"/>
      <c r="F23" s="423"/>
      <c r="G23" s="423"/>
      <c r="H23" s="419">
        <f t="shared" si="0"/>
        <v>0</v>
      </c>
      <c r="I23" s="418"/>
      <c r="J23" s="423"/>
      <c r="K23" s="418"/>
      <c r="L23" s="418"/>
      <c r="M23" s="423"/>
      <c r="N23" s="419"/>
    </row>
    <row r="24" spans="1:15" ht="15.95" customHeight="1">
      <c r="A24" s="421"/>
      <c r="B24" s="422"/>
      <c r="C24" s="423"/>
      <c r="D24" s="424"/>
      <c r="E24" s="423"/>
      <c r="F24" s="423"/>
      <c r="G24" s="423"/>
      <c r="H24" s="419">
        <f t="shared" si="0"/>
        <v>0</v>
      </c>
      <c r="I24" s="418"/>
      <c r="J24" s="423"/>
      <c r="K24" s="418"/>
      <c r="L24" s="418"/>
      <c r="M24" s="423"/>
      <c r="N24" s="419"/>
    </row>
    <row r="25" spans="1:15" ht="15.95" customHeight="1" thickBot="1">
      <c r="A25" s="429"/>
      <c r="B25" s="430"/>
      <c r="C25" s="431"/>
      <c r="D25" s="432"/>
      <c r="E25" s="431"/>
      <c r="F25" s="431"/>
      <c r="G25" s="431"/>
      <c r="H25" s="433">
        <f t="shared" si="0"/>
        <v>0</v>
      </c>
      <c r="I25" s="425"/>
      <c r="J25" s="431"/>
      <c r="K25" s="425"/>
      <c r="L25" s="425"/>
      <c r="M25" s="431"/>
      <c r="N25" s="426"/>
      <c r="O25" s="427"/>
    </row>
    <row r="26" spans="1:15" s="438" customFormat="1" ht="18" customHeight="1" thickBot="1">
      <c r="A26" s="434" t="s">
        <v>60</v>
      </c>
      <c r="B26" s="435"/>
      <c r="C26" s="436">
        <f>C5+C7+C8+C9+C10+C11</f>
        <v>44319784.360000007</v>
      </c>
      <c r="D26" s="436"/>
      <c r="E26" s="436">
        <f>E5+E7+E8+E9+E10+E11</f>
        <v>0</v>
      </c>
      <c r="F26" s="436">
        <f>F5+F7+F8+F9+F10+F11</f>
        <v>44319784.360000007</v>
      </c>
      <c r="G26" s="436">
        <f>G5+G7+G8+G9+G10+G11</f>
        <v>37512785.630000003</v>
      </c>
      <c r="H26" s="437">
        <f>SUM(H6:H25)</f>
        <v>0</v>
      </c>
      <c r="I26" s="418"/>
      <c r="J26" s="436">
        <f>J5+J7+J8+J9+J10+J11</f>
        <v>45894784.360000007</v>
      </c>
      <c r="K26" s="436">
        <f>K5+K7+K8+K9+K10</f>
        <v>508000</v>
      </c>
      <c r="L26" s="436">
        <f>L5+L7+L8+L9+L10+L11</f>
        <v>1575000</v>
      </c>
      <c r="M26" s="436">
        <f>M5+M7+M8+M9+M10</f>
        <v>43811784.360000007</v>
      </c>
      <c r="N26" s="419"/>
      <c r="O26" s="395"/>
    </row>
  </sheetData>
  <mergeCells count="1">
    <mergeCell ref="A1:H1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67" orientation="landscape" horizontalDpi="300" verticalDpi="300" r:id="rId1"/>
  <headerFooter alignWithMargins="0">
    <oddHeader xml:space="preserve">&amp;LVonyarcvashegy Nagyközség Önkormányzata&amp;R&amp;"Times New Roman CE,Félkövér dőlt"&amp;12 &amp;11 7. melléklet a 7/2017. (V.26.) önkormányzati rendelethez&amp;"Times New Roman CE,Normál"&amp;10
   </oddHeader>
    <oddFooter>&amp;P. oldal, összesen: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Munka12">
    <tabColor rgb="FFFFFF00"/>
  </sheetPr>
  <dimension ref="A1:H52"/>
  <sheetViews>
    <sheetView view="pageLayout" zoomScaleNormal="100" workbookViewId="0">
      <selection activeCell="E55" sqref="E55"/>
    </sheetView>
  </sheetViews>
  <sheetFormatPr defaultRowHeight="12.75"/>
  <cols>
    <col min="1" max="1" width="36.83203125" style="370" bestFit="1" customWidth="1"/>
    <col min="2" max="3" width="5.6640625" style="370" bestFit="1" customWidth="1"/>
    <col min="4" max="4" width="10.1640625" style="370" bestFit="1" customWidth="1"/>
    <col min="5" max="5" width="9.5" style="370" bestFit="1" customWidth="1"/>
    <col min="6" max="16384" width="9.33203125" style="370"/>
  </cols>
  <sheetData>
    <row r="1" spans="1:5">
      <c r="A1" s="369"/>
      <c r="B1" s="369"/>
      <c r="C1" s="369"/>
      <c r="D1" s="369"/>
      <c r="E1" s="369"/>
    </row>
    <row r="2" spans="1:5" ht="15.75">
      <c r="A2" s="371" t="s">
        <v>131</v>
      </c>
      <c r="B2" s="714"/>
      <c r="C2" s="714"/>
      <c r="D2" s="714"/>
      <c r="E2" s="714"/>
    </row>
    <row r="3" spans="1:5" ht="14.25" thickBot="1">
      <c r="A3" s="369"/>
      <c r="B3" s="369"/>
      <c r="C3" s="369"/>
      <c r="D3" s="715" t="s">
        <v>597</v>
      </c>
      <c r="E3" s="715"/>
    </row>
    <row r="4" spans="1:5" ht="15" customHeight="1" thickBot="1">
      <c r="A4" s="372" t="s">
        <v>124</v>
      </c>
      <c r="B4" s="373" t="s">
        <v>605</v>
      </c>
      <c r="C4" s="373" t="s">
        <v>606</v>
      </c>
      <c r="D4" s="373" t="s">
        <v>627</v>
      </c>
      <c r="E4" s="374" t="s">
        <v>48</v>
      </c>
    </row>
    <row r="5" spans="1:5">
      <c r="A5" s="375" t="s">
        <v>125</v>
      </c>
      <c r="B5" s="376"/>
      <c r="C5" s="376"/>
      <c r="D5" s="376"/>
      <c r="E5" s="377">
        <f t="shared" ref="E5:E11" si="0">SUM(B5:D5)</f>
        <v>0</v>
      </c>
    </row>
    <row r="6" spans="1:5">
      <c r="A6" s="378" t="s">
        <v>138</v>
      </c>
      <c r="B6" s="379"/>
      <c r="C6" s="379"/>
      <c r="D6" s="379"/>
      <c r="E6" s="380">
        <f t="shared" si="0"/>
        <v>0</v>
      </c>
    </row>
    <row r="7" spans="1:5">
      <c r="A7" s="381" t="s">
        <v>126</v>
      </c>
      <c r="B7" s="382"/>
      <c r="C7" s="382"/>
      <c r="D7" s="382"/>
      <c r="E7" s="383">
        <f t="shared" si="0"/>
        <v>0</v>
      </c>
    </row>
    <row r="8" spans="1:5">
      <c r="A8" s="381" t="s">
        <v>140</v>
      </c>
      <c r="B8" s="382"/>
      <c r="C8" s="382"/>
      <c r="D8" s="382"/>
      <c r="E8" s="383">
        <f t="shared" si="0"/>
        <v>0</v>
      </c>
    </row>
    <row r="9" spans="1:5">
      <c r="A9" s="381" t="s">
        <v>127</v>
      </c>
      <c r="B9" s="382"/>
      <c r="C9" s="382"/>
      <c r="D9" s="382"/>
      <c r="E9" s="383">
        <f t="shared" si="0"/>
        <v>0</v>
      </c>
    </row>
    <row r="10" spans="1:5">
      <c r="A10" s="381" t="s">
        <v>128</v>
      </c>
      <c r="B10" s="382"/>
      <c r="C10" s="382"/>
      <c r="D10" s="382"/>
      <c r="E10" s="383">
        <f t="shared" si="0"/>
        <v>0</v>
      </c>
    </row>
    <row r="11" spans="1:5" ht="13.5" thickBot="1">
      <c r="A11" s="384"/>
      <c r="B11" s="385"/>
      <c r="C11" s="385"/>
      <c r="D11" s="385"/>
      <c r="E11" s="383">
        <f t="shared" si="0"/>
        <v>0</v>
      </c>
    </row>
    <row r="12" spans="1:5" ht="13.5" thickBot="1">
      <c r="A12" s="386" t="s">
        <v>130</v>
      </c>
      <c r="B12" s="387">
        <f>B5+SUM(B7:B11)</f>
        <v>0</v>
      </c>
      <c r="C12" s="387">
        <f>C5+SUM(C7:C11)</f>
        <v>0</v>
      </c>
      <c r="D12" s="387">
        <f>D5+SUM(D7:D11)</f>
        <v>0</v>
      </c>
      <c r="E12" s="388">
        <f>E5+SUM(E7:E11)</f>
        <v>0</v>
      </c>
    </row>
    <row r="13" spans="1:5" ht="13.5" thickBot="1">
      <c r="A13" s="389"/>
      <c r="B13" s="389"/>
      <c r="C13" s="389"/>
      <c r="D13" s="389"/>
      <c r="E13" s="389"/>
    </row>
    <row r="14" spans="1:5" ht="15" customHeight="1" thickBot="1">
      <c r="A14" s="372" t="s">
        <v>129</v>
      </c>
      <c r="B14" s="373" t="str">
        <f>+B4</f>
        <v>2017.</v>
      </c>
      <c r="C14" s="373" t="str">
        <f>+C4</f>
        <v>2018.</v>
      </c>
      <c r="D14" s="373" t="str">
        <f>+D4</f>
        <v>2018. után</v>
      </c>
      <c r="E14" s="374" t="s">
        <v>48</v>
      </c>
    </row>
    <row r="15" spans="1:5">
      <c r="A15" s="375" t="s">
        <v>134</v>
      </c>
      <c r="B15" s="376"/>
      <c r="C15" s="376"/>
      <c r="D15" s="376"/>
      <c r="E15" s="377">
        <f t="shared" ref="E15:E21" si="1">SUM(B15:D15)</f>
        <v>0</v>
      </c>
    </row>
    <row r="16" spans="1:5">
      <c r="A16" s="390" t="s">
        <v>135</v>
      </c>
      <c r="B16" s="382"/>
      <c r="C16" s="382"/>
      <c r="D16" s="382"/>
      <c r="E16" s="383">
        <f t="shared" si="1"/>
        <v>0</v>
      </c>
    </row>
    <row r="17" spans="1:5">
      <c r="A17" s="381" t="s">
        <v>136</v>
      </c>
      <c r="B17" s="382"/>
      <c r="C17" s="382"/>
      <c r="D17" s="382"/>
      <c r="E17" s="383">
        <f t="shared" si="1"/>
        <v>0</v>
      </c>
    </row>
    <row r="18" spans="1:5">
      <c r="A18" s="381" t="s">
        <v>137</v>
      </c>
      <c r="B18" s="382"/>
      <c r="C18" s="382"/>
      <c r="D18" s="382"/>
      <c r="E18" s="383">
        <f t="shared" si="1"/>
        <v>0</v>
      </c>
    </row>
    <row r="19" spans="1:5">
      <c r="A19" s="391"/>
      <c r="B19" s="382"/>
      <c r="C19" s="382"/>
      <c r="D19" s="382"/>
      <c r="E19" s="383">
        <f t="shared" si="1"/>
        <v>0</v>
      </c>
    </row>
    <row r="20" spans="1:5">
      <c r="A20" s="391"/>
      <c r="B20" s="382"/>
      <c r="C20" s="382"/>
      <c r="D20" s="382"/>
      <c r="E20" s="383">
        <f t="shared" si="1"/>
        <v>0</v>
      </c>
    </row>
    <row r="21" spans="1:5" ht="13.5" thickBot="1">
      <c r="A21" s="384"/>
      <c r="B21" s="385"/>
      <c r="C21" s="385"/>
      <c r="D21" s="385"/>
      <c r="E21" s="383">
        <f t="shared" si="1"/>
        <v>0</v>
      </c>
    </row>
    <row r="22" spans="1:5" ht="13.5" thickBot="1">
      <c r="A22" s="386" t="s">
        <v>50</v>
      </c>
      <c r="B22" s="387">
        <f>SUM(B15:B21)</f>
        <v>0</v>
      </c>
      <c r="C22" s="387">
        <f>SUM(C15:C21)</f>
        <v>0</v>
      </c>
      <c r="D22" s="387">
        <f>SUM(D15:D21)</f>
        <v>0</v>
      </c>
      <c r="E22" s="388">
        <f>SUM(E15:E21)</f>
        <v>0</v>
      </c>
    </row>
    <row r="23" spans="1:5">
      <c r="A23" s="369"/>
      <c r="B23" s="369"/>
      <c r="C23" s="369"/>
      <c r="D23" s="369"/>
      <c r="E23" s="369"/>
    </row>
    <row r="24" spans="1:5">
      <c r="A24" s="369"/>
      <c r="B24" s="369"/>
      <c r="C24" s="369"/>
      <c r="D24" s="369"/>
      <c r="E24" s="369"/>
    </row>
    <row r="25" spans="1:5" ht="15.75">
      <c r="A25" s="371" t="s">
        <v>131</v>
      </c>
      <c r="B25" s="714"/>
      <c r="C25" s="714"/>
      <c r="D25" s="714"/>
      <c r="E25" s="714"/>
    </row>
    <row r="26" spans="1:5" ht="14.25" thickBot="1">
      <c r="A26" s="369"/>
      <c r="B26" s="369"/>
      <c r="C26" s="369"/>
      <c r="D26" s="715" t="s">
        <v>597</v>
      </c>
      <c r="E26" s="715"/>
    </row>
    <row r="27" spans="1:5" ht="13.5" thickBot="1">
      <c r="A27" s="372" t="s">
        <v>124</v>
      </c>
      <c r="B27" s="373" t="str">
        <f>+B14</f>
        <v>2017.</v>
      </c>
      <c r="C27" s="373" t="str">
        <f>+C14</f>
        <v>2018.</v>
      </c>
      <c r="D27" s="373" t="str">
        <f>+D14</f>
        <v>2018. után</v>
      </c>
      <c r="E27" s="374" t="s">
        <v>48</v>
      </c>
    </row>
    <row r="28" spans="1:5">
      <c r="A28" s="375" t="s">
        <v>125</v>
      </c>
      <c r="B28" s="376"/>
      <c r="C28" s="376"/>
      <c r="D28" s="376"/>
      <c r="E28" s="377">
        <f t="shared" ref="E28:E34" si="2">SUM(B28:D28)</f>
        <v>0</v>
      </c>
    </row>
    <row r="29" spans="1:5">
      <c r="A29" s="378" t="s">
        <v>138</v>
      </c>
      <c r="B29" s="379"/>
      <c r="C29" s="379"/>
      <c r="D29" s="379"/>
      <c r="E29" s="380">
        <f t="shared" si="2"/>
        <v>0</v>
      </c>
    </row>
    <row r="30" spans="1:5">
      <c r="A30" s="381" t="s">
        <v>126</v>
      </c>
      <c r="B30" s="382"/>
      <c r="C30" s="382"/>
      <c r="D30" s="382"/>
      <c r="E30" s="383">
        <f t="shared" si="2"/>
        <v>0</v>
      </c>
    </row>
    <row r="31" spans="1:5">
      <c r="A31" s="381" t="s">
        <v>140</v>
      </c>
      <c r="B31" s="382"/>
      <c r="C31" s="382"/>
      <c r="D31" s="382"/>
      <c r="E31" s="383">
        <f t="shared" si="2"/>
        <v>0</v>
      </c>
    </row>
    <row r="32" spans="1:5">
      <c r="A32" s="381" t="s">
        <v>127</v>
      </c>
      <c r="B32" s="382"/>
      <c r="C32" s="382"/>
      <c r="D32" s="382"/>
      <c r="E32" s="383">
        <f t="shared" si="2"/>
        <v>0</v>
      </c>
    </row>
    <row r="33" spans="1:5">
      <c r="A33" s="381" t="s">
        <v>128</v>
      </c>
      <c r="B33" s="382"/>
      <c r="C33" s="382"/>
      <c r="D33" s="382"/>
      <c r="E33" s="383">
        <f t="shared" si="2"/>
        <v>0</v>
      </c>
    </row>
    <row r="34" spans="1:5" ht="13.5" thickBot="1">
      <c r="A34" s="384"/>
      <c r="B34" s="385"/>
      <c r="C34" s="385"/>
      <c r="D34" s="385"/>
      <c r="E34" s="383">
        <f t="shared" si="2"/>
        <v>0</v>
      </c>
    </row>
    <row r="35" spans="1:5" ht="13.5" thickBot="1">
      <c r="A35" s="386" t="s">
        <v>130</v>
      </c>
      <c r="B35" s="387">
        <f>B28+SUM(B30:B34)</f>
        <v>0</v>
      </c>
      <c r="C35" s="387">
        <f>C28+SUM(C30:C34)</f>
        <v>0</v>
      </c>
      <c r="D35" s="387">
        <f>D28+SUM(D30:D34)</f>
        <v>0</v>
      </c>
      <c r="E35" s="388">
        <f>E28+SUM(E30:E34)</f>
        <v>0</v>
      </c>
    </row>
    <row r="36" spans="1:5" ht="13.5" thickBot="1">
      <c r="A36" s="389"/>
      <c r="B36" s="389"/>
      <c r="C36" s="389"/>
      <c r="D36" s="389"/>
      <c r="E36" s="389"/>
    </row>
    <row r="37" spans="1:5" ht="13.5" thickBot="1">
      <c r="A37" s="372" t="s">
        <v>129</v>
      </c>
      <c r="B37" s="373" t="str">
        <f>+B27</f>
        <v>2017.</v>
      </c>
      <c r="C37" s="373" t="str">
        <f>+C27</f>
        <v>2018.</v>
      </c>
      <c r="D37" s="373" t="str">
        <f>+D27</f>
        <v>2018. után</v>
      </c>
      <c r="E37" s="374" t="s">
        <v>48</v>
      </c>
    </row>
    <row r="38" spans="1:5">
      <c r="A38" s="375" t="s">
        <v>134</v>
      </c>
      <c r="B38" s="376"/>
      <c r="C38" s="376"/>
      <c r="D38" s="376"/>
      <c r="E38" s="377">
        <f t="shared" ref="E38:E44" si="3">SUM(B38:D38)</f>
        <v>0</v>
      </c>
    </row>
    <row r="39" spans="1:5">
      <c r="A39" s="390" t="s">
        <v>135</v>
      </c>
      <c r="B39" s="382"/>
      <c r="C39" s="382"/>
      <c r="D39" s="382"/>
      <c r="E39" s="383">
        <f t="shared" si="3"/>
        <v>0</v>
      </c>
    </row>
    <row r="40" spans="1:5">
      <c r="A40" s="381" t="s">
        <v>136</v>
      </c>
      <c r="B40" s="382"/>
      <c r="C40" s="382"/>
      <c r="D40" s="382"/>
      <c r="E40" s="383">
        <f t="shared" si="3"/>
        <v>0</v>
      </c>
    </row>
    <row r="41" spans="1:5">
      <c r="A41" s="381" t="s">
        <v>137</v>
      </c>
      <c r="B41" s="382"/>
      <c r="C41" s="382"/>
      <c r="D41" s="382"/>
      <c r="E41" s="383">
        <f t="shared" si="3"/>
        <v>0</v>
      </c>
    </row>
    <row r="42" spans="1:5">
      <c r="A42" s="391"/>
      <c r="B42" s="382"/>
      <c r="C42" s="382"/>
      <c r="D42" s="382"/>
      <c r="E42" s="383">
        <f t="shared" si="3"/>
        <v>0</v>
      </c>
    </row>
    <row r="43" spans="1:5">
      <c r="A43" s="391"/>
      <c r="B43" s="382"/>
      <c r="C43" s="382"/>
      <c r="D43" s="382"/>
      <c r="E43" s="383">
        <f t="shared" si="3"/>
        <v>0</v>
      </c>
    </row>
    <row r="44" spans="1:5" ht="13.5" thickBot="1">
      <c r="A44" s="384"/>
      <c r="B44" s="385"/>
      <c r="C44" s="385"/>
      <c r="D44" s="385"/>
      <c r="E44" s="383">
        <f t="shared" si="3"/>
        <v>0</v>
      </c>
    </row>
    <row r="45" spans="1:5" ht="13.5" thickBot="1">
      <c r="A45" s="386" t="s">
        <v>50</v>
      </c>
      <c r="B45" s="387">
        <f>SUM(B38:B44)</f>
        <v>0</v>
      </c>
      <c r="C45" s="387">
        <f>SUM(C38:C44)</f>
        <v>0</v>
      </c>
      <c r="D45" s="387">
        <f>SUM(D38:D44)</f>
        <v>0</v>
      </c>
      <c r="E45" s="388">
        <f>SUM(E38:E44)</f>
        <v>0</v>
      </c>
    </row>
    <row r="46" spans="1:5">
      <c r="A46" s="369"/>
      <c r="B46" s="369"/>
      <c r="C46" s="369"/>
      <c r="D46" s="369"/>
      <c r="E46" s="369"/>
    </row>
    <row r="47" spans="1:5" ht="15.75">
      <c r="A47" s="392" t="s">
        <v>640</v>
      </c>
      <c r="B47" s="392"/>
      <c r="C47" s="392"/>
      <c r="D47" s="392"/>
      <c r="E47" s="392"/>
    </row>
    <row r="48" spans="1:5" ht="13.5" thickBot="1">
      <c r="A48" s="369"/>
      <c r="B48" s="369"/>
      <c r="C48" s="369"/>
      <c r="D48" s="369"/>
      <c r="E48" s="369"/>
    </row>
    <row r="49" spans="1:8" ht="13.5" thickBot="1">
      <c r="A49" s="727" t="s">
        <v>132</v>
      </c>
      <c r="B49" s="728"/>
      <c r="C49" s="729"/>
      <c r="D49" s="725" t="s">
        <v>641</v>
      </c>
      <c r="E49" s="726"/>
      <c r="H49" s="393"/>
    </row>
    <row r="50" spans="1:8">
      <c r="A50" s="730"/>
      <c r="B50" s="731"/>
      <c r="C50" s="732"/>
      <c r="D50" s="719"/>
      <c r="E50" s="720"/>
    </row>
    <row r="51" spans="1:8" ht="13.5" thickBot="1">
      <c r="A51" s="733"/>
      <c r="B51" s="734"/>
      <c r="C51" s="735"/>
      <c r="D51" s="721"/>
      <c r="E51" s="722"/>
    </row>
    <row r="52" spans="1:8" ht="13.5" thickBot="1">
      <c r="A52" s="716" t="s">
        <v>50</v>
      </c>
      <c r="B52" s="717"/>
      <c r="C52" s="718"/>
      <c r="D52" s="723">
        <f>SUM(D50:E51)</f>
        <v>0</v>
      </c>
      <c r="E52" s="724"/>
    </row>
  </sheetData>
  <mergeCells count="12">
    <mergeCell ref="A50:C50"/>
    <mergeCell ref="A51:C51"/>
    <mergeCell ref="B2:E2"/>
    <mergeCell ref="B25:E25"/>
    <mergeCell ref="D3:E3"/>
    <mergeCell ref="D26:E26"/>
    <mergeCell ref="A52:C52"/>
    <mergeCell ref="D50:E50"/>
    <mergeCell ref="D51:E51"/>
    <mergeCell ref="D52:E52"/>
    <mergeCell ref="D49:E49"/>
    <mergeCell ref="A49:C49"/>
  </mergeCells>
  <phoneticPr fontId="6" type="noConversion"/>
  <conditionalFormatting sqref="E5:E12 B12:D12 B22:E22 E15:E21 E28:E35 B35:D35 E38:E45 B45:D45 D52:E52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&amp;LVonyarcvashegy Nagyközség Önkorm
&amp;C&amp;"Times New Roman CE,Félkövér"&amp;12
Európai uniós támogatással megvalósuló projektek 
bevételei, kiadásai, hozzájárulások&amp;R&amp;"Times New Roman CE,Félkövér dőlt"&amp;11 8. melléklet a 7/2017. (V.26.) önkormányzati rendelethez</oddHeader>
    <oddFooter>&amp;P. oldal, összesen: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Munka13">
    <tabColor rgb="FF7030A0"/>
  </sheetPr>
  <dimension ref="A1:E160"/>
  <sheetViews>
    <sheetView zoomScaleNormal="100" zoomScaleSheetLayoutView="85" workbookViewId="0">
      <selection activeCell="C1" sqref="C1"/>
    </sheetView>
  </sheetViews>
  <sheetFormatPr defaultRowHeight="12.75"/>
  <cols>
    <col min="1" max="1" width="19.5" style="93" customWidth="1"/>
    <col min="2" max="2" width="72" style="44" customWidth="1"/>
    <col min="3" max="4" width="25" style="94" customWidth="1"/>
    <col min="5" max="16384" width="9.33203125" style="184"/>
  </cols>
  <sheetData>
    <row r="1" spans="1:4" s="176" customFormat="1" ht="16.5" customHeight="1" thickBot="1">
      <c r="A1" s="28"/>
      <c r="C1" s="177" t="s">
        <v>729</v>
      </c>
      <c r="D1" s="177"/>
    </row>
    <row r="2" spans="1:4" s="179" customFormat="1" ht="21" customHeight="1">
      <c r="A2" s="31" t="s">
        <v>58</v>
      </c>
      <c r="B2" s="32" t="s">
        <v>540</v>
      </c>
      <c r="C2" s="178" t="s">
        <v>51</v>
      </c>
      <c r="D2" s="178" t="s">
        <v>51</v>
      </c>
    </row>
    <row r="3" spans="1:4" s="179" customFormat="1" ht="16.5" thickBot="1">
      <c r="A3" s="180" t="s">
        <v>193</v>
      </c>
      <c r="B3" s="36" t="s">
        <v>398</v>
      </c>
      <c r="C3" s="181" t="s">
        <v>51</v>
      </c>
      <c r="D3" s="181" t="s">
        <v>51</v>
      </c>
    </row>
    <row r="4" spans="1:4" s="182" customFormat="1" ht="15.95" customHeight="1" thickBot="1">
      <c r="A4" s="38"/>
      <c r="B4" s="38"/>
      <c r="C4" s="39" t="s">
        <v>597</v>
      </c>
      <c r="D4" s="39" t="s">
        <v>597</v>
      </c>
    </row>
    <row r="5" spans="1:4" ht="24.75" thickBot="1">
      <c r="A5" s="41" t="s">
        <v>195</v>
      </c>
      <c r="B5" s="42" t="s">
        <v>52</v>
      </c>
      <c r="C5" s="183" t="s">
        <v>613</v>
      </c>
      <c r="D5" s="183" t="s">
        <v>709</v>
      </c>
    </row>
    <row r="6" spans="1:4" s="185" customFormat="1" ht="12.95" customHeight="1" thickBot="1">
      <c r="A6" s="45" t="s">
        <v>487</v>
      </c>
      <c r="B6" s="46" t="s">
        <v>488</v>
      </c>
      <c r="C6" s="47" t="s">
        <v>489</v>
      </c>
      <c r="D6" s="47" t="s">
        <v>489</v>
      </c>
    </row>
    <row r="7" spans="1:4" s="185" customFormat="1" ht="15.95" customHeight="1" thickBot="1">
      <c r="A7" s="49"/>
      <c r="B7" s="50" t="s">
        <v>53</v>
      </c>
      <c r="C7" s="186"/>
      <c r="D7" s="186"/>
    </row>
    <row r="8" spans="1:4" s="109" customFormat="1" ht="12" customHeight="1" thickBot="1">
      <c r="A8" s="106" t="s">
        <v>16</v>
      </c>
      <c r="B8" s="107" t="s">
        <v>245</v>
      </c>
      <c r="C8" s="108">
        <f>+C9+C10+C11+C12+C13+C14</f>
        <v>214106236</v>
      </c>
      <c r="D8" s="108">
        <f>+D9+D10+D11+D12+D13+D14</f>
        <v>215080283</v>
      </c>
    </row>
    <row r="9" spans="1:4" s="109" customFormat="1" ht="12" customHeight="1">
      <c r="A9" s="110" t="s">
        <v>95</v>
      </c>
      <c r="B9" s="111" t="s">
        <v>246</v>
      </c>
      <c r="C9" s="112">
        <v>116822015</v>
      </c>
      <c r="D9" s="112">
        <v>116822015</v>
      </c>
    </row>
    <row r="10" spans="1:4" s="109" customFormat="1" ht="12" customHeight="1">
      <c r="A10" s="113" t="s">
        <v>96</v>
      </c>
      <c r="B10" s="114" t="s">
        <v>247</v>
      </c>
      <c r="C10" s="115">
        <v>54429080</v>
      </c>
      <c r="D10" s="115">
        <v>54429080</v>
      </c>
    </row>
    <row r="11" spans="1:4" s="109" customFormat="1" ht="12" customHeight="1">
      <c r="A11" s="113" t="s">
        <v>97</v>
      </c>
      <c r="B11" s="114" t="s">
        <v>248</v>
      </c>
      <c r="C11" s="115">
        <v>40034781</v>
      </c>
      <c r="D11" s="115">
        <v>40034781</v>
      </c>
    </row>
    <row r="12" spans="1:4" s="109" customFormat="1" ht="12" customHeight="1">
      <c r="A12" s="113" t="s">
        <v>98</v>
      </c>
      <c r="B12" s="114" t="s">
        <v>249</v>
      </c>
      <c r="C12" s="115">
        <v>2820360</v>
      </c>
      <c r="D12" s="115">
        <f>2820360+279623</f>
        <v>3099983</v>
      </c>
    </row>
    <row r="13" spans="1:4" s="109" customFormat="1" ht="12" customHeight="1">
      <c r="A13" s="113" t="s">
        <v>141</v>
      </c>
      <c r="B13" s="116" t="s">
        <v>430</v>
      </c>
      <c r="C13" s="115"/>
      <c r="D13" s="115">
        <v>694424</v>
      </c>
    </row>
    <row r="14" spans="1:4" s="109" customFormat="1" ht="12" customHeight="1" thickBot="1">
      <c r="A14" s="117" t="s">
        <v>99</v>
      </c>
      <c r="B14" s="118" t="s">
        <v>431</v>
      </c>
      <c r="C14" s="115"/>
      <c r="D14" s="115"/>
    </row>
    <row r="15" spans="1:4" s="109" customFormat="1" ht="12" customHeight="1" thickBot="1">
      <c r="A15" s="106" t="s">
        <v>17</v>
      </c>
      <c r="B15" s="119" t="s">
        <v>250</v>
      </c>
      <c r="C15" s="108">
        <f>+C16+C17+C18+C19+C20</f>
        <v>56851987</v>
      </c>
      <c r="D15" s="108">
        <f>+D16+D17+D18+D19+D20</f>
        <v>66170635</v>
      </c>
    </row>
    <row r="16" spans="1:4" s="109" customFormat="1" ht="12" customHeight="1">
      <c r="A16" s="110" t="s">
        <v>101</v>
      </c>
      <c r="B16" s="111" t="s">
        <v>251</v>
      </c>
      <c r="C16" s="112"/>
      <c r="D16" s="112"/>
    </row>
    <row r="17" spans="1:4" s="109" customFormat="1" ht="12" customHeight="1">
      <c r="A17" s="113" t="s">
        <v>102</v>
      </c>
      <c r="B17" s="114" t="s">
        <v>252</v>
      </c>
      <c r="C17" s="115"/>
      <c r="D17" s="115"/>
    </row>
    <row r="18" spans="1:4" s="109" customFormat="1" ht="12" customHeight="1">
      <c r="A18" s="113" t="s">
        <v>103</v>
      </c>
      <c r="B18" s="114" t="s">
        <v>420</v>
      </c>
      <c r="C18" s="115"/>
      <c r="D18" s="115"/>
    </row>
    <row r="19" spans="1:4" s="109" customFormat="1" ht="12" customHeight="1">
      <c r="A19" s="113" t="s">
        <v>104</v>
      </c>
      <c r="B19" s="114" t="s">
        <v>421</v>
      </c>
      <c r="C19" s="115"/>
      <c r="D19" s="115"/>
    </row>
    <row r="20" spans="1:4" s="109" customFormat="1" ht="12" customHeight="1">
      <c r="A20" s="113" t="s">
        <v>105</v>
      </c>
      <c r="B20" s="114" t="s">
        <v>253</v>
      </c>
      <c r="C20" s="115">
        <v>56851987</v>
      </c>
      <c r="D20" s="115">
        <f>56851987+3753513+4997450+100000+467685</f>
        <v>66170635</v>
      </c>
    </row>
    <row r="21" spans="1:4" s="109" customFormat="1" ht="12" customHeight="1" thickBot="1">
      <c r="A21" s="117" t="s">
        <v>114</v>
      </c>
      <c r="B21" s="118" t="s">
        <v>254</v>
      </c>
      <c r="C21" s="120"/>
      <c r="D21" s="120"/>
    </row>
    <row r="22" spans="1:4" s="109" customFormat="1" ht="12" customHeight="1" thickBot="1">
      <c r="A22" s="106" t="s">
        <v>18</v>
      </c>
      <c r="B22" s="107" t="s">
        <v>255</v>
      </c>
      <c r="C22" s="108">
        <f>+C23+C24+C25+C26+C27</f>
        <v>0</v>
      </c>
      <c r="D22" s="108">
        <f>+D23+D24+D25+D26+D27</f>
        <v>0</v>
      </c>
    </row>
    <row r="23" spans="1:4" s="109" customFormat="1" ht="12" customHeight="1">
      <c r="A23" s="110" t="s">
        <v>84</v>
      </c>
      <c r="B23" s="111" t="s">
        <v>256</v>
      </c>
      <c r="C23" s="112"/>
      <c r="D23" s="112"/>
    </row>
    <row r="24" spans="1:4" s="109" customFormat="1" ht="12" customHeight="1">
      <c r="A24" s="113" t="s">
        <v>85</v>
      </c>
      <c r="B24" s="114" t="s">
        <v>257</v>
      </c>
      <c r="C24" s="115"/>
      <c r="D24" s="115"/>
    </row>
    <row r="25" spans="1:4" s="109" customFormat="1" ht="12" customHeight="1">
      <c r="A25" s="113" t="s">
        <v>86</v>
      </c>
      <c r="B25" s="114" t="s">
        <v>422</v>
      </c>
      <c r="C25" s="115"/>
      <c r="D25" s="115"/>
    </row>
    <row r="26" spans="1:4" s="109" customFormat="1" ht="12" customHeight="1">
      <c r="A26" s="113" t="s">
        <v>87</v>
      </c>
      <c r="B26" s="114" t="s">
        <v>423</v>
      </c>
      <c r="C26" s="115"/>
      <c r="D26" s="115"/>
    </row>
    <row r="27" spans="1:4" s="109" customFormat="1" ht="12" customHeight="1">
      <c r="A27" s="113" t="s">
        <v>162</v>
      </c>
      <c r="B27" s="114" t="s">
        <v>258</v>
      </c>
      <c r="C27" s="115"/>
      <c r="D27" s="115"/>
    </row>
    <row r="28" spans="1:4" s="109" customFormat="1" ht="12" customHeight="1" thickBot="1">
      <c r="A28" s="117" t="s">
        <v>163</v>
      </c>
      <c r="B28" s="121" t="s">
        <v>259</v>
      </c>
      <c r="C28" s="120"/>
      <c r="D28" s="120"/>
    </row>
    <row r="29" spans="1:4" s="109" customFormat="1" ht="12" customHeight="1" thickBot="1">
      <c r="A29" s="106" t="s">
        <v>164</v>
      </c>
      <c r="B29" s="107" t="s">
        <v>260</v>
      </c>
      <c r="C29" s="122">
        <f>+C30+C34+C35+C36</f>
        <v>124930000</v>
      </c>
      <c r="D29" s="122">
        <f>+D30+D34+D35+D36</f>
        <v>124930000</v>
      </c>
    </row>
    <row r="30" spans="1:4" s="109" customFormat="1" ht="12" customHeight="1">
      <c r="A30" s="110" t="s">
        <v>261</v>
      </c>
      <c r="B30" s="187" t="s">
        <v>437</v>
      </c>
      <c r="C30" s="123">
        <f>+C31+C32+C33</f>
        <v>90400000</v>
      </c>
      <c r="D30" s="123">
        <f>+D31+D32+D33</f>
        <v>90400000</v>
      </c>
    </row>
    <row r="31" spans="1:4" s="109" customFormat="1" ht="12" customHeight="1">
      <c r="A31" s="113" t="s">
        <v>262</v>
      </c>
      <c r="B31" s="188" t="s">
        <v>630</v>
      </c>
      <c r="C31" s="115">
        <v>55400000</v>
      </c>
      <c r="D31" s="115">
        <v>55400000</v>
      </c>
    </row>
    <row r="32" spans="1:4" s="109" customFormat="1" ht="12" customHeight="1">
      <c r="A32" s="113" t="s">
        <v>263</v>
      </c>
      <c r="B32" s="188" t="s">
        <v>631</v>
      </c>
      <c r="C32" s="115"/>
      <c r="D32" s="115"/>
    </row>
    <row r="33" spans="1:4" s="109" customFormat="1" ht="12" customHeight="1">
      <c r="A33" s="113" t="s">
        <v>435</v>
      </c>
      <c r="B33" s="189" t="s">
        <v>436</v>
      </c>
      <c r="C33" s="115">
        <v>35000000</v>
      </c>
      <c r="D33" s="115">
        <v>35000000</v>
      </c>
    </row>
    <row r="34" spans="1:4" s="109" customFormat="1" ht="12" customHeight="1">
      <c r="A34" s="113" t="s">
        <v>264</v>
      </c>
      <c r="B34" s="188" t="s">
        <v>269</v>
      </c>
      <c r="C34" s="115">
        <v>7400000</v>
      </c>
      <c r="D34" s="115">
        <v>7400000</v>
      </c>
    </row>
    <row r="35" spans="1:4" s="109" customFormat="1" ht="12" customHeight="1">
      <c r="A35" s="113" t="s">
        <v>265</v>
      </c>
      <c r="B35" s="188" t="s">
        <v>588</v>
      </c>
      <c r="C35" s="115">
        <v>27000000</v>
      </c>
      <c r="D35" s="115">
        <f>27000000-500000</f>
        <v>26500000</v>
      </c>
    </row>
    <row r="36" spans="1:4" s="109" customFormat="1" ht="12" customHeight="1" thickBot="1">
      <c r="A36" s="117" t="s">
        <v>266</v>
      </c>
      <c r="B36" s="190" t="s">
        <v>271</v>
      </c>
      <c r="C36" s="120">
        <v>130000</v>
      </c>
      <c r="D36" s="120">
        <f>130000+500000</f>
        <v>630000</v>
      </c>
    </row>
    <row r="37" spans="1:4" s="109" customFormat="1" ht="12" customHeight="1" thickBot="1">
      <c r="A37" s="106" t="s">
        <v>20</v>
      </c>
      <c r="B37" s="107" t="s">
        <v>432</v>
      </c>
      <c r="C37" s="108">
        <f>SUM(C38:C48)</f>
        <v>111943281</v>
      </c>
      <c r="D37" s="108">
        <f>SUM(D38:D48)</f>
        <v>112212897</v>
      </c>
    </row>
    <row r="38" spans="1:4" s="109" customFormat="1" ht="12" customHeight="1">
      <c r="A38" s="110" t="s">
        <v>88</v>
      </c>
      <c r="B38" s="111" t="s">
        <v>274</v>
      </c>
      <c r="C38" s="112"/>
      <c r="D38" s="112"/>
    </row>
    <row r="39" spans="1:4" s="109" customFormat="1" ht="12" customHeight="1">
      <c r="A39" s="113" t="s">
        <v>89</v>
      </c>
      <c r="B39" s="114" t="s">
        <v>275</v>
      </c>
      <c r="C39" s="115">
        <v>82842935</v>
      </c>
      <c r="D39" s="115">
        <f>82842935+6400-196063</f>
        <v>82653272</v>
      </c>
    </row>
    <row r="40" spans="1:4" s="109" customFormat="1" ht="12" customHeight="1">
      <c r="A40" s="113" t="s">
        <v>90</v>
      </c>
      <c r="B40" s="114" t="s">
        <v>276</v>
      </c>
      <c r="C40" s="115">
        <v>2400000</v>
      </c>
      <c r="D40" s="115">
        <v>2400000</v>
      </c>
    </row>
    <row r="41" spans="1:4" s="109" customFormat="1" ht="12" customHeight="1">
      <c r="A41" s="113" t="s">
        <v>166</v>
      </c>
      <c r="B41" s="114" t="s">
        <v>277</v>
      </c>
      <c r="C41" s="115"/>
      <c r="D41" s="115"/>
    </row>
    <row r="42" spans="1:4" s="109" customFormat="1" ht="12" customHeight="1">
      <c r="A42" s="113" t="s">
        <v>167</v>
      </c>
      <c r="B42" s="114" t="s">
        <v>278</v>
      </c>
      <c r="C42" s="115">
        <v>1500000</v>
      </c>
      <c r="D42" s="115">
        <v>1500000</v>
      </c>
    </row>
    <row r="43" spans="1:4" s="109" customFormat="1" ht="12" customHeight="1">
      <c r="A43" s="113" t="s">
        <v>168</v>
      </c>
      <c r="B43" s="114" t="s">
        <v>279</v>
      </c>
      <c r="C43" s="115">
        <v>25170346</v>
      </c>
      <c r="D43" s="115">
        <f>25170346+97416-52937</f>
        <v>25214825</v>
      </c>
    </row>
    <row r="44" spans="1:4" s="109" customFormat="1" ht="12" customHeight="1">
      <c r="A44" s="113" t="s">
        <v>169</v>
      </c>
      <c r="B44" s="114" t="s">
        <v>280</v>
      </c>
      <c r="C44" s="115"/>
      <c r="D44" s="115"/>
    </row>
    <row r="45" spans="1:4" s="109" customFormat="1" ht="12" customHeight="1">
      <c r="A45" s="113" t="s">
        <v>170</v>
      </c>
      <c r="B45" s="114" t="s">
        <v>281</v>
      </c>
      <c r="C45" s="115">
        <v>30000</v>
      </c>
      <c r="D45" s="115">
        <v>30000</v>
      </c>
    </row>
    <row r="46" spans="1:4" s="109" customFormat="1" ht="12" customHeight="1">
      <c r="A46" s="113" t="s">
        <v>272</v>
      </c>
      <c r="B46" s="114" t="s">
        <v>282</v>
      </c>
      <c r="C46" s="125"/>
      <c r="D46" s="125"/>
    </row>
    <row r="47" spans="1:4" s="109" customFormat="1" ht="12" customHeight="1">
      <c r="A47" s="117" t="s">
        <v>273</v>
      </c>
      <c r="B47" s="121" t="s">
        <v>434</v>
      </c>
      <c r="C47" s="126"/>
      <c r="D47" s="126"/>
    </row>
    <row r="48" spans="1:4" s="109" customFormat="1" ht="12" customHeight="1" thickBot="1">
      <c r="A48" s="117" t="s">
        <v>433</v>
      </c>
      <c r="B48" s="118" t="s">
        <v>283</v>
      </c>
      <c r="C48" s="126"/>
      <c r="D48" s="126">
        <f>30000+360800+24000</f>
        <v>414800</v>
      </c>
    </row>
    <row r="49" spans="1:4" s="109" customFormat="1" ht="12" customHeight="1" thickBot="1">
      <c r="A49" s="106" t="s">
        <v>21</v>
      </c>
      <c r="B49" s="107" t="s">
        <v>284</v>
      </c>
      <c r="C49" s="108">
        <f>SUM(C50:C54)</f>
        <v>6480567</v>
      </c>
      <c r="D49" s="108">
        <f>SUM(D50:D54)</f>
        <v>6480567</v>
      </c>
    </row>
    <row r="50" spans="1:4" s="109" customFormat="1" ht="12" customHeight="1">
      <c r="A50" s="110" t="s">
        <v>91</v>
      </c>
      <c r="B50" s="111" t="s">
        <v>288</v>
      </c>
      <c r="C50" s="127"/>
      <c r="D50" s="127"/>
    </row>
    <row r="51" spans="1:4" s="109" customFormat="1" ht="12" customHeight="1">
      <c r="A51" s="113" t="s">
        <v>92</v>
      </c>
      <c r="B51" s="114" t="s">
        <v>289</v>
      </c>
      <c r="C51" s="125">
        <f>6216000+264567</f>
        <v>6480567</v>
      </c>
      <c r="D51" s="125">
        <f>6216000+264567</f>
        <v>6480567</v>
      </c>
    </row>
    <row r="52" spans="1:4" s="109" customFormat="1" ht="12" customHeight="1">
      <c r="A52" s="113" t="s">
        <v>285</v>
      </c>
      <c r="B52" s="114" t="s">
        <v>290</v>
      </c>
      <c r="C52" s="125"/>
      <c r="D52" s="125"/>
    </row>
    <row r="53" spans="1:4" s="109" customFormat="1" ht="12" customHeight="1">
      <c r="A53" s="113" t="s">
        <v>286</v>
      </c>
      <c r="B53" s="114" t="s">
        <v>291</v>
      </c>
      <c r="C53" s="125"/>
      <c r="D53" s="125"/>
    </row>
    <row r="54" spans="1:4" s="109" customFormat="1" ht="12" customHeight="1" thickBot="1">
      <c r="A54" s="117" t="s">
        <v>287</v>
      </c>
      <c r="B54" s="118" t="s">
        <v>292</v>
      </c>
      <c r="C54" s="126"/>
      <c r="D54" s="126"/>
    </row>
    <row r="55" spans="1:4" s="109" customFormat="1" ht="12" customHeight="1" thickBot="1">
      <c r="A55" s="106" t="s">
        <v>171</v>
      </c>
      <c r="B55" s="107" t="s">
        <v>293</v>
      </c>
      <c r="C55" s="108">
        <f>SUM(C56:C58)</f>
        <v>293300</v>
      </c>
      <c r="D55" s="108">
        <f>SUM(D56:D58)</f>
        <v>343300</v>
      </c>
    </row>
    <row r="56" spans="1:4" s="109" customFormat="1" ht="12" customHeight="1">
      <c r="A56" s="110" t="s">
        <v>93</v>
      </c>
      <c r="B56" s="111" t="s">
        <v>294</v>
      </c>
      <c r="C56" s="112"/>
      <c r="D56" s="112"/>
    </row>
    <row r="57" spans="1:4" s="109" customFormat="1" ht="12" customHeight="1">
      <c r="A57" s="113" t="s">
        <v>94</v>
      </c>
      <c r="B57" s="114" t="s">
        <v>424</v>
      </c>
      <c r="C57" s="115"/>
      <c r="D57" s="115"/>
    </row>
    <row r="58" spans="1:4" s="109" customFormat="1" ht="12" customHeight="1">
      <c r="A58" s="113" t="s">
        <v>297</v>
      </c>
      <c r="B58" s="114" t="s">
        <v>295</v>
      </c>
      <c r="C58" s="115">
        <v>293300</v>
      </c>
      <c r="D58" s="115">
        <f>293300+50000</f>
        <v>343300</v>
      </c>
    </row>
    <row r="59" spans="1:4" s="109" customFormat="1" ht="12" customHeight="1" thickBot="1">
      <c r="A59" s="117" t="s">
        <v>298</v>
      </c>
      <c r="B59" s="118" t="s">
        <v>296</v>
      </c>
      <c r="C59" s="120"/>
      <c r="D59" s="120"/>
    </row>
    <row r="60" spans="1:4" s="109" customFormat="1" ht="12" customHeight="1" thickBot="1">
      <c r="A60" s="106" t="s">
        <v>23</v>
      </c>
      <c r="B60" s="119" t="s">
        <v>299</v>
      </c>
      <c r="C60" s="108">
        <f>SUM(C61:C63)</f>
        <v>70000</v>
      </c>
      <c r="D60" s="108">
        <f>SUM(D61:D63)</f>
        <v>70000</v>
      </c>
    </row>
    <row r="61" spans="1:4" s="109" customFormat="1" ht="12" customHeight="1">
      <c r="A61" s="110" t="s">
        <v>172</v>
      </c>
      <c r="B61" s="111" t="s">
        <v>301</v>
      </c>
      <c r="C61" s="125"/>
      <c r="D61" s="125"/>
    </row>
    <row r="62" spans="1:4" s="109" customFormat="1" ht="12" customHeight="1">
      <c r="A62" s="113" t="s">
        <v>173</v>
      </c>
      <c r="B62" s="114" t="s">
        <v>425</v>
      </c>
      <c r="C62" s="125">
        <v>70000</v>
      </c>
      <c r="D62" s="125">
        <v>70000</v>
      </c>
    </row>
    <row r="63" spans="1:4" s="109" customFormat="1" ht="12" customHeight="1">
      <c r="A63" s="113" t="s">
        <v>221</v>
      </c>
      <c r="B63" s="114" t="s">
        <v>302</v>
      </c>
      <c r="C63" s="125"/>
      <c r="D63" s="125"/>
    </row>
    <row r="64" spans="1:4" s="109" customFormat="1" ht="12" customHeight="1" thickBot="1">
      <c r="A64" s="117" t="s">
        <v>300</v>
      </c>
      <c r="B64" s="118" t="s">
        <v>303</v>
      </c>
      <c r="C64" s="125"/>
      <c r="D64" s="125"/>
    </row>
    <row r="65" spans="1:4" s="109" customFormat="1" ht="12" customHeight="1" thickBot="1">
      <c r="A65" s="128" t="s">
        <v>476</v>
      </c>
      <c r="B65" s="107" t="s">
        <v>304</v>
      </c>
      <c r="C65" s="122">
        <f>+C8+C15+C22+C29+C37+C49+C55+C60</f>
        <v>514675371</v>
      </c>
      <c r="D65" s="122">
        <f>+D8+D15+D22+D29+D37+D49+D55+D60</f>
        <v>525287682</v>
      </c>
    </row>
    <row r="66" spans="1:4" s="109" customFormat="1" ht="12" customHeight="1" thickBot="1">
      <c r="A66" s="129" t="s">
        <v>305</v>
      </c>
      <c r="B66" s="119" t="s">
        <v>306</v>
      </c>
      <c r="C66" s="108">
        <f>SUM(C67:C69)</f>
        <v>0</v>
      </c>
      <c r="D66" s="108">
        <f>SUM(D67:D69)</f>
        <v>0</v>
      </c>
    </row>
    <row r="67" spans="1:4" s="109" customFormat="1" ht="12" customHeight="1">
      <c r="A67" s="110" t="s">
        <v>337</v>
      </c>
      <c r="B67" s="111" t="s">
        <v>307</v>
      </c>
      <c r="C67" s="125"/>
      <c r="D67" s="125"/>
    </row>
    <row r="68" spans="1:4" s="109" customFormat="1" ht="12" customHeight="1">
      <c r="A68" s="113" t="s">
        <v>346</v>
      </c>
      <c r="B68" s="114" t="s">
        <v>308</v>
      </c>
      <c r="C68" s="125"/>
      <c r="D68" s="125"/>
    </row>
    <row r="69" spans="1:4" s="109" customFormat="1" ht="12" customHeight="1" thickBot="1">
      <c r="A69" s="117" t="s">
        <v>347</v>
      </c>
      <c r="B69" s="130" t="s">
        <v>461</v>
      </c>
      <c r="C69" s="125"/>
      <c r="D69" s="125"/>
    </row>
    <row r="70" spans="1:4" s="109" customFormat="1" ht="12" customHeight="1" thickBot="1">
      <c r="A70" s="129" t="s">
        <v>310</v>
      </c>
      <c r="B70" s="119" t="s">
        <v>311</v>
      </c>
      <c r="C70" s="108">
        <f>SUM(C71:C74)</f>
        <v>0</v>
      </c>
      <c r="D70" s="108">
        <f>SUM(D71:D74)</f>
        <v>0</v>
      </c>
    </row>
    <row r="71" spans="1:4" s="109" customFormat="1" ht="12" customHeight="1">
      <c r="A71" s="110" t="s">
        <v>142</v>
      </c>
      <c r="B71" s="111" t="s">
        <v>312</v>
      </c>
      <c r="C71" s="125"/>
      <c r="D71" s="125"/>
    </row>
    <row r="72" spans="1:4" s="109" customFormat="1" ht="12" customHeight="1">
      <c r="A72" s="113" t="s">
        <v>143</v>
      </c>
      <c r="B72" s="114" t="s">
        <v>313</v>
      </c>
      <c r="C72" s="125"/>
      <c r="D72" s="125"/>
    </row>
    <row r="73" spans="1:4" s="109" customFormat="1" ht="12" customHeight="1">
      <c r="A73" s="113" t="s">
        <v>338</v>
      </c>
      <c r="B73" s="114" t="s">
        <v>314</v>
      </c>
      <c r="C73" s="125"/>
      <c r="D73" s="125"/>
    </row>
    <row r="74" spans="1:4" s="109" customFormat="1" ht="12" customHeight="1" thickBot="1">
      <c r="A74" s="117" t="s">
        <v>339</v>
      </c>
      <c r="B74" s="118" t="s">
        <v>315</v>
      </c>
      <c r="C74" s="125"/>
      <c r="D74" s="125"/>
    </row>
    <row r="75" spans="1:4" s="109" customFormat="1" ht="12" customHeight="1" thickBot="1">
      <c r="A75" s="129" t="s">
        <v>316</v>
      </c>
      <c r="B75" s="119" t="s">
        <v>317</v>
      </c>
      <c r="C75" s="108">
        <f>SUM(C76:C77)</f>
        <v>210472828</v>
      </c>
      <c r="D75" s="108">
        <f>SUM(D76:D77)</f>
        <v>222974509</v>
      </c>
    </row>
    <row r="76" spans="1:4" s="109" customFormat="1" ht="12" customHeight="1">
      <c r="A76" s="110" t="s">
        <v>340</v>
      </c>
      <c r="B76" s="111" t="s">
        <v>318</v>
      </c>
      <c r="C76" s="125">
        <v>210472828</v>
      </c>
      <c r="D76" s="125">
        <f>210472828+12501681</f>
        <v>222974509</v>
      </c>
    </row>
    <row r="77" spans="1:4" s="109" customFormat="1" ht="12" customHeight="1" thickBot="1">
      <c r="A77" s="117" t="s">
        <v>341</v>
      </c>
      <c r="B77" s="118" t="s">
        <v>319</v>
      </c>
      <c r="C77" s="125"/>
      <c r="D77" s="125"/>
    </row>
    <row r="78" spans="1:4" s="109" customFormat="1" ht="12" customHeight="1" thickBot="1">
      <c r="A78" s="129" t="s">
        <v>320</v>
      </c>
      <c r="B78" s="119" t="s">
        <v>321</v>
      </c>
      <c r="C78" s="108">
        <f>SUM(C79:C81)</f>
        <v>0</v>
      </c>
      <c r="D78" s="108">
        <f>SUM(D79:D81)</f>
        <v>0</v>
      </c>
    </row>
    <row r="79" spans="1:4" s="109" customFormat="1" ht="12" customHeight="1">
      <c r="A79" s="110" t="s">
        <v>342</v>
      </c>
      <c r="B79" s="111" t="s">
        <v>322</v>
      </c>
      <c r="C79" s="125"/>
      <c r="D79" s="125"/>
    </row>
    <row r="80" spans="1:4" s="109" customFormat="1" ht="12" customHeight="1">
      <c r="A80" s="113" t="s">
        <v>343</v>
      </c>
      <c r="B80" s="114" t="s">
        <v>323</v>
      </c>
      <c r="C80" s="125"/>
      <c r="D80" s="125"/>
    </row>
    <row r="81" spans="1:4" s="109" customFormat="1" ht="12" customHeight="1" thickBot="1">
      <c r="A81" s="117" t="s">
        <v>344</v>
      </c>
      <c r="B81" s="118" t="s">
        <v>324</v>
      </c>
      <c r="C81" s="125"/>
      <c r="D81" s="125"/>
    </row>
    <row r="82" spans="1:4" s="109" customFormat="1" ht="12" customHeight="1" thickBot="1">
      <c r="A82" s="129" t="s">
        <v>325</v>
      </c>
      <c r="B82" s="119" t="s">
        <v>345</v>
      </c>
      <c r="C82" s="108">
        <f>SUM(C83:C86)</f>
        <v>0</v>
      </c>
      <c r="D82" s="108">
        <f>SUM(D83:D86)</f>
        <v>0</v>
      </c>
    </row>
    <row r="83" spans="1:4" s="109" customFormat="1" ht="12" customHeight="1">
      <c r="A83" s="131" t="s">
        <v>326</v>
      </c>
      <c r="B83" s="111" t="s">
        <v>327</v>
      </c>
      <c r="C83" s="125"/>
      <c r="D83" s="125"/>
    </row>
    <row r="84" spans="1:4" s="109" customFormat="1" ht="12" customHeight="1">
      <c r="A84" s="132" t="s">
        <v>328</v>
      </c>
      <c r="B84" s="114" t="s">
        <v>329</v>
      </c>
      <c r="C84" s="125"/>
      <c r="D84" s="125"/>
    </row>
    <row r="85" spans="1:4" s="109" customFormat="1" ht="12" customHeight="1">
      <c r="A85" s="132" t="s">
        <v>330</v>
      </c>
      <c r="B85" s="114" t="s">
        <v>331</v>
      </c>
      <c r="C85" s="125"/>
      <c r="D85" s="125"/>
    </row>
    <row r="86" spans="1:4" s="109" customFormat="1" ht="12" customHeight="1" thickBot="1">
      <c r="A86" s="133" t="s">
        <v>332</v>
      </c>
      <c r="B86" s="118" t="s">
        <v>333</v>
      </c>
      <c r="C86" s="125"/>
      <c r="D86" s="125"/>
    </row>
    <row r="87" spans="1:4" s="109" customFormat="1" ht="12" customHeight="1" thickBot="1">
      <c r="A87" s="129" t="s">
        <v>334</v>
      </c>
      <c r="B87" s="119" t="s">
        <v>475</v>
      </c>
      <c r="C87" s="134"/>
      <c r="D87" s="134"/>
    </row>
    <row r="88" spans="1:4" s="109" customFormat="1" ht="13.5" customHeight="1" thickBot="1">
      <c r="A88" s="129" t="s">
        <v>336</v>
      </c>
      <c r="B88" s="119" t="s">
        <v>335</v>
      </c>
      <c r="C88" s="134"/>
      <c r="D88" s="134"/>
    </row>
    <row r="89" spans="1:4" s="109" customFormat="1" ht="15.75" customHeight="1" thickBot="1">
      <c r="A89" s="129" t="s">
        <v>348</v>
      </c>
      <c r="B89" s="135" t="s">
        <v>478</v>
      </c>
      <c r="C89" s="122">
        <f>+C66+C70+C75+C78+C82+C88+C87</f>
        <v>210472828</v>
      </c>
      <c r="D89" s="122">
        <f>+D66+D70+D75+D78+D82+D88+D87</f>
        <v>222974509</v>
      </c>
    </row>
    <row r="90" spans="1:4" s="109" customFormat="1" ht="16.5" customHeight="1" thickBot="1">
      <c r="A90" s="136" t="s">
        <v>477</v>
      </c>
      <c r="B90" s="137" t="s">
        <v>479</v>
      </c>
      <c r="C90" s="122">
        <f>+C65+C89</f>
        <v>725148199</v>
      </c>
      <c r="D90" s="122">
        <f>+D65+D89</f>
        <v>748262191</v>
      </c>
    </row>
    <row r="91" spans="1:4" s="109" customFormat="1" ht="83.25" customHeight="1">
      <c r="A91" s="138"/>
      <c r="B91" s="139"/>
      <c r="C91" s="140"/>
      <c r="D91" s="140"/>
    </row>
    <row r="92" spans="1:4" s="98" customFormat="1" ht="16.5" customHeight="1">
      <c r="A92" s="691" t="s">
        <v>44</v>
      </c>
      <c r="B92" s="691"/>
    </row>
    <row r="93" spans="1:4" s="142" customFormat="1" ht="16.5" customHeight="1" thickBot="1">
      <c r="A93" s="692" t="s">
        <v>145</v>
      </c>
      <c r="B93" s="692"/>
      <c r="C93" s="141"/>
      <c r="D93" s="141"/>
    </row>
    <row r="94" spans="1:4" s="98" customFormat="1" ht="38.1" customHeight="1" thickBot="1">
      <c r="A94" s="100" t="s">
        <v>66</v>
      </c>
      <c r="B94" s="101" t="s">
        <v>45</v>
      </c>
      <c r="C94" s="183" t="s">
        <v>613</v>
      </c>
      <c r="D94" s="183" t="s">
        <v>709</v>
      </c>
    </row>
    <row r="95" spans="1:4" s="105" customFormat="1" ht="12" customHeight="1" thickBot="1">
      <c r="A95" s="143" t="s">
        <v>487</v>
      </c>
      <c r="B95" s="144" t="s">
        <v>488</v>
      </c>
      <c r="C95" s="145" t="s">
        <v>489</v>
      </c>
      <c r="D95" s="145" t="s">
        <v>489</v>
      </c>
    </row>
    <row r="96" spans="1:4" s="98" customFormat="1" ht="12" customHeight="1" thickBot="1">
      <c r="A96" s="146" t="s">
        <v>16</v>
      </c>
      <c r="B96" s="147" t="s">
        <v>710</v>
      </c>
      <c r="C96" s="148">
        <f>C97+C98+C99+C100+C101+C114</f>
        <v>438311874</v>
      </c>
      <c r="D96" s="148">
        <f>D97+D98+D99+D100+D101+D114</f>
        <v>452164165</v>
      </c>
    </row>
    <row r="97" spans="1:4" s="98" customFormat="1" ht="12" customHeight="1">
      <c r="A97" s="149" t="s">
        <v>95</v>
      </c>
      <c r="B97" s="56" t="s">
        <v>46</v>
      </c>
      <c r="C97" s="150">
        <v>68217187</v>
      </c>
      <c r="D97" s="150">
        <f>68217187+16000+3381554-782100</f>
        <v>70832641</v>
      </c>
    </row>
    <row r="98" spans="1:4" s="98" customFormat="1" ht="12" customHeight="1">
      <c r="A98" s="113" t="s">
        <v>96</v>
      </c>
      <c r="B98" s="59" t="s">
        <v>174</v>
      </c>
      <c r="C98" s="115">
        <v>18222262</v>
      </c>
      <c r="D98" s="115">
        <f>18222262-16000+371959-172062</f>
        <v>18406159</v>
      </c>
    </row>
    <row r="99" spans="1:4" s="98" customFormat="1" ht="12" customHeight="1">
      <c r="A99" s="113" t="s">
        <v>97</v>
      </c>
      <c r="B99" s="59" t="s">
        <v>133</v>
      </c>
      <c r="C99" s="120">
        <v>179150934</v>
      </c>
      <c r="D99" s="120">
        <f>179150934+150000+20000+4458</f>
        <v>179325392</v>
      </c>
    </row>
    <row r="100" spans="1:4" s="98" customFormat="1" ht="12" customHeight="1">
      <c r="A100" s="113" t="s">
        <v>98</v>
      </c>
      <c r="B100" s="151" t="s">
        <v>175</v>
      </c>
      <c r="C100" s="120">
        <v>13067373</v>
      </c>
      <c r="D100" s="120">
        <v>13067373</v>
      </c>
    </row>
    <row r="101" spans="1:4" s="98" customFormat="1" ht="12" customHeight="1">
      <c r="A101" s="113" t="s">
        <v>109</v>
      </c>
      <c r="B101" s="152" t="s">
        <v>176</v>
      </c>
      <c r="C101" s="120">
        <f>C102+C103+C104+C105+C106+C107+C108+C109+C110+C111+C112+C113</f>
        <v>126892493</v>
      </c>
      <c r="D101" s="120">
        <f>D102+D103+D104+D105+D106+D107+D108+D109+D110+D111+D112+D113</f>
        <v>129916117</v>
      </c>
    </row>
    <row r="102" spans="1:4" s="98" customFormat="1" ht="12" customHeight="1">
      <c r="A102" s="113" t="s">
        <v>99</v>
      </c>
      <c r="B102" s="59" t="s">
        <v>442</v>
      </c>
      <c r="C102" s="120"/>
      <c r="D102" s="120"/>
    </row>
    <row r="103" spans="1:4" s="98" customFormat="1" ht="12" customHeight="1">
      <c r="A103" s="113" t="s">
        <v>100</v>
      </c>
      <c r="B103" s="153" t="s">
        <v>441</v>
      </c>
      <c r="C103" s="120"/>
      <c r="D103" s="120"/>
    </row>
    <row r="104" spans="1:4" s="98" customFormat="1" ht="12" customHeight="1">
      <c r="A104" s="113" t="s">
        <v>110</v>
      </c>
      <c r="B104" s="153" t="s">
        <v>440</v>
      </c>
      <c r="C104" s="120">
        <v>572567</v>
      </c>
      <c r="D104" s="120">
        <v>572567</v>
      </c>
    </row>
    <row r="105" spans="1:4" s="98" customFormat="1" ht="12" customHeight="1">
      <c r="A105" s="113" t="s">
        <v>111</v>
      </c>
      <c r="B105" s="154" t="s">
        <v>351</v>
      </c>
      <c r="C105" s="120"/>
      <c r="D105" s="120"/>
    </row>
    <row r="106" spans="1:4" s="98" customFormat="1" ht="12" customHeight="1">
      <c r="A106" s="113" t="s">
        <v>112</v>
      </c>
      <c r="B106" s="155" t="s">
        <v>352</v>
      </c>
      <c r="C106" s="120"/>
      <c r="D106" s="120"/>
    </row>
    <row r="107" spans="1:4" s="98" customFormat="1" ht="12" customHeight="1">
      <c r="A107" s="113" t="s">
        <v>113</v>
      </c>
      <c r="B107" s="155" t="s">
        <v>353</v>
      </c>
      <c r="C107" s="120"/>
      <c r="D107" s="120"/>
    </row>
    <row r="108" spans="1:4" s="98" customFormat="1" ht="12" customHeight="1">
      <c r="A108" s="113" t="s">
        <v>115</v>
      </c>
      <c r="B108" s="154" t="s">
        <v>354</v>
      </c>
      <c r="C108" s="120">
        <v>113979926</v>
      </c>
      <c r="D108" s="120">
        <f>113979926+15091+1718911+39622+20000</f>
        <v>115773550</v>
      </c>
    </row>
    <row r="109" spans="1:4" s="98" customFormat="1" ht="12" customHeight="1">
      <c r="A109" s="113" t="s">
        <v>177</v>
      </c>
      <c r="B109" s="154" t="s">
        <v>355</v>
      </c>
      <c r="C109" s="120"/>
      <c r="D109" s="120"/>
    </row>
    <row r="110" spans="1:4" s="98" customFormat="1" ht="12" customHeight="1">
      <c r="A110" s="113" t="s">
        <v>349</v>
      </c>
      <c r="B110" s="155" t="s">
        <v>356</v>
      </c>
      <c r="C110" s="120"/>
      <c r="D110" s="120"/>
    </row>
    <row r="111" spans="1:4" s="98" customFormat="1" ht="12" customHeight="1">
      <c r="A111" s="156" t="s">
        <v>350</v>
      </c>
      <c r="B111" s="153" t="s">
        <v>357</v>
      </c>
      <c r="C111" s="120"/>
      <c r="D111" s="120"/>
    </row>
    <row r="112" spans="1:4" s="98" customFormat="1" ht="12" customHeight="1">
      <c r="A112" s="113" t="s">
        <v>438</v>
      </c>
      <c r="B112" s="153" t="s">
        <v>358</v>
      </c>
      <c r="C112" s="120"/>
      <c r="D112" s="120"/>
    </row>
    <row r="113" spans="1:4" s="98" customFormat="1" ht="12" customHeight="1">
      <c r="A113" s="117" t="s">
        <v>439</v>
      </c>
      <c r="B113" s="153" t="s">
        <v>359</v>
      </c>
      <c r="C113" s="120">
        <v>12340000</v>
      </c>
      <c r="D113" s="120">
        <f>12340000+1200000+30000</f>
        <v>13570000</v>
      </c>
    </row>
    <row r="114" spans="1:4" s="98" customFormat="1" ht="12" customHeight="1">
      <c r="A114" s="113" t="s">
        <v>443</v>
      </c>
      <c r="B114" s="151" t="s">
        <v>47</v>
      </c>
      <c r="C114" s="115">
        <f>C115+C116</f>
        <v>32761625</v>
      </c>
      <c r="D114" s="115">
        <f>D115+D116</f>
        <v>40616483</v>
      </c>
    </row>
    <row r="115" spans="1:4" s="98" customFormat="1" ht="12" customHeight="1">
      <c r="A115" s="113" t="s">
        <v>444</v>
      </c>
      <c r="B115" s="59" t="s">
        <v>446</v>
      </c>
      <c r="C115" s="115">
        <v>8430181</v>
      </c>
      <c r="D115" s="115">
        <f>8430181+279623+12501681+6400+100000+30000+50000+458216-15091-37800+24000-1718911+467685-1200000-150000-30000-20000-950000-1575000-5-1094837+694424-39622+954162-249000-611067-20000</f>
        <v>16285039</v>
      </c>
    </row>
    <row r="116" spans="1:4" s="98" customFormat="1" ht="12" customHeight="1" thickBot="1">
      <c r="A116" s="113" t="s">
        <v>445</v>
      </c>
      <c r="B116" s="191" t="s">
        <v>447</v>
      </c>
      <c r="C116" s="115">
        <v>24331444</v>
      </c>
      <c r="D116" s="115">
        <v>24331444</v>
      </c>
    </row>
    <row r="117" spans="1:4" s="98" customFormat="1" ht="12" customHeight="1" thickBot="1">
      <c r="A117" s="106" t="s">
        <v>17</v>
      </c>
      <c r="B117" s="174" t="s">
        <v>711</v>
      </c>
      <c r="C117" s="108">
        <f>+C118+C120+C122</f>
        <v>119994133</v>
      </c>
      <c r="D117" s="108">
        <f>+D118+D120+D122</f>
        <v>128160997</v>
      </c>
    </row>
    <row r="118" spans="1:4" s="98" customFormat="1" ht="12" customHeight="1">
      <c r="A118" s="110" t="s">
        <v>101</v>
      </c>
      <c r="B118" s="59" t="s">
        <v>219</v>
      </c>
      <c r="C118" s="112">
        <v>73674349</v>
      </c>
      <c r="D118" s="112">
        <f>73674349+4997450+37800+950000+5+606609+8381999</f>
        <v>88648212</v>
      </c>
    </row>
    <row r="119" spans="1:4" s="98" customFormat="1" ht="12" customHeight="1">
      <c r="A119" s="110" t="s">
        <v>102</v>
      </c>
      <c r="B119" s="163" t="s">
        <v>363</v>
      </c>
      <c r="C119" s="112"/>
      <c r="D119" s="112"/>
    </row>
    <row r="120" spans="1:4" s="98" customFormat="1" ht="12" customHeight="1">
      <c r="A120" s="110" t="s">
        <v>103</v>
      </c>
      <c r="B120" s="163" t="s">
        <v>178</v>
      </c>
      <c r="C120" s="115">
        <v>44319784</v>
      </c>
      <c r="D120" s="115">
        <f>44319784+1575000-8381999</f>
        <v>37512785</v>
      </c>
    </row>
    <row r="121" spans="1:4" s="98" customFormat="1" ht="12" customHeight="1">
      <c r="A121" s="110" t="s">
        <v>104</v>
      </c>
      <c r="B121" s="163" t="s">
        <v>364</v>
      </c>
      <c r="C121" s="164"/>
      <c r="D121" s="164"/>
    </row>
    <row r="122" spans="1:4" s="98" customFormat="1" ht="12" customHeight="1">
      <c r="A122" s="110" t="s">
        <v>105</v>
      </c>
      <c r="B122" s="118" t="s">
        <v>222</v>
      </c>
      <c r="C122" s="164">
        <f>C123+C124+C125+C126+C127+C128+C129+C130</f>
        <v>2000000</v>
      </c>
      <c r="D122" s="164">
        <f>D123+D124+D125+D126+D127+D128+D129+D130</f>
        <v>2000000</v>
      </c>
    </row>
    <row r="123" spans="1:4" s="98" customFormat="1" ht="12" customHeight="1">
      <c r="A123" s="110" t="s">
        <v>114</v>
      </c>
      <c r="B123" s="116" t="s">
        <v>426</v>
      </c>
      <c r="C123" s="164"/>
      <c r="D123" s="164"/>
    </row>
    <row r="124" spans="1:4" s="98" customFormat="1" ht="12" customHeight="1">
      <c r="A124" s="110" t="s">
        <v>116</v>
      </c>
      <c r="B124" s="165" t="s">
        <v>369</v>
      </c>
      <c r="C124" s="164"/>
      <c r="D124" s="164"/>
    </row>
    <row r="125" spans="1:4" s="98" customFormat="1" ht="15.75">
      <c r="A125" s="110" t="s">
        <v>179</v>
      </c>
      <c r="B125" s="155" t="s">
        <v>353</v>
      </c>
      <c r="C125" s="164"/>
      <c r="D125" s="164"/>
    </row>
    <row r="126" spans="1:4" s="98" customFormat="1" ht="12" customHeight="1">
      <c r="A126" s="110" t="s">
        <v>180</v>
      </c>
      <c r="B126" s="155" t="s">
        <v>368</v>
      </c>
      <c r="C126" s="164"/>
      <c r="D126" s="164"/>
    </row>
    <row r="127" spans="1:4" s="98" customFormat="1" ht="12" customHeight="1">
      <c r="A127" s="110" t="s">
        <v>181</v>
      </c>
      <c r="B127" s="155" t="s">
        <v>367</v>
      </c>
      <c r="C127" s="164"/>
      <c r="D127" s="164"/>
    </row>
    <row r="128" spans="1:4" s="98" customFormat="1" ht="12" customHeight="1">
      <c r="A128" s="110" t="s">
        <v>360</v>
      </c>
      <c r="B128" s="155" t="s">
        <v>356</v>
      </c>
      <c r="C128" s="164"/>
      <c r="D128" s="164"/>
    </row>
    <row r="129" spans="1:4" s="98" customFormat="1" ht="12" customHeight="1">
      <c r="A129" s="110" t="s">
        <v>361</v>
      </c>
      <c r="B129" s="155" t="s">
        <v>366</v>
      </c>
      <c r="C129" s="164">
        <v>2000000</v>
      </c>
      <c r="D129" s="164">
        <v>2000000</v>
      </c>
    </row>
    <row r="130" spans="1:4" s="98" customFormat="1" ht="16.5" thickBot="1">
      <c r="A130" s="156" t="s">
        <v>362</v>
      </c>
      <c r="B130" s="155" t="s">
        <v>365</v>
      </c>
      <c r="C130" s="166"/>
      <c r="D130" s="166"/>
    </row>
    <row r="131" spans="1:4" s="98" customFormat="1" ht="12" customHeight="1" thickBot="1">
      <c r="A131" s="106" t="s">
        <v>18</v>
      </c>
      <c r="B131" s="67" t="s">
        <v>448</v>
      </c>
      <c r="C131" s="108">
        <f>+C96+C117</f>
        <v>558306007</v>
      </c>
      <c r="D131" s="108">
        <f>+D96+D117</f>
        <v>580325162</v>
      </c>
    </row>
    <row r="132" spans="1:4" s="98" customFormat="1" ht="12" customHeight="1" thickBot="1">
      <c r="A132" s="106" t="s">
        <v>19</v>
      </c>
      <c r="B132" s="67" t="s">
        <v>449</v>
      </c>
      <c r="C132" s="108">
        <f>+C133+C134+C135</f>
        <v>0</v>
      </c>
      <c r="D132" s="108">
        <f>+D133+D134+D135</f>
        <v>0</v>
      </c>
    </row>
    <row r="133" spans="1:4" s="98" customFormat="1" ht="12" customHeight="1">
      <c r="A133" s="110" t="s">
        <v>261</v>
      </c>
      <c r="B133" s="163" t="s">
        <v>456</v>
      </c>
      <c r="C133" s="164"/>
      <c r="D133" s="164"/>
    </row>
    <row r="134" spans="1:4" s="98" customFormat="1" ht="12" customHeight="1">
      <c r="A134" s="110" t="s">
        <v>264</v>
      </c>
      <c r="B134" s="163" t="s">
        <v>457</v>
      </c>
      <c r="C134" s="164"/>
      <c r="D134" s="164"/>
    </row>
    <row r="135" spans="1:4" s="98" customFormat="1" ht="12" customHeight="1" thickBot="1">
      <c r="A135" s="156" t="s">
        <v>265</v>
      </c>
      <c r="B135" s="163" t="s">
        <v>458</v>
      </c>
      <c r="C135" s="164"/>
      <c r="D135" s="164"/>
    </row>
    <row r="136" spans="1:4" s="98" customFormat="1" ht="12" customHeight="1" thickBot="1">
      <c r="A136" s="106" t="s">
        <v>20</v>
      </c>
      <c r="B136" s="67" t="s">
        <v>450</v>
      </c>
      <c r="C136" s="108">
        <f>SUM(C137:C142)</f>
        <v>0</v>
      </c>
      <c r="D136" s="108">
        <f>SUM(D137:D142)</f>
        <v>0</v>
      </c>
    </row>
    <row r="137" spans="1:4" s="98" customFormat="1" ht="12" customHeight="1">
      <c r="A137" s="110" t="s">
        <v>88</v>
      </c>
      <c r="B137" s="65" t="s">
        <v>459</v>
      </c>
      <c r="C137" s="164"/>
      <c r="D137" s="164"/>
    </row>
    <row r="138" spans="1:4" s="98" customFormat="1" ht="12" customHeight="1">
      <c r="A138" s="110" t="s">
        <v>89</v>
      </c>
      <c r="B138" s="65" t="s">
        <v>451</v>
      </c>
      <c r="C138" s="164"/>
      <c r="D138" s="164"/>
    </row>
    <row r="139" spans="1:4" s="98" customFormat="1" ht="12" customHeight="1">
      <c r="A139" s="110" t="s">
        <v>90</v>
      </c>
      <c r="B139" s="65" t="s">
        <v>452</v>
      </c>
      <c r="C139" s="164"/>
      <c r="D139" s="164"/>
    </row>
    <row r="140" spans="1:4" s="98" customFormat="1" ht="12" customHeight="1">
      <c r="A140" s="110" t="s">
        <v>166</v>
      </c>
      <c r="B140" s="65" t="s">
        <v>453</v>
      </c>
      <c r="C140" s="164"/>
      <c r="D140" s="164"/>
    </row>
    <row r="141" spans="1:4" s="98" customFormat="1" ht="12" customHeight="1">
      <c r="A141" s="110" t="s">
        <v>167</v>
      </c>
      <c r="B141" s="65" t="s">
        <v>454</v>
      </c>
      <c r="C141" s="164"/>
      <c r="D141" s="164"/>
    </row>
    <row r="142" spans="1:4" s="98" customFormat="1" ht="12" customHeight="1" thickBot="1">
      <c r="A142" s="156" t="s">
        <v>168</v>
      </c>
      <c r="B142" s="65" t="s">
        <v>455</v>
      </c>
      <c r="C142" s="164"/>
      <c r="D142" s="164"/>
    </row>
    <row r="143" spans="1:4" s="98" customFormat="1" ht="12" customHeight="1" thickBot="1">
      <c r="A143" s="106" t="s">
        <v>21</v>
      </c>
      <c r="B143" s="67" t="s">
        <v>463</v>
      </c>
      <c r="C143" s="122">
        <f>+C144+C145+C146+C147</f>
        <v>7777206</v>
      </c>
      <c r="D143" s="122">
        <f>+D144+D145+D146+D147</f>
        <v>7777206</v>
      </c>
    </row>
    <row r="144" spans="1:4" s="98" customFormat="1" ht="12" customHeight="1">
      <c r="A144" s="110" t="s">
        <v>91</v>
      </c>
      <c r="B144" s="65" t="s">
        <v>370</v>
      </c>
      <c r="C144" s="164"/>
      <c r="D144" s="164"/>
    </row>
    <row r="145" spans="1:5" s="98" customFormat="1" ht="12" customHeight="1">
      <c r="A145" s="110" t="s">
        <v>92</v>
      </c>
      <c r="B145" s="65" t="s">
        <v>371</v>
      </c>
      <c r="C145" s="164">
        <v>7777206</v>
      </c>
      <c r="D145" s="164">
        <v>7777206</v>
      </c>
    </row>
    <row r="146" spans="1:5" s="98" customFormat="1" ht="12" customHeight="1">
      <c r="A146" s="110" t="s">
        <v>285</v>
      </c>
      <c r="B146" s="65" t="s">
        <v>464</v>
      </c>
      <c r="C146" s="164"/>
      <c r="D146" s="164"/>
    </row>
    <row r="147" spans="1:5" s="98" customFormat="1" ht="12" customHeight="1" thickBot="1">
      <c r="A147" s="156" t="s">
        <v>286</v>
      </c>
      <c r="B147" s="61" t="s">
        <v>390</v>
      </c>
      <c r="C147" s="164"/>
      <c r="D147" s="164"/>
    </row>
    <row r="148" spans="1:5" s="98" customFormat="1" ht="12" customHeight="1" thickBot="1">
      <c r="A148" s="106" t="s">
        <v>22</v>
      </c>
      <c r="B148" s="67" t="s">
        <v>465</v>
      </c>
      <c r="C148" s="167">
        <f>SUM(C149:C153)</f>
        <v>0</v>
      </c>
      <c r="D148" s="167">
        <f>SUM(D149:D153)</f>
        <v>0</v>
      </c>
    </row>
    <row r="149" spans="1:5" s="98" customFormat="1" ht="12" customHeight="1">
      <c r="A149" s="110" t="s">
        <v>93</v>
      </c>
      <c r="B149" s="65" t="s">
        <v>460</v>
      </c>
      <c r="C149" s="164"/>
      <c r="D149" s="164"/>
    </row>
    <row r="150" spans="1:5" s="98" customFormat="1" ht="12" customHeight="1">
      <c r="A150" s="110" t="s">
        <v>94</v>
      </c>
      <c r="B150" s="65" t="s">
        <v>467</v>
      </c>
      <c r="C150" s="164"/>
      <c r="D150" s="164"/>
    </row>
    <row r="151" spans="1:5" s="98" customFormat="1" ht="12" customHeight="1">
      <c r="A151" s="110" t="s">
        <v>297</v>
      </c>
      <c r="B151" s="65" t="s">
        <v>462</v>
      </c>
      <c r="C151" s="164"/>
      <c r="D151" s="164"/>
    </row>
    <row r="152" spans="1:5" s="98" customFormat="1" ht="12" customHeight="1">
      <c r="A152" s="110" t="s">
        <v>298</v>
      </c>
      <c r="B152" s="65" t="s">
        <v>468</v>
      </c>
      <c r="C152" s="164"/>
      <c r="D152" s="164"/>
    </row>
    <row r="153" spans="1:5" s="98" customFormat="1" ht="12" customHeight="1" thickBot="1">
      <c r="A153" s="110" t="s">
        <v>466</v>
      </c>
      <c r="B153" s="65" t="s">
        <v>469</v>
      </c>
      <c r="C153" s="164"/>
      <c r="D153" s="164"/>
    </row>
    <row r="154" spans="1:5" s="98" customFormat="1" ht="12" customHeight="1" thickBot="1">
      <c r="A154" s="106" t="s">
        <v>23</v>
      </c>
      <c r="B154" s="67" t="s">
        <v>470</v>
      </c>
      <c r="C154" s="168"/>
      <c r="D154" s="168"/>
    </row>
    <row r="155" spans="1:5" s="98" customFormat="1" ht="12" customHeight="1" thickBot="1">
      <c r="A155" s="106" t="s">
        <v>24</v>
      </c>
      <c r="B155" s="67" t="s">
        <v>545</v>
      </c>
      <c r="C155" s="168">
        <v>159064986</v>
      </c>
      <c r="D155" s="168">
        <f>159064986+1094837</f>
        <v>160159823</v>
      </c>
    </row>
    <row r="156" spans="1:5" s="98" customFormat="1" ht="15" customHeight="1" thickBot="1">
      <c r="A156" s="106" t="s">
        <v>25</v>
      </c>
      <c r="B156" s="67" t="s">
        <v>473</v>
      </c>
      <c r="C156" s="169">
        <f>+C132+C136+C143+C148+C154+C155</f>
        <v>166842192</v>
      </c>
      <c r="D156" s="169">
        <f>+D132+D136+D143+D148+D154+D155</f>
        <v>167937029</v>
      </c>
      <c r="E156" s="170"/>
    </row>
    <row r="157" spans="1:5" s="109" customFormat="1" ht="12.95" customHeight="1" thickBot="1">
      <c r="A157" s="171" t="s">
        <v>26</v>
      </c>
      <c r="B157" s="172" t="s">
        <v>472</v>
      </c>
      <c r="C157" s="169">
        <f>+C131+C156</f>
        <v>725148199</v>
      </c>
      <c r="D157" s="169">
        <f>+D131+D156</f>
        <v>748262191</v>
      </c>
    </row>
    <row r="158" spans="1:5" ht="13.5" thickBot="1"/>
    <row r="159" spans="1:5" s="44" customFormat="1" ht="14.25" customHeight="1" thickBot="1">
      <c r="A159" s="95" t="s">
        <v>514</v>
      </c>
      <c r="B159" s="96"/>
      <c r="C159" s="97">
        <v>16</v>
      </c>
      <c r="D159" s="97">
        <v>16</v>
      </c>
    </row>
    <row r="160" spans="1:5" s="44" customFormat="1" ht="13.5" thickBot="1">
      <c r="A160" s="95" t="s">
        <v>196</v>
      </c>
      <c r="B160" s="96"/>
      <c r="C160" s="97">
        <v>6</v>
      </c>
      <c r="D160" s="97">
        <v>6</v>
      </c>
    </row>
  </sheetData>
  <sheetProtection formatCells="0"/>
  <mergeCells count="2">
    <mergeCell ref="A92:B92"/>
    <mergeCell ref="A93:B93"/>
  </mergeCells>
  <phoneticPr fontId="0" type="noConversion"/>
  <printOptions horizontalCentered="1"/>
  <pageMargins left="0.19685039370078741" right="0.19685039370078741" top="0.19685039370078741" bottom="0.19685039370078741" header="0.78740157480314965" footer="0.78740157480314965"/>
  <pageSetup paperSize="9" scale="66" orientation="portrait" verticalDpi="300" r:id="rId1"/>
  <headerFooter alignWithMargins="0">
    <oddFooter>&amp;P. oldal, összesen: &amp;N</oddFooter>
  </headerFooter>
  <rowBreaks count="1" manualBreakCount="1">
    <brk id="9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 codeName="Munka14">
    <tabColor rgb="FF7030A0"/>
  </sheetPr>
  <dimension ref="A1:D157"/>
  <sheetViews>
    <sheetView topLeftCell="B1" zoomScaleNormal="100" zoomScaleSheetLayoutView="85" workbookViewId="0">
      <selection activeCell="C1" sqref="C1"/>
    </sheetView>
  </sheetViews>
  <sheetFormatPr defaultRowHeight="12.75"/>
  <cols>
    <col min="1" max="1" width="19.5" style="93" customWidth="1"/>
    <col min="2" max="2" width="72" style="44" customWidth="1"/>
    <col min="3" max="4" width="25" style="94" customWidth="1"/>
    <col min="5" max="16384" width="9.33203125" style="184"/>
  </cols>
  <sheetData>
    <row r="1" spans="1:4" s="176" customFormat="1" ht="16.5" customHeight="1" thickBot="1">
      <c r="A1" s="28"/>
      <c r="B1" s="192"/>
      <c r="C1" s="177" t="s">
        <v>730</v>
      </c>
      <c r="D1" s="177"/>
    </row>
    <row r="2" spans="1:4" s="179" customFormat="1" ht="21" customHeight="1">
      <c r="A2" s="31" t="s">
        <v>58</v>
      </c>
      <c r="B2" s="32" t="s">
        <v>540</v>
      </c>
      <c r="C2" s="178" t="s">
        <v>51</v>
      </c>
      <c r="D2" s="178" t="s">
        <v>51</v>
      </c>
    </row>
    <row r="3" spans="1:4" s="179" customFormat="1" ht="16.5" thickBot="1">
      <c r="A3" s="180" t="s">
        <v>193</v>
      </c>
      <c r="B3" s="36" t="s">
        <v>427</v>
      </c>
      <c r="C3" s="181" t="s">
        <v>56</v>
      </c>
      <c r="D3" s="181" t="s">
        <v>56</v>
      </c>
    </row>
    <row r="4" spans="1:4" s="182" customFormat="1" ht="15.95" customHeight="1" thickBot="1">
      <c r="A4" s="38"/>
      <c r="B4" s="38"/>
      <c r="C4" s="39" t="s">
        <v>597</v>
      </c>
      <c r="D4" s="39" t="s">
        <v>597</v>
      </c>
    </row>
    <row r="5" spans="1:4" ht="13.5" thickBot="1">
      <c r="A5" s="41" t="s">
        <v>195</v>
      </c>
      <c r="B5" s="42" t="s">
        <v>52</v>
      </c>
      <c r="C5" s="193"/>
      <c r="D5" s="193"/>
    </row>
    <row r="6" spans="1:4" s="98" customFormat="1" ht="38.1" customHeight="1" thickBot="1">
      <c r="A6" s="100" t="s">
        <v>66</v>
      </c>
      <c r="B6" s="101" t="s">
        <v>15</v>
      </c>
      <c r="C6" s="43" t="s">
        <v>613</v>
      </c>
      <c r="D6" s="183" t="s">
        <v>709</v>
      </c>
    </row>
    <row r="7" spans="1:4" s="105" customFormat="1" ht="12" customHeight="1" thickBot="1">
      <c r="A7" s="102" t="s">
        <v>487</v>
      </c>
      <c r="B7" s="103" t="s">
        <v>488</v>
      </c>
      <c r="C7" s="104" t="s">
        <v>489</v>
      </c>
      <c r="D7" s="104" t="s">
        <v>489</v>
      </c>
    </row>
    <row r="8" spans="1:4" s="109" customFormat="1" ht="12" customHeight="1" thickBot="1">
      <c r="A8" s="106" t="s">
        <v>16</v>
      </c>
      <c r="B8" s="107" t="s">
        <v>245</v>
      </c>
      <c r="C8" s="108">
        <f>+C9+C10+C11+C12+C13+C14</f>
        <v>214106236</v>
      </c>
      <c r="D8" s="108">
        <f>+D9+D10+D11+D12+D13+D14</f>
        <v>215080283</v>
      </c>
    </row>
    <row r="9" spans="1:4" s="109" customFormat="1" ht="12" customHeight="1">
      <c r="A9" s="110" t="s">
        <v>95</v>
      </c>
      <c r="B9" s="111" t="s">
        <v>246</v>
      </c>
      <c r="C9" s="112">
        <v>116822015</v>
      </c>
      <c r="D9" s="112">
        <v>116822015</v>
      </c>
    </row>
    <row r="10" spans="1:4" s="109" customFormat="1" ht="12" customHeight="1">
      <c r="A10" s="113" t="s">
        <v>96</v>
      </c>
      <c r="B10" s="114" t="s">
        <v>247</v>
      </c>
      <c r="C10" s="115">
        <v>54429080</v>
      </c>
      <c r="D10" s="115">
        <v>54429080</v>
      </c>
    </row>
    <row r="11" spans="1:4" s="109" customFormat="1" ht="12" customHeight="1">
      <c r="A11" s="113" t="s">
        <v>97</v>
      </c>
      <c r="B11" s="114" t="s">
        <v>248</v>
      </c>
      <c r="C11" s="115">
        <v>40034781</v>
      </c>
      <c r="D11" s="115">
        <v>40034781</v>
      </c>
    </row>
    <row r="12" spans="1:4" s="109" customFormat="1" ht="12" customHeight="1">
      <c r="A12" s="113" t="s">
        <v>98</v>
      </c>
      <c r="B12" s="114" t="s">
        <v>249</v>
      </c>
      <c r="C12" s="115">
        <v>2820360</v>
      </c>
      <c r="D12" s="115">
        <f>2820360+279623</f>
        <v>3099983</v>
      </c>
    </row>
    <row r="13" spans="1:4" s="109" customFormat="1" ht="12" customHeight="1">
      <c r="A13" s="113" t="s">
        <v>141</v>
      </c>
      <c r="B13" s="116" t="s">
        <v>430</v>
      </c>
      <c r="C13" s="115"/>
      <c r="D13" s="115">
        <v>694424</v>
      </c>
    </row>
    <row r="14" spans="1:4" s="109" customFormat="1" ht="12" customHeight="1" thickBot="1">
      <c r="A14" s="117" t="s">
        <v>99</v>
      </c>
      <c r="B14" s="118" t="s">
        <v>431</v>
      </c>
      <c r="C14" s="115"/>
      <c r="D14" s="115"/>
    </row>
    <row r="15" spans="1:4" s="109" customFormat="1" ht="12" customHeight="1" thickBot="1">
      <c r="A15" s="106" t="s">
        <v>17</v>
      </c>
      <c r="B15" s="119" t="s">
        <v>250</v>
      </c>
      <c r="C15" s="108">
        <f>+C16+C17+C18+C19+C20</f>
        <v>55885159</v>
      </c>
      <c r="D15" s="108">
        <f>+D16+D17+D18+D19+D20</f>
        <v>65203807</v>
      </c>
    </row>
    <row r="16" spans="1:4" s="109" customFormat="1" ht="12" customHeight="1">
      <c r="A16" s="110" t="s">
        <v>101</v>
      </c>
      <c r="B16" s="111" t="s">
        <v>251</v>
      </c>
      <c r="C16" s="112"/>
      <c r="D16" s="112"/>
    </row>
    <row r="17" spans="1:4" s="109" customFormat="1" ht="12" customHeight="1">
      <c r="A17" s="113" t="s">
        <v>102</v>
      </c>
      <c r="B17" s="114" t="s">
        <v>252</v>
      </c>
      <c r="C17" s="115"/>
      <c r="D17" s="115"/>
    </row>
    <row r="18" spans="1:4" s="109" customFormat="1" ht="12" customHeight="1">
      <c r="A18" s="113" t="s">
        <v>103</v>
      </c>
      <c r="B18" s="114" t="s">
        <v>420</v>
      </c>
      <c r="C18" s="115"/>
      <c r="D18" s="115"/>
    </row>
    <row r="19" spans="1:4" s="109" customFormat="1" ht="12" customHeight="1">
      <c r="A19" s="113" t="s">
        <v>104</v>
      </c>
      <c r="B19" s="114" t="s">
        <v>421</v>
      </c>
      <c r="C19" s="115"/>
      <c r="D19" s="115"/>
    </row>
    <row r="20" spans="1:4" s="109" customFormat="1" ht="12" customHeight="1">
      <c r="A20" s="113" t="s">
        <v>105</v>
      </c>
      <c r="B20" s="114" t="s">
        <v>253</v>
      </c>
      <c r="C20" s="115">
        <f>55885159</f>
        <v>55885159</v>
      </c>
      <c r="D20" s="115">
        <f>55885159+3753513+4997450+100000+467685</f>
        <v>65203807</v>
      </c>
    </row>
    <row r="21" spans="1:4" s="109" customFormat="1" ht="12" customHeight="1" thickBot="1">
      <c r="A21" s="117" t="s">
        <v>114</v>
      </c>
      <c r="B21" s="118" t="s">
        <v>254</v>
      </c>
      <c r="C21" s="120"/>
      <c r="D21" s="120"/>
    </row>
    <row r="22" spans="1:4" s="109" customFormat="1" ht="12" customHeight="1" thickBot="1">
      <c r="A22" s="106" t="s">
        <v>18</v>
      </c>
      <c r="B22" s="107" t="s">
        <v>255</v>
      </c>
      <c r="C22" s="108">
        <f>+C23+C24+C25+C26+C27</f>
        <v>0</v>
      </c>
      <c r="D22" s="108">
        <f>+D23+D24+D25+D26+D27</f>
        <v>0</v>
      </c>
    </row>
    <row r="23" spans="1:4" s="109" customFormat="1" ht="12" customHeight="1">
      <c r="A23" s="110" t="s">
        <v>84</v>
      </c>
      <c r="B23" s="111" t="s">
        <v>256</v>
      </c>
      <c r="C23" s="112"/>
      <c r="D23" s="112"/>
    </row>
    <row r="24" spans="1:4" s="109" customFormat="1" ht="12" customHeight="1">
      <c r="A24" s="113" t="s">
        <v>85</v>
      </c>
      <c r="B24" s="114" t="s">
        <v>257</v>
      </c>
      <c r="C24" s="115"/>
      <c r="D24" s="115"/>
    </row>
    <row r="25" spans="1:4" s="109" customFormat="1" ht="12" customHeight="1">
      <c r="A25" s="113" t="s">
        <v>86</v>
      </c>
      <c r="B25" s="114" t="s">
        <v>422</v>
      </c>
      <c r="C25" s="115"/>
      <c r="D25" s="115"/>
    </row>
    <row r="26" spans="1:4" s="109" customFormat="1" ht="12" customHeight="1">
      <c r="A26" s="113" t="s">
        <v>87</v>
      </c>
      <c r="B26" s="114" t="s">
        <v>423</v>
      </c>
      <c r="C26" s="115"/>
      <c r="D26" s="115"/>
    </row>
    <row r="27" spans="1:4" s="109" customFormat="1" ht="12" customHeight="1">
      <c r="A27" s="113" t="s">
        <v>162</v>
      </c>
      <c r="B27" s="114" t="s">
        <v>258</v>
      </c>
      <c r="C27" s="115"/>
      <c r="D27" s="115"/>
    </row>
    <row r="28" spans="1:4" s="109" customFormat="1" ht="12" customHeight="1" thickBot="1">
      <c r="A28" s="117" t="s">
        <v>163</v>
      </c>
      <c r="B28" s="121" t="s">
        <v>259</v>
      </c>
      <c r="C28" s="120"/>
      <c r="D28" s="120"/>
    </row>
    <row r="29" spans="1:4" s="109" customFormat="1" ht="12" customHeight="1" thickBot="1">
      <c r="A29" s="106" t="s">
        <v>164</v>
      </c>
      <c r="B29" s="107" t="s">
        <v>260</v>
      </c>
      <c r="C29" s="122">
        <f>+C30+C34+C35+C36</f>
        <v>75947245</v>
      </c>
      <c r="D29" s="122">
        <f>+D30+D34+D35+D36</f>
        <v>67157998</v>
      </c>
    </row>
    <row r="30" spans="1:4" s="109" customFormat="1" ht="12" customHeight="1">
      <c r="A30" s="110" t="s">
        <v>261</v>
      </c>
      <c r="B30" s="187" t="s">
        <v>437</v>
      </c>
      <c r="C30" s="123">
        <f>+C31+C32+C33</f>
        <v>41417245</v>
      </c>
      <c r="D30" s="123">
        <f>+D31+D32+D33</f>
        <v>32627998</v>
      </c>
    </row>
    <row r="31" spans="1:4" s="109" customFormat="1" ht="12" customHeight="1">
      <c r="A31" s="113" t="s">
        <v>262</v>
      </c>
      <c r="B31" s="188" t="s">
        <v>630</v>
      </c>
      <c r="C31" s="115">
        <v>6417245</v>
      </c>
      <c r="D31" s="115">
        <f>611067+20000</f>
        <v>631067</v>
      </c>
    </row>
    <row r="32" spans="1:4" s="109" customFormat="1" ht="12" customHeight="1">
      <c r="A32" s="113" t="s">
        <v>263</v>
      </c>
      <c r="B32" s="188" t="s">
        <v>631</v>
      </c>
      <c r="C32" s="115"/>
      <c r="D32" s="115"/>
    </row>
    <row r="33" spans="1:4" s="109" customFormat="1" ht="12" customHeight="1">
      <c r="A33" s="113" t="s">
        <v>435</v>
      </c>
      <c r="B33" s="189" t="s">
        <v>436</v>
      </c>
      <c r="C33" s="115">
        <f>35000000</f>
        <v>35000000</v>
      </c>
      <c r="D33" s="115">
        <v>31996931</v>
      </c>
    </row>
    <row r="34" spans="1:4" s="109" customFormat="1" ht="12" customHeight="1">
      <c r="A34" s="113" t="s">
        <v>264</v>
      </c>
      <c r="B34" s="188" t="s">
        <v>269</v>
      </c>
      <c r="C34" s="115">
        <v>7400000</v>
      </c>
      <c r="D34" s="115">
        <v>7400000</v>
      </c>
    </row>
    <row r="35" spans="1:4" s="109" customFormat="1" ht="12" customHeight="1">
      <c r="A35" s="113" t="s">
        <v>265</v>
      </c>
      <c r="B35" s="188" t="s">
        <v>588</v>
      </c>
      <c r="C35" s="115">
        <v>27000000</v>
      </c>
      <c r="D35" s="115">
        <f>27000000-500000</f>
        <v>26500000</v>
      </c>
    </row>
    <row r="36" spans="1:4" s="109" customFormat="1" ht="12" customHeight="1" thickBot="1">
      <c r="A36" s="117" t="s">
        <v>266</v>
      </c>
      <c r="B36" s="190" t="s">
        <v>271</v>
      </c>
      <c r="C36" s="120">
        <v>130000</v>
      </c>
      <c r="D36" s="120">
        <f>130000+500000</f>
        <v>630000</v>
      </c>
    </row>
    <row r="37" spans="1:4" s="109" customFormat="1" ht="12" customHeight="1" thickBot="1">
      <c r="A37" s="106" t="s">
        <v>20</v>
      </c>
      <c r="B37" s="107" t="s">
        <v>432</v>
      </c>
      <c r="C37" s="108">
        <f>SUM(C38:C48)</f>
        <v>1905000</v>
      </c>
      <c r="D37" s="108">
        <f>SUM(D38:D48)</f>
        <v>1929000</v>
      </c>
    </row>
    <row r="38" spans="1:4" s="109" customFormat="1" ht="12" customHeight="1">
      <c r="A38" s="110" t="s">
        <v>88</v>
      </c>
      <c r="B38" s="111" t="s">
        <v>274</v>
      </c>
      <c r="C38" s="112"/>
      <c r="D38" s="112"/>
    </row>
    <row r="39" spans="1:4" s="109" customFormat="1" ht="12" customHeight="1">
      <c r="A39" s="113" t="s">
        <v>89</v>
      </c>
      <c r="B39" s="114" t="s">
        <v>275</v>
      </c>
      <c r="C39" s="115"/>
      <c r="D39" s="115"/>
    </row>
    <row r="40" spans="1:4" s="109" customFormat="1" ht="12" customHeight="1">
      <c r="A40" s="113" t="s">
        <v>90</v>
      </c>
      <c r="B40" s="114" t="s">
        <v>276</v>
      </c>
      <c r="C40" s="115"/>
      <c r="D40" s="115"/>
    </row>
    <row r="41" spans="1:4" s="109" customFormat="1" ht="12" customHeight="1">
      <c r="A41" s="113" t="s">
        <v>166</v>
      </c>
      <c r="B41" s="114" t="s">
        <v>277</v>
      </c>
      <c r="C41" s="115"/>
      <c r="D41" s="115"/>
    </row>
    <row r="42" spans="1:4" s="109" customFormat="1" ht="12" customHeight="1">
      <c r="A42" s="113" t="s">
        <v>167</v>
      </c>
      <c r="B42" s="114" t="s">
        <v>278</v>
      </c>
      <c r="C42" s="115">
        <f>1500000</f>
        <v>1500000</v>
      </c>
      <c r="D42" s="115">
        <f>1500000</f>
        <v>1500000</v>
      </c>
    </row>
    <row r="43" spans="1:4" s="109" customFormat="1" ht="12" customHeight="1">
      <c r="A43" s="113" t="s">
        <v>168</v>
      </c>
      <c r="B43" s="114" t="s">
        <v>279</v>
      </c>
      <c r="C43" s="115">
        <f>C42*0.27</f>
        <v>405000</v>
      </c>
      <c r="D43" s="115">
        <f>D42*0.27</f>
        <v>405000</v>
      </c>
    </row>
    <row r="44" spans="1:4" s="109" customFormat="1" ht="12" customHeight="1">
      <c r="A44" s="113" t="s">
        <v>169</v>
      </c>
      <c r="B44" s="114" t="s">
        <v>280</v>
      </c>
      <c r="C44" s="115"/>
      <c r="D44" s="115"/>
    </row>
    <row r="45" spans="1:4" s="109" customFormat="1" ht="12" customHeight="1">
      <c r="A45" s="113" t="s">
        <v>170</v>
      </c>
      <c r="B45" s="114" t="s">
        <v>281</v>
      </c>
      <c r="C45" s="115"/>
      <c r="D45" s="115"/>
    </row>
    <row r="46" spans="1:4" s="109" customFormat="1" ht="12" customHeight="1">
      <c r="A46" s="113" t="s">
        <v>272</v>
      </c>
      <c r="B46" s="114" t="s">
        <v>282</v>
      </c>
      <c r="C46" s="125"/>
      <c r="D46" s="125"/>
    </row>
    <row r="47" spans="1:4" s="109" customFormat="1" ht="12" customHeight="1">
      <c r="A47" s="117" t="s">
        <v>273</v>
      </c>
      <c r="B47" s="121" t="s">
        <v>434</v>
      </c>
      <c r="C47" s="126"/>
      <c r="D47" s="126"/>
    </row>
    <row r="48" spans="1:4" s="109" customFormat="1" ht="12" customHeight="1" thickBot="1">
      <c r="A48" s="117" t="s">
        <v>433</v>
      </c>
      <c r="B48" s="118" t="s">
        <v>283</v>
      </c>
      <c r="C48" s="126"/>
      <c r="D48" s="126">
        <f>24000</f>
        <v>24000</v>
      </c>
    </row>
    <row r="49" spans="1:4" s="109" customFormat="1" ht="12" customHeight="1" thickBot="1">
      <c r="A49" s="106" t="s">
        <v>21</v>
      </c>
      <c r="B49" s="107" t="s">
        <v>284</v>
      </c>
      <c r="C49" s="108">
        <f>SUM(C50:C54)</f>
        <v>0</v>
      </c>
      <c r="D49" s="108">
        <f>SUM(D50:D54)</f>
        <v>0</v>
      </c>
    </row>
    <row r="50" spans="1:4" s="109" customFormat="1" ht="12" customHeight="1">
      <c r="A50" s="110" t="s">
        <v>91</v>
      </c>
      <c r="B50" s="111" t="s">
        <v>288</v>
      </c>
      <c r="C50" s="127"/>
      <c r="D50" s="127"/>
    </row>
    <row r="51" spans="1:4" s="109" customFormat="1" ht="12" customHeight="1">
      <c r="A51" s="113" t="s">
        <v>92</v>
      </c>
      <c r="B51" s="114" t="s">
        <v>289</v>
      </c>
      <c r="C51" s="125"/>
      <c r="D51" s="125"/>
    </row>
    <row r="52" spans="1:4" s="109" customFormat="1" ht="12" customHeight="1">
      <c r="A52" s="113" t="s">
        <v>285</v>
      </c>
      <c r="B52" s="114" t="s">
        <v>290</v>
      </c>
      <c r="C52" s="125"/>
      <c r="D52" s="125"/>
    </row>
    <row r="53" spans="1:4" s="109" customFormat="1" ht="12" customHeight="1">
      <c r="A53" s="113" t="s">
        <v>286</v>
      </c>
      <c r="B53" s="114" t="s">
        <v>291</v>
      </c>
      <c r="C53" s="125"/>
      <c r="D53" s="125"/>
    </row>
    <row r="54" spans="1:4" s="109" customFormat="1" ht="12" customHeight="1" thickBot="1">
      <c r="A54" s="117" t="s">
        <v>287</v>
      </c>
      <c r="B54" s="118" t="s">
        <v>292</v>
      </c>
      <c r="C54" s="126"/>
      <c r="D54" s="126"/>
    </row>
    <row r="55" spans="1:4" s="109" customFormat="1" ht="12" customHeight="1" thickBot="1">
      <c r="A55" s="106" t="s">
        <v>171</v>
      </c>
      <c r="B55" s="107" t="s">
        <v>293</v>
      </c>
      <c r="C55" s="108">
        <f>SUM(C56:C58)</f>
        <v>293300</v>
      </c>
      <c r="D55" s="108">
        <f>SUM(D56:D58)</f>
        <v>293300</v>
      </c>
    </row>
    <row r="56" spans="1:4" s="109" customFormat="1" ht="12" customHeight="1">
      <c r="A56" s="110" t="s">
        <v>93</v>
      </c>
      <c r="B56" s="111" t="s">
        <v>294</v>
      </c>
      <c r="C56" s="112"/>
      <c r="D56" s="112"/>
    </row>
    <row r="57" spans="1:4" s="109" customFormat="1" ht="12" customHeight="1">
      <c r="A57" s="113" t="s">
        <v>94</v>
      </c>
      <c r="B57" s="114" t="s">
        <v>424</v>
      </c>
      <c r="C57" s="115"/>
      <c r="D57" s="115"/>
    </row>
    <row r="58" spans="1:4" s="109" customFormat="1" ht="12" customHeight="1">
      <c r="A58" s="113" t="s">
        <v>297</v>
      </c>
      <c r="B58" s="114" t="s">
        <v>295</v>
      </c>
      <c r="C58" s="115">
        <v>293300</v>
      </c>
      <c r="D58" s="115">
        <v>293300</v>
      </c>
    </row>
    <row r="59" spans="1:4" s="109" customFormat="1" ht="12" customHeight="1" thickBot="1">
      <c r="A59" s="117" t="s">
        <v>298</v>
      </c>
      <c r="B59" s="118" t="s">
        <v>296</v>
      </c>
      <c r="C59" s="120"/>
      <c r="D59" s="120"/>
    </row>
    <row r="60" spans="1:4" s="109" customFormat="1" ht="12" customHeight="1" thickBot="1">
      <c r="A60" s="106" t="s">
        <v>23</v>
      </c>
      <c r="B60" s="119" t="s">
        <v>299</v>
      </c>
      <c r="C60" s="108">
        <f>SUM(C61:C63)</f>
        <v>0</v>
      </c>
      <c r="D60" s="108">
        <f>SUM(D61:D63)</f>
        <v>0</v>
      </c>
    </row>
    <row r="61" spans="1:4" s="109" customFormat="1" ht="12" customHeight="1">
      <c r="A61" s="110" t="s">
        <v>172</v>
      </c>
      <c r="B61" s="111" t="s">
        <v>301</v>
      </c>
      <c r="C61" s="125"/>
      <c r="D61" s="125"/>
    </row>
    <row r="62" spans="1:4" s="109" customFormat="1" ht="12" customHeight="1">
      <c r="A62" s="113" t="s">
        <v>173</v>
      </c>
      <c r="B62" s="114" t="s">
        <v>425</v>
      </c>
      <c r="C62" s="125"/>
      <c r="D62" s="125"/>
    </row>
    <row r="63" spans="1:4" s="109" customFormat="1" ht="12" customHeight="1">
      <c r="A63" s="113" t="s">
        <v>221</v>
      </c>
      <c r="B63" s="114" t="s">
        <v>302</v>
      </c>
      <c r="C63" s="125"/>
      <c r="D63" s="125"/>
    </row>
    <row r="64" spans="1:4" s="109" customFormat="1" ht="12" customHeight="1" thickBot="1">
      <c r="A64" s="117" t="s">
        <v>300</v>
      </c>
      <c r="B64" s="118" t="s">
        <v>303</v>
      </c>
      <c r="C64" s="125"/>
      <c r="D64" s="125"/>
    </row>
    <row r="65" spans="1:4" s="109" customFormat="1" ht="12" customHeight="1" thickBot="1">
      <c r="A65" s="128" t="s">
        <v>476</v>
      </c>
      <c r="B65" s="107" t="s">
        <v>304</v>
      </c>
      <c r="C65" s="122">
        <f>+C8+C15+C22+C29+C37+C49+C55+C60</f>
        <v>348136940</v>
      </c>
      <c r="D65" s="122">
        <f>+D8+D15+D22+D29+D37+D49+D55+D60</f>
        <v>349664388</v>
      </c>
    </row>
    <row r="66" spans="1:4" s="109" customFormat="1" ht="12" customHeight="1" thickBot="1">
      <c r="A66" s="129" t="s">
        <v>305</v>
      </c>
      <c r="B66" s="119" t="s">
        <v>306</v>
      </c>
      <c r="C66" s="108">
        <f>SUM(C67:C69)</f>
        <v>0</v>
      </c>
      <c r="D66" s="108">
        <f>SUM(D67:D69)</f>
        <v>0</v>
      </c>
    </row>
    <row r="67" spans="1:4" s="109" customFormat="1" ht="12" customHeight="1">
      <c r="A67" s="110" t="s">
        <v>337</v>
      </c>
      <c r="B67" s="111" t="s">
        <v>307</v>
      </c>
      <c r="C67" s="125"/>
      <c r="D67" s="125"/>
    </row>
    <row r="68" spans="1:4" s="109" customFormat="1" ht="12" customHeight="1">
      <c r="A68" s="113" t="s">
        <v>346</v>
      </c>
      <c r="B68" s="114" t="s">
        <v>308</v>
      </c>
      <c r="C68" s="125"/>
      <c r="D68" s="125"/>
    </row>
    <row r="69" spans="1:4" s="109" customFormat="1" ht="12" customHeight="1" thickBot="1">
      <c r="A69" s="117" t="s">
        <v>347</v>
      </c>
      <c r="B69" s="130" t="s">
        <v>461</v>
      </c>
      <c r="C69" s="125"/>
      <c r="D69" s="125"/>
    </row>
    <row r="70" spans="1:4" s="109" customFormat="1" ht="12" customHeight="1" thickBot="1">
      <c r="A70" s="129" t="s">
        <v>310</v>
      </c>
      <c r="B70" s="119" t="s">
        <v>311</v>
      </c>
      <c r="C70" s="108">
        <f>SUM(C71:C74)</f>
        <v>0</v>
      </c>
      <c r="D70" s="108">
        <f>SUM(D71:D74)</f>
        <v>0</v>
      </c>
    </row>
    <row r="71" spans="1:4" s="109" customFormat="1" ht="12" customHeight="1">
      <c r="A71" s="110" t="s">
        <v>142</v>
      </c>
      <c r="B71" s="111" t="s">
        <v>312</v>
      </c>
      <c r="C71" s="125"/>
      <c r="D71" s="125"/>
    </row>
    <row r="72" spans="1:4" s="109" customFormat="1" ht="12" customHeight="1">
      <c r="A72" s="113" t="s">
        <v>143</v>
      </c>
      <c r="B72" s="114" t="s">
        <v>313</v>
      </c>
      <c r="C72" s="125"/>
      <c r="D72" s="125"/>
    </row>
    <row r="73" spans="1:4" s="109" customFormat="1" ht="12" customHeight="1">
      <c r="A73" s="113" t="s">
        <v>338</v>
      </c>
      <c r="B73" s="114" t="s">
        <v>314</v>
      </c>
      <c r="C73" s="125"/>
      <c r="D73" s="125"/>
    </row>
    <row r="74" spans="1:4" s="109" customFormat="1" ht="12" customHeight="1" thickBot="1">
      <c r="A74" s="117" t="s">
        <v>339</v>
      </c>
      <c r="B74" s="118" t="s">
        <v>315</v>
      </c>
      <c r="C74" s="125"/>
      <c r="D74" s="125"/>
    </row>
    <row r="75" spans="1:4" s="109" customFormat="1" ht="12" customHeight="1" thickBot="1">
      <c r="A75" s="129" t="s">
        <v>316</v>
      </c>
      <c r="B75" s="119" t="s">
        <v>317</v>
      </c>
      <c r="C75" s="108">
        <f>SUM(C76:C77)</f>
        <v>210472828</v>
      </c>
      <c r="D75" s="108">
        <f>SUM(D76:D77)</f>
        <v>222974509</v>
      </c>
    </row>
    <row r="76" spans="1:4" s="109" customFormat="1" ht="12" customHeight="1">
      <c r="A76" s="110" t="s">
        <v>340</v>
      </c>
      <c r="B76" s="111" t="s">
        <v>318</v>
      </c>
      <c r="C76" s="125">
        <v>210472828</v>
      </c>
      <c r="D76" s="125">
        <f>210472828+12501681</f>
        <v>222974509</v>
      </c>
    </row>
    <row r="77" spans="1:4" s="109" customFormat="1" ht="12" customHeight="1" thickBot="1">
      <c r="A77" s="117" t="s">
        <v>341</v>
      </c>
      <c r="B77" s="118" t="s">
        <v>319</v>
      </c>
      <c r="C77" s="125"/>
      <c r="D77" s="125"/>
    </row>
    <row r="78" spans="1:4" s="109" customFormat="1" ht="12" customHeight="1" thickBot="1">
      <c r="A78" s="129" t="s">
        <v>320</v>
      </c>
      <c r="B78" s="119" t="s">
        <v>321</v>
      </c>
      <c r="C78" s="108">
        <f>SUM(C79:C81)</f>
        <v>0</v>
      </c>
      <c r="D78" s="108">
        <f>SUM(D79:D81)</f>
        <v>0</v>
      </c>
    </row>
    <row r="79" spans="1:4" s="109" customFormat="1" ht="12" customHeight="1">
      <c r="A79" s="110" t="s">
        <v>342</v>
      </c>
      <c r="B79" s="111" t="s">
        <v>322</v>
      </c>
      <c r="C79" s="125"/>
      <c r="D79" s="125"/>
    </row>
    <row r="80" spans="1:4" s="109" customFormat="1" ht="12" customHeight="1">
      <c r="A80" s="113" t="s">
        <v>343</v>
      </c>
      <c r="B80" s="114" t="s">
        <v>323</v>
      </c>
      <c r="C80" s="125"/>
      <c r="D80" s="125"/>
    </row>
    <row r="81" spans="1:4" s="109" customFormat="1" ht="12" customHeight="1" thickBot="1">
      <c r="A81" s="117" t="s">
        <v>344</v>
      </c>
      <c r="B81" s="118" t="s">
        <v>324</v>
      </c>
      <c r="C81" s="125"/>
      <c r="D81" s="125"/>
    </row>
    <row r="82" spans="1:4" s="109" customFormat="1" ht="12" customHeight="1" thickBot="1">
      <c r="A82" s="129" t="s">
        <v>325</v>
      </c>
      <c r="B82" s="119" t="s">
        <v>345</v>
      </c>
      <c r="C82" s="108">
        <f>SUM(C83:C86)</f>
        <v>0</v>
      </c>
      <c r="D82" s="108">
        <f>SUM(D83:D86)</f>
        <v>0</v>
      </c>
    </row>
    <row r="83" spans="1:4" s="109" customFormat="1" ht="12" customHeight="1">
      <c r="A83" s="131" t="s">
        <v>326</v>
      </c>
      <c r="B83" s="111" t="s">
        <v>327</v>
      </c>
      <c r="C83" s="125"/>
      <c r="D83" s="125"/>
    </row>
    <row r="84" spans="1:4" s="109" customFormat="1" ht="12" customHeight="1">
      <c r="A84" s="132" t="s">
        <v>328</v>
      </c>
      <c r="B84" s="114" t="s">
        <v>329</v>
      </c>
      <c r="C84" s="125"/>
      <c r="D84" s="125"/>
    </row>
    <row r="85" spans="1:4" s="109" customFormat="1" ht="12" customHeight="1">
      <c r="A85" s="132" t="s">
        <v>330</v>
      </c>
      <c r="B85" s="114" t="s">
        <v>331</v>
      </c>
      <c r="C85" s="125"/>
      <c r="D85" s="125"/>
    </row>
    <row r="86" spans="1:4" s="109" customFormat="1" ht="12" customHeight="1" thickBot="1">
      <c r="A86" s="133" t="s">
        <v>332</v>
      </c>
      <c r="B86" s="118" t="s">
        <v>333</v>
      </c>
      <c r="C86" s="125"/>
      <c r="D86" s="125"/>
    </row>
    <row r="87" spans="1:4" s="109" customFormat="1" ht="12" customHeight="1" thickBot="1">
      <c r="A87" s="129" t="s">
        <v>334</v>
      </c>
      <c r="B87" s="119" t="s">
        <v>475</v>
      </c>
      <c r="C87" s="134"/>
      <c r="D87" s="134"/>
    </row>
    <row r="88" spans="1:4" s="109" customFormat="1" ht="13.5" customHeight="1" thickBot="1">
      <c r="A88" s="129" t="s">
        <v>336</v>
      </c>
      <c r="B88" s="119" t="s">
        <v>335</v>
      </c>
      <c r="C88" s="134"/>
      <c r="D88" s="134"/>
    </row>
    <row r="89" spans="1:4" s="109" customFormat="1" ht="15.75" customHeight="1" thickBot="1">
      <c r="A89" s="129" t="s">
        <v>348</v>
      </c>
      <c r="B89" s="135" t="s">
        <v>478</v>
      </c>
      <c r="C89" s="122">
        <f>+C66+C70+C75+C78+C82+C88+C87</f>
        <v>210472828</v>
      </c>
      <c r="D89" s="122">
        <f>+D66+D70+D75+D78+D82+D88+D87</f>
        <v>222974509</v>
      </c>
    </row>
    <row r="90" spans="1:4" s="109" customFormat="1" ht="16.5" customHeight="1" thickBot="1">
      <c r="A90" s="136" t="s">
        <v>477</v>
      </c>
      <c r="B90" s="137" t="s">
        <v>479</v>
      </c>
      <c r="C90" s="122">
        <f>+C65+C89</f>
        <v>558609768</v>
      </c>
      <c r="D90" s="122">
        <f>+D65+D89</f>
        <v>572638897</v>
      </c>
    </row>
    <row r="91" spans="1:4" s="109" customFormat="1" ht="83.25" customHeight="1">
      <c r="A91" s="138"/>
      <c r="B91" s="139"/>
      <c r="C91" s="140"/>
      <c r="D91" s="140"/>
    </row>
    <row r="92" spans="1:4" s="98" customFormat="1" ht="16.5" customHeight="1">
      <c r="A92" s="691" t="s">
        <v>44</v>
      </c>
      <c r="B92" s="691"/>
    </row>
    <row r="93" spans="1:4" s="142" customFormat="1" ht="16.5" customHeight="1" thickBot="1">
      <c r="A93" s="692" t="s">
        <v>145</v>
      </c>
      <c r="B93" s="692"/>
      <c r="C93" s="141"/>
      <c r="D93" s="141"/>
    </row>
    <row r="94" spans="1:4" s="98" customFormat="1" ht="38.1" customHeight="1" thickBot="1">
      <c r="A94" s="100" t="s">
        <v>66</v>
      </c>
      <c r="B94" s="101" t="s">
        <v>45</v>
      </c>
      <c r="C94" s="43" t="str">
        <f>+C6</f>
        <v>Eredeti előirányzat (2017.01)</v>
      </c>
      <c r="D94" s="43" t="str">
        <f>+D6</f>
        <v>Módosított előirányzat (2017.05)</v>
      </c>
    </row>
    <row r="95" spans="1:4" s="105" customFormat="1" ht="12" customHeight="1" thickBot="1">
      <c r="A95" s="143" t="s">
        <v>487</v>
      </c>
      <c r="B95" s="144" t="s">
        <v>488</v>
      </c>
      <c r="C95" s="145" t="s">
        <v>489</v>
      </c>
      <c r="D95" s="145" t="s">
        <v>489</v>
      </c>
    </row>
    <row r="96" spans="1:4" s="98" customFormat="1" ht="12" customHeight="1" thickBot="1">
      <c r="A96" s="146" t="s">
        <v>16</v>
      </c>
      <c r="B96" s="147" t="s">
        <v>710</v>
      </c>
      <c r="C96" s="148">
        <f>C97+C98+C99+C100+C101+C114</f>
        <v>284942443</v>
      </c>
      <c r="D96" s="148">
        <f>D97+D98+D99+D100+D101+D114</f>
        <v>289709876</v>
      </c>
    </row>
    <row r="97" spans="1:4" s="98" customFormat="1" ht="12" customHeight="1">
      <c r="A97" s="149" t="s">
        <v>95</v>
      </c>
      <c r="B97" s="56" t="s">
        <v>46</v>
      </c>
      <c r="C97" s="150">
        <f>1719700+5022500+2158700+22659092+3291400+96000+1577985+2134800</f>
        <v>38660177</v>
      </c>
      <c r="D97" s="150">
        <f>1719700+5022500+2158700+22659092+3291400+96000+1577985+2134800+13000+3381554-782100</f>
        <v>41272631</v>
      </c>
    </row>
    <row r="98" spans="1:4" s="98" customFormat="1" ht="12" customHeight="1">
      <c r="A98" s="113" t="s">
        <v>96</v>
      </c>
      <c r="B98" s="59" t="s">
        <v>174</v>
      </c>
      <c r="C98" s="115">
        <f>424965+1168879+502389+7480970+20000+748998+21520+201390+499797</f>
        <v>11068908</v>
      </c>
      <c r="D98" s="115">
        <f>424965+1168879+502389+7480970+20000+748998+21520+201390+499797-13000+371959-172062</f>
        <v>11255805</v>
      </c>
    </row>
    <row r="99" spans="1:4" s="98" customFormat="1" ht="12" customHeight="1">
      <c r="A99" s="113" t="s">
        <v>97</v>
      </c>
      <c r="B99" s="59" t="s">
        <v>133</v>
      </c>
      <c r="C99" s="120">
        <f>3497580+3429000+18935700+5530850+14052550+53501232+806450+1781280+482600+266700+123700+958200+2787650</f>
        <v>106153492</v>
      </c>
      <c r="D99" s="120">
        <f>3497580+3429000+18935700+5530850+14052550+53501232+806450+1781280+482600+266700+123700+958200+2787650+150000+20000+4458</f>
        <v>106327950</v>
      </c>
    </row>
    <row r="100" spans="1:4" s="98" customFormat="1" ht="12" customHeight="1">
      <c r="A100" s="113" t="s">
        <v>98</v>
      </c>
      <c r="B100" s="151" t="s">
        <v>175</v>
      </c>
      <c r="C100" s="120">
        <f>700000+12367373</f>
        <v>13067373</v>
      </c>
      <c r="D100" s="120">
        <f>700000+12367373</f>
        <v>13067373</v>
      </c>
    </row>
    <row r="101" spans="1:4" s="98" customFormat="1" ht="12" customHeight="1">
      <c r="A101" s="113" t="s">
        <v>109</v>
      </c>
      <c r="B101" s="152" t="s">
        <v>176</v>
      </c>
      <c r="C101" s="120">
        <f>C102+C103+C104+C105+C106+C107+C108+C109+C110+C111+C112+C113</f>
        <v>115992493</v>
      </c>
      <c r="D101" s="120">
        <f>D102+D103+D104+D105+D106+D107+D108+D109+D110+D111+D112+D113</f>
        <v>117786117</v>
      </c>
    </row>
    <row r="102" spans="1:4" s="98" customFormat="1" ht="12" customHeight="1">
      <c r="A102" s="113" t="s">
        <v>99</v>
      </c>
      <c r="B102" s="59" t="s">
        <v>442</v>
      </c>
      <c r="C102" s="120"/>
      <c r="D102" s="120"/>
    </row>
    <row r="103" spans="1:4" s="98" customFormat="1" ht="12" customHeight="1">
      <c r="A103" s="113" t="s">
        <v>100</v>
      </c>
      <c r="B103" s="153" t="s">
        <v>441</v>
      </c>
      <c r="C103" s="120"/>
      <c r="D103" s="120"/>
    </row>
    <row r="104" spans="1:4" s="98" customFormat="1" ht="12" customHeight="1">
      <c r="A104" s="113" t="s">
        <v>110</v>
      </c>
      <c r="B104" s="153" t="s">
        <v>440</v>
      </c>
      <c r="C104" s="120">
        <v>572567</v>
      </c>
      <c r="D104" s="120">
        <v>572567</v>
      </c>
    </row>
    <row r="105" spans="1:4" s="98" customFormat="1" ht="12" customHeight="1">
      <c r="A105" s="113" t="s">
        <v>111</v>
      </c>
      <c r="B105" s="154" t="s">
        <v>351</v>
      </c>
      <c r="C105" s="120"/>
      <c r="D105" s="120"/>
    </row>
    <row r="106" spans="1:4" s="98" customFormat="1" ht="12" customHeight="1">
      <c r="A106" s="113" t="s">
        <v>112</v>
      </c>
      <c r="B106" s="155" t="s">
        <v>352</v>
      </c>
      <c r="C106" s="120"/>
      <c r="D106" s="120"/>
    </row>
    <row r="107" spans="1:4" s="98" customFormat="1" ht="12" customHeight="1">
      <c r="A107" s="113" t="s">
        <v>113</v>
      </c>
      <c r="B107" s="155" t="s">
        <v>353</v>
      </c>
      <c r="C107" s="120"/>
      <c r="D107" s="120"/>
    </row>
    <row r="108" spans="1:4" s="98" customFormat="1" ht="12" customHeight="1">
      <c r="A108" s="113" t="s">
        <v>115</v>
      </c>
      <c r="B108" s="154" t="s">
        <v>354</v>
      </c>
      <c r="C108" s="120">
        <v>113979926</v>
      </c>
      <c r="D108" s="120">
        <f>113979926+15091+1718911+39622+20000</f>
        <v>115773550</v>
      </c>
    </row>
    <row r="109" spans="1:4" s="98" customFormat="1" ht="12" customHeight="1">
      <c r="A109" s="113" t="s">
        <v>177</v>
      </c>
      <c r="B109" s="154" t="s">
        <v>355</v>
      </c>
      <c r="C109" s="120"/>
      <c r="D109" s="120"/>
    </row>
    <row r="110" spans="1:4" s="98" customFormat="1" ht="12" customHeight="1">
      <c r="A110" s="113" t="s">
        <v>349</v>
      </c>
      <c r="B110" s="155" t="s">
        <v>356</v>
      </c>
      <c r="C110" s="120"/>
      <c r="D110" s="120"/>
    </row>
    <row r="111" spans="1:4" s="98" customFormat="1" ht="12" customHeight="1">
      <c r="A111" s="156" t="s">
        <v>350</v>
      </c>
      <c r="B111" s="153" t="s">
        <v>357</v>
      </c>
      <c r="C111" s="120"/>
      <c r="D111" s="120"/>
    </row>
    <row r="112" spans="1:4" s="98" customFormat="1" ht="12" customHeight="1">
      <c r="A112" s="113" t="s">
        <v>438</v>
      </c>
      <c r="B112" s="153" t="s">
        <v>358</v>
      </c>
      <c r="C112" s="120"/>
      <c r="D112" s="120"/>
    </row>
    <row r="113" spans="1:4" s="98" customFormat="1" ht="12" customHeight="1">
      <c r="A113" s="117" t="s">
        <v>439</v>
      </c>
      <c r="B113" s="153" t="s">
        <v>359</v>
      </c>
      <c r="C113" s="120">
        <f>1440000</f>
        <v>1440000</v>
      </c>
      <c r="D113" s="120">
        <f>1440000</f>
        <v>1440000</v>
      </c>
    </row>
    <row r="114" spans="1:4" s="98" customFormat="1" ht="12" customHeight="1">
      <c r="A114" s="113" t="s">
        <v>443</v>
      </c>
      <c r="B114" s="151" t="s">
        <v>47</v>
      </c>
      <c r="C114" s="115"/>
      <c r="D114" s="115"/>
    </row>
    <row r="115" spans="1:4" s="98" customFormat="1" ht="12" customHeight="1">
      <c r="A115" s="113" t="s">
        <v>444</v>
      </c>
      <c r="B115" s="59" t="s">
        <v>446</v>
      </c>
      <c r="C115" s="115"/>
      <c r="D115" s="115"/>
    </row>
    <row r="116" spans="1:4" s="98" customFormat="1" ht="12" customHeight="1" thickBot="1">
      <c r="A116" s="157" t="s">
        <v>445</v>
      </c>
      <c r="B116" s="158" t="s">
        <v>447</v>
      </c>
      <c r="C116" s="159"/>
      <c r="D116" s="159"/>
    </row>
    <row r="117" spans="1:4" s="98" customFormat="1" ht="12" customHeight="1" thickBot="1">
      <c r="A117" s="160" t="s">
        <v>17</v>
      </c>
      <c r="B117" s="161" t="s">
        <v>711</v>
      </c>
      <c r="C117" s="162">
        <f>+C118+C120+C122</f>
        <v>106825133</v>
      </c>
      <c r="D117" s="162">
        <f>+D118+D120+D122</f>
        <v>114991992</v>
      </c>
    </row>
    <row r="118" spans="1:4" s="98" customFormat="1" ht="12" customHeight="1">
      <c r="A118" s="110" t="s">
        <v>101</v>
      </c>
      <c r="B118" s="59" t="s">
        <v>219</v>
      </c>
      <c r="C118" s="112">
        <f>40664642+2746211+1185543+14924453+127000+190500+127000+2540000</f>
        <v>62505349</v>
      </c>
      <c r="D118" s="112">
        <f>40664642+2746211+1185543+14924453+127000+190500+127000+2540000+4997450+37800+950000+606609+8381999</f>
        <v>77479207</v>
      </c>
    </row>
    <row r="119" spans="1:4" s="98" customFormat="1" ht="12" customHeight="1">
      <c r="A119" s="110" t="s">
        <v>102</v>
      </c>
      <c r="B119" s="163" t="s">
        <v>363</v>
      </c>
      <c r="C119" s="112"/>
      <c r="D119" s="112"/>
    </row>
    <row r="120" spans="1:4" s="98" customFormat="1" ht="12" customHeight="1">
      <c r="A120" s="110" t="s">
        <v>103</v>
      </c>
      <c r="B120" s="163" t="s">
        <v>178</v>
      </c>
      <c r="C120" s="115">
        <f>43811784+508000</f>
        <v>44319784</v>
      </c>
      <c r="D120" s="115">
        <f>43811784+508000+1575000-8381999</f>
        <v>37512785</v>
      </c>
    </row>
    <row r="121" spans="1:4" s="98" customFormat="1" ht="12" customHeight="1">
      <c r="A121" s="110" t="s">
        <v>104</v>
      </c>
      <c r="B121" s="163" t="s">
        <v>364</v>
      </c>
      <c r="C121" s="164"/>
      <c r="D121" s="164"/>
    </row>
    <row r="122" spans="1:4" s="98" customFormat="1" ht="12" customHeight="1">
      <c r="A122" s="110" t="s">
        <v>105</v>
      </c>
      <c r="B122" s="118" t="s">
        <v>222</v>
      </c>
      <c r="C122" s="164">
        <f>C123+C124+C125+C126+C127+C128+C129+C130</f>
        <v>0</v>
      </c>
      <c r="D122" s="164">
        <f>D123+D124+D125+D126+D127+D128+D129+D130</f>
        <v>0</v>
      </c>
    </row>
    <row r="123" spans="1:4" s="98" customFormat="1" ht="12" customHeight="1">
      <c r="A123" s="110" t="s">
        <v>114</v>
      </c>
      <c r="B123" s="116" t="s">
        <v>426</v>
      </c>
      <c r="C123" s="164"/>
      <c r="D123" s="164"/>
    </row>
    <row r="124" spans="1:4" s="98" customFormat="1" ht="12" customHeight="1">
      <c r="A124" s="110" t="s">
        <v>116</v>
      </c>
      <c r="B124" s="165" t="s">
        <v>369</v>
      </c>
      <c r="C124" s="164"/>
      <c r="D124" s="164"/>
    </row>
    <row r="125" spans="1:4" s="98" customFormat="1" ht="15.75">
      <c r="A125" s="110" t="s">
        <v>179</v>
      </c>
      <c r="B125" s="155" t="s">
        <v>353</v>
      </c>
      <c r="C125" s="164"/>
      <c r="D125" s="164"/>
    </row>
    <row r="126" spans="1:4" s="98" customFormat="1" ht="12" customHeight="1">
      <c r="A126" s="110" t="s">
        <v>180</v>
      </c>
      <c r="B126" s="155" t="s">
        <v>368</v>
      </c>
      <c r="C126" s="164"/>
      <c r="D126" s="164"/>
    </row>
    <row r="127" spans="1:4" s="98" customFormat="1" ht="12" customHeight="1">
      <c r="A127" s="110" t="s">
        <v>181</v>
      </c>
      <c r="B127" s="155" t="s">
        <v>367</v>
      </c>
      <c r="C127" s="164"/>
      <c r="D127" s="164"/>
    </row>
    <row r="128" spans="1:4" s="98" customFormat="1" ht="12" customHeight="1">
      <c r="A128" s="110" t="s">
        <v>360</v>
      </c>
      <c r="B128" s="155" t="s">
        <v>356</v>
      </c>
      <c r="C128" s="164"/>
      <c r="D128" s="164"/>
    </row>
    <row r="129" spans="1:4" s="98" customFormat="1" ht="12" customHeight="1">
      <c r="A129" s="110" t="s">
        <v>361</v>
      </c>
      <c r="B129" s="155" t="s">
        <v>366</v>
      </c>
      <c r="C129" s="164"/>
      <c r="D129" s="164"/>
    </row>
    <row r="130" spans="1:4" s="98" customFormat="1" ht="16.5" thickBot="1">
      <c r="A130" s="156" t="s">
        <v>362</v>
      </c>
      <c r="B130" s="155" t="s">
        <v>365</v>
      </c>
      <c r="C130" s="166"/>
      <c r="D130" s="166"/>
    </row>
    <row r="131" spans="1:4" s="98" customFormat="1" ht="12" customHeight="1" thickBot="1">
      <c r="A131" s="106" t="s">
        <v>18</v>
      </c>
      <c r="B131" s="67" t="s">
        <v>448</v>
      </c>
      <c r="C131" s="108">
        <f>+C96+C117</f>
        <v>391767576</v>
      </c>
      <c r="D131" s="108">
        <f>+D96+D117</f>
        <v>404701868</v>
      </c>
    </row>
    <row r="132" spans="1:4" s="98" customFormat="1" ht="12" customHeight="1" thickBot="1">
      <c r="A132" s="106" t="s">
        <v>19</v>
      </c>
      <c r="B132" s="67" t="s">
        <v>449</v>
      </c>
      <c r="C132" s="108">
        <f>+C133+C134+C135</f>
        <v>0</v>
      </c>
      <c r="D132" s="108">
        <f>+D133+D134+D135</f>
        <v>0</v>
      </c>
    </row>
    <row r="133" spans="1:4" s="98" customFormat="1" ht="12" customHeight="1">
      <c r="A133" s="110" t="s">
        <v>261</v>
      </c>
      <c r="B133" s="163" t="s">
        <v>456</v>
      </c>
      <c r="C133" s="164"/>
      <c r="D133" s="164"/>
    </row>
    <row r="134" spans="1:4" s="98" customFormat="1" ht="12" customHeight="1">
      <c r="A134" s="110" t="s">
        <v>264</v>
      </c>
      <c r="B134" s="163" t="s">
        <v>457</v>
      </c>
      <c r="C134" s="164"/>
      <c r="D134" s="164"/>
    </row>
    <row r="135" spans="1:4" s="98" customFormat="1" ht="12" customHeight="1" thickBot="1">
      <c r="A135" s="156" t="s">
        <v>265</v>
      </c>
      <c r="B135" s="163" t="s">
        <v>458</v>
      </c>
      <c r="C135" s="164"/>
      <c r="D135" s="164"/>
    </row>
    <row r="136" spans="1:4" s="98" customFormat="1" ht="12" customHeight="1" thickBot="1">
      <c r="A136" s="106" t="s">
        <v>20</v>
      </c>
      <c r="B136" s="67" t="s">
        <v>450</v>
      </c>
      <c r="C136" s="108">
        <f>SUM(C137:C142)</f>
        <v>0</v>
      </c>
      <c r="D136" s="108">
        <f>SUM(D137:D142)</f>
        <v>0</v>
      </c>
    </row>
    <row r="137" spans="1:4" s="98" customFormat="1" ht="12" customHeight="1">
      <c r="A137" s="110" t="s">
        <v>88</v>
      </c>
      <c r="B137" s="65" t="s">
        <v>459</v>
      </c>
      <c r="C137" s="164"/>
      <c r="D137" s="164"/>
    </row>
    <row r="138" spans="1:4" s="98" customFormat="1" ht="12" customHeight="1">
      <c r="A138" s="110" t="s">
        <v>89</v>
      </c>
      <c r="B138" s="65" t="s">
        <v>451</v>
      </c>
      <c r="C138" s="164"/>
      <c r="D138" s="164"/>
    </row>
    <row r="139" spans="1:4" s="98" customFormat="1" ht="12" customHeight="1">
      <c r="A139" s="110" t="s">
        <v>90</v>
      </c>
      <c r="B139" s="65" t="s">
        <v>452</v>
      </c>
      <c r="C139" s="164"/>
      <c r="D139" s="164"/>
    </row>
    <row r="140" spans="1:4" s="98" customFormat="1" ht="12" customHeight="1">
      <c r="A140" s="110" t="s">
        <v>166</v>
      </c>
      <c r="B140" s="65" t="s">
        <v>453</v>
      </c>
      <c r="C140" s="164"/>
      <c r="D140" s="164"/>
    </row>
    <row r="141" spans="1:4" s="98" customFormat="1" ht="12" customHeight="1">
      <c r="A141" s="110" t="s">
        <v>167</v>
      </c>
      <c r="B141" s="65" t="s">
        <v>454</v>
      </c>
      <c r="C141" s="164"/>
      <c r="D141" s="164"/>
    </row>
    <row r="142" spans="1:4" s="98" customFormat="1" ht="12" customHeight="1" thickBot="1">
      <c r="A142" s="156" t="s">
        <v>168</v>
      </c>
      <c r="B142" s="65" t="s">
        <v>455</v>
      </c>
      <c r="C142" s="164"/>
      <c r="D142" s="164"/>
    </row>
    <row r="143" spans="1:4" s="98" customFormat="1" ht="12" customHeight="1" thickBot="1">
      <c r="A143" s="106" t="s">
        <v>21</v>
      </c>
      <c r="B143" s="67" t="s">
        <v>463</v>
      </c>
      <c r="C143" s="122">
        <f>+C144+C145+C146+C147</f>
        <v>7777206</v>
      </c>
      <c r="D143" s="122">
        <f>+D144+D145+D146+D147</f>
        <v>7777206</v>
      </c>
    </row>
    <row r="144" spans="1:4" s="98" customFormat="1" ht="12" customHeight="1">
      <c r="A144" s="110" t="s">
        <v>91</v>
      </c>
      <c r="B144" s="65" t="s">
        <v>370</v>
      </c>
      <c r="C144" s="164"/>
      <c r="D144" s="164"/>
    </row>
    <row r="145" spans="1:4" s="98" customFormat="1" ht="12" customHeight="1">
      <c r="A145" s="110" t="s">
        <v>92</v>
      </c>
      <c r="B145" s="65" t="s">
        <v>371</v>
      </c>
      <c r="C145" s="164">
        <v>7777206</v>
      </c>
      <c r="D145" s="164">
        <v>7777206</v>
      </c>
    </row>
    <row r="146" spans="1:4" s="98" customFormat="1" ht="12" customHeight="1">
      <c r="A146" s="110" t="s">
        <v>285</v>
      </c>
      <c r="B146" s="65" t="s">
        <v>464</v>
      </c>
      <c r="C146" s="164"/>
      <c r="D146" s="164"/>
    </row>
    <row r="147" spans="1:4" s="98" customFormat="1" ht="12" customHeight="1" thickBot="1">
      <c r="A147" s="156" t="s">
        <v>286</v>
      </c>
      <c r="B147" s="61" t="s">
        <v>390</v>
      </c>
      <c r="C147" s="164"/>
      <c r="D147" s="164"/>
    </row>
    <row r="148" spans="1:4" s="98" customFormat="1" ht="12" customHeight="1" thickBot="1">
      <c r="A148" s="106" t="s">
        <v>22</v>
      </c>
      <c r="B148" s="67" t="s">
        <v>465</v>
      </c>
      <c r="C148" s="167">
        <f>SUM(C149:C153)</f>
        <v>0</v>
      </c>
      <c r="D148" s="167">
        <f>SUM(D149:D153)</f>
        <v>0</v>
      </c>
    </row>
    <row r="149" spans="1:4" s="98" customFormat="1" ht="12" customHeight="1">
      <c r="A149" s="110" t="s">
        <v>93</v>
      </c>
      <c r="B149" s="65" t="s">
        <v>460</v>
      </c>
      <c r="C149" s="164"/>
      <c r="D149" s="164"/>
    </row>
    <row r="150" spans="1:4" s="98" customFormat="1" ht="12" customHeight="1">
      <c r="A150" s="110" t="s">
        <v>94</v>
      </c>
      <c r="B150" s="65" t="s">
        <v>467</v>
      </c>
      <c r="C150" s="164"/>
      <c r="D150" s="164"/>
    </row>
    <row r="151" spans="1:4" s="98" customFormat="1" ht="12" customHeight="1">
      <c r="A151" s="110" t="s">
        <v>297</v>
      </c>
      <c r="B151" s="65" t="s">
        <v>462</v>
      </c>
      <c r="C151" s="164"/>
      <c r="D151" s="164"/>
    </row>
    <row r="152" spans="1:4" s="98" customFormat="1" ht="12" customHeight="1">
      <c r="A152" s="110" t="s">
        <v>298</v>
      </c>
      <c r="B152" s="65" t="s">
        <v>468</v>
      </c>
      <c r="C152" s="164"/>
      <c r="D152" s="164"/>
    </row>
    <row r="153" spans="1:4" s="98" customFormat="1" ht="12" customHeight="1" thickBot="1">
      <c r="A153" s="110" t="s">
        <v>466</v>
      </c>
      <c r="B153" s="65" t="s">
        <v>469</v>
      </c>
      <c r="C153" s="164"/>
      <c r="D153" s="164"/>
    </row>
    <row r="154" spans="1:4" s="98" customFormat="1" ht="12" customHeight="1" thickBot="1">
      <c r="A154" s="106" t="s">
        <v>23</v>
      </c>
      <c r="B154" s="67" t="s">
        <v>470</v>
      </c>
      <c r="C154" s="168"/>
      <c r="D154" s="168"/>
    </row>
    <row r="155" spans="1:4" s="98" customFormat="1" ht="12" customHeight="1" thickBot="1">
      <c r="A155" s="106" t="s">
        <v>24</v>
      </c>
      <c r="B155" s="67" t="s">
        <v>545</v>
      </c>
      <c r="C155" s="168">
        <v>159064986</v>
      </c>
      <c r="D155" s="168">
        <f>159064986+1094837</f>
        <v>160159823</v>
      </c>
    </row>
    <row r="156" spans="1:4" s="98" customFormat="1" ht="15" customHeight="1" thickBot="1">
      <c r="A156" s="106" t="s">
        <v>25</v>
      </c>
      <c r="B156" s="67" t="s">
        <v>473</v>
      </c>
      <c r="C156" s="169">
        <f>+C132+C136+C143+C148+C154+C155</f>
        <v>166842192</v>
      </c>
      <c r="D156" s="169">
        <f>+D132+D136+D143+D148+D154+D155</f>
        <v>167937029</v>
      </c>
    </row>
    <row r="157" spans="1:4" s="109" customFormat="1" ht="12.95" customHeight="1" thickBot="1">
      <c r="A157" s="171" t="s">
        <v>26</v>
      </c>
      <c r="B157" s="172" t="s">
        <v>472</v>
      </c>
      <c r="C157" s="169">
        <f>+C131+C156</f>
        <v>558609768</v>
      </c>
      <c r="D157" s="169">
        <f>+D131+D156</f>
        <v>572638897</v>
      </c>
    </row>
  </sheetData>
  <sheetProtection formatCells="0"/>
  <mergeCells count="2">
    <mergeCell ref="A92:B92"/>
    <mergeCell ref="A93:B93"/>
  </mergeCells>
  <phoneticPr fontId="6" type="noConversion"/>
  <printOptions horizontalCentered="1"/>
  <pageMargins left="0.19685039370078741" right="0.19685039370078741" top="0.19685039370078741" bottom="0.19685039370078741" header="0.78740157480314965" footer="0.78740157480314965"/>
  <pageSetup paperSize="9" scale="67" orientation="portrait" verticalDpi="300" r:id="rId1"/>
  <headerFooter alignWithMargins="0">
    <oddFooter>&amp;P. oldal, összesen: &amp;N</oddFooter>
  </headerFooter>
  <rowBreaks count="1" manualBreakCount="1">
    <brk id="9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15">
    <tabColor rgb="FF7030A0"/>
  </sheetPr>
  <dimension ref="A1:D157"/>
  <sheetViews>
    <sheetView topLeftCell="B1" zoomScaleNormal="100" zoomScaleSheetLayoutView="85" workbookViewId="0">
      <selection activeCell="C1" sqref="C1"/>
    </sheetView>
  </sheetViews>
  <sheetFormatPr defaultRowHeight="12.75"/>
  <cols>
    <col min="1" max="1" width="19.5" style="93" customWidth="1"/>
    <col min="2" max="2" width="72" style="44" customWidth="1"/>
    <col min="3" max="4" width="25" style="94" customWidth="1"/>
    <col min="5" max="16384" width="9.33203125" style="184"/>
  </cols>
  <sheetData>
    <row r="1" spans="1:4" s="176" customFormat="1" ht="16.5" customHeight="1" thickBot="1">
      <c r="A1" s="28"/>
      <c r="B1" s="192"/>
      <c r="C1" s="177" t="s">
        <v>731</v>
      </c>
      <c r="D1" s="177"/>
    </row>
    <row r="2" spans="1:4" s="179" customFormat="1" ht="21" customHeight="1">
      <c r="A2" s="31" t="s">
        <v>58</v>
      </c>
      <c r="B2" s="32" t="s">
        <v>539</v>
      </c>
      <c r="C2" s="178" t="s">
        <v>51</v>
      </c>
      <c r="D2" s="178" t="s">
        <v>51</v>
      </c>
    </row>
    <row r="3" spans="1:4" s="179" customFormat="1" ht="16.5" thickBot="1">
      <c r="A3" s="180" t="s">
        <v>193</v>
      </c>
      <c r="B3" s="36" t="s">
        <v>428</v>
      </c>
      <c r="C3" s="181" t="s">
        <v>57</v>
      </c>
      <c r="D3" s="181" t="s">
        <v>57</v>
      </c>
    </row>
    <row r="4" spans="1:4" s="182" customFormat="1" ht="15.95" customHeight="1" thickBot="1">
      <c r="A4" s="38"/>
      <c r="B4" s="38"/>
      <c r="C4" s="39" t="s">
        <v>597</v>
      </c>
      <c r="D4" s="39" t="s">
        <v>597</v>
      </c>
    </row>
    <row r="5" spans="1:4" ht="13.5" thickBot="1">
      <c r="A5" s="41" t="s">
        <v>195</v>
      </c>
      <c r="B5" s="42" t="s">
        <v>52</v>
      </c>
      <c r="C5" s="193"/>
      <c r="D5" s="193"/>
    </row>
    <row r="6" spans="1:4" s="98" customFormat="1" ht="38.1" customHeight="1" thickBot="1">
      <c r="A6" s="100" t="s">
        <v>66</v>
      </c>
      <c r="B6" s="101" t="s">
        <v>15</v>
      </c>
      <c r="C6" s="43" t="s">
        <v>613</v>
      </c>
      <c r="D6" s="183" t="s">
        <v>709</v>
      </c>
    </row>
    <row r="7" spans="1:4" s="105" customFormat="1" ht="12" customHeight="1" thickBot="1">
      <c r="A7" s="102" t="s">
        <v>487</v>
      </c>
      <c r="B7" s="103" t="s">
        <v>488</v>
      </c>
      <c r="C7" s="104" t="s">
        <v>489</v>
      </c>
      <c r="D7" s="104" t="s">
        <v>489</v>
      </c>
    </row>
    <row r="8" spans="1:4" s="109" customFormat="1" ht="12" customHeight="1" thickBot="1">
      <c r="A8" s="106" t="s">
        <v>16</v>
      </c>
      <c r="B8" s="107" t="s">
        <v>245</v>
      </c>
      <c r="C8" s="108">
        <f>+C9+C10+C11+C12+C13+C14</f>
        <v>0</v>
      </c>
      <c r="D8" s="108">
        <f>+D9+D10+D11+D12+D13+D14</f>
        <v>0</v>
      </c>
    </row>
    <row r="9" spans="1:4" s="109" customFormat="1" ht="12" customHeight="1">
      <c r="A9" s="110" t="s">
        <v>95</v>
      </c>
      <c r="B9" s="111" t="s">
        <v>246</v>
      </c>
      <c r="C9" s="112"/>
      <c r="D9" s="112"/>
    </row>
    <row r="10" spans="1:4" s="109" customFormat="1" ht="12" customHeight="1">
      <c r="A10" s="113" t="s">
        <v>96</v>
      </c>
      <c r="B10" s="114" t="s">
        <v>247</v>
      </c>
      <c r="C10" s="115"/>
      <c r="D10" s="115"/>
    </row>
    <row r="11" spans="1:4" s="109" customFormat="1" ht="12" customHeight="1">
      <c r="A11" s="113" t="s">
        <v>97</v>
      </c>
      <c r="B11" s="114" t="s">
        <v>248</v>
      </c>
      <c r="C11" s="115"/>
      <c r="D11" s="115"/>
    </row>
    <row r="12" spans="1:4" s="109" customFormat="1" ht="12" customHeight="1">
      <c r="A12" s="113" t="s">
        <v>98</v>
      </c>
      <c r="B12" s="114" t="s">
        <v>249</v>
      </c>
      <c r="C12" s="115"/>
      <c r="D12" s="115"/>
    </row>
    <row r="13" spans="1:4" s="109" customFormat="1" ht="12" customHeight="1">
      <c r="A13" s="113" t="s">
        <v>141</v>
      </c>
      <c r="B13" s="116" t="s">
        <v>430</v>
      </c>
      <c r="C13" s="115"/>
      <c r="D13" s="115"/>
    </row>
    <row r="14" spans="1:4" s="109" customFormat="1" ht="12" customHeight="1" thickBot="1">
      <c r="A14" s="117" t="s">
        <v>99</v>
      </c>
      <c r="B14" s="118" t="s">
        <v>431</v>
      </c>
      <c r="C14" s="115"/>
      <c r="D14" s="115"/>
    </row>
    <row r="15" spans="1:4" s="109" customFormat="1" ht="12" customHeight="1" thickBot="1">
      <c r="A15" s="106" t="s">
        <v>17</v>
      </c>
      <c r="B15" s="119" t="s">
        <v>250</v>
      </c>
      <c r="C15" s="108">
        <f>+C16+C17+C18+C19+C20</f>
        <v>966828</v>
      </c>
      <c r="D15" s="108">
        <f>+D16+D17+D18+D19+D20</f>
        <v>966828</v>
      </c>
    </row>
    <row r="16" spans="1:4" s="109" customFormat="1" ht="12" customHeight="1">
      <c r="A16" s="110" t="s">
        <v>101</v>
      </c>
      <c r="B16" s="111" t="s">
        <v>251</v>
      </c>
      <c r="C16" s="112"/>
      <c r="D16" s="112"/>
    </row>
    <row r="17" spans="1:4" s="109" customFormat="1" ht="12" customHeight="1">
      <c r="A17" s="113" t="s">
        <v>102</v>
      </c>
      <c r="B17" s="114" t="s">
        <v>252</v>
      </c>
      <c r="C17" s="115"/>
      <c r="D17" s="115"/>
    </row>
    <row r="18" spans="1:4" s="109" customFormat="1" ht="12" customHeight="1">
      <c r="A18" s="113" t="s">
        <v>103</v>
      </c>
      <c r="B18" s="114" t="s">
        <v>420</v>
      </c>
      <c r="C18" s="115"/>
      <c r="D18" s="115"/>
    </row>
    <row r="19" spans="1:4" s="109" customFormat="1" ht="12" customHeight="1">
      <c r="A19" s="113" t="s">
        <v>104</v>
      </c>
      <c r="B19" s="114" t="s">
        <v>421</v>
      </c>
      <c r="C19" s="115"/>
      <c r="D19" s="115"/>
    </row>
    <row r="20" spans="1:4" s="109" customFormat="1" ht="12" customHeight="1">
      <c r="A20" s="113" t="s">
        <v>105</v>
      </c>
      <c r="B20" s="114" t="s">
        <v>253</v>
      </c>
      <c r="C20" s="115">
        <f>966828</f>
        <v>966828</v>
      </c>
      <c r="D20" s="115">
        <f>966828</f>
        <v>966828</v>
      </c>
    </row>
    <row r="21" spans="1:4" s="109" customFormat="1" ht="12" customHeight="1" thickBot="1">
      <c r="A21" s="117" t="s">
        <v>114</v>
      </c>
      <c r="B21" s="118" t="s">
        <v>254</v>
      </c>
      <c r="C21" s="120"/>
      <c r="D21" s="120"/>
    </row>
    <row r="22" spans="1:4" s="109" customFormat="1" ht="12" customHeight="1" thickBot="1">
      <c r="A22" s="106" t="s">
        <v>18</v>
      </c>
      <c r="B22" s="107" t="s">
        <v>255</v>
      </c>
      <c r="C22" s="108">
        <f>+C23+C24+C25+C26+C27</f>
        <v>0</v>
      </c>
      <c r="D22" s="108">
        <f>+D23+D24+D25+D26+D27</f>
        <v>0</v>
      </c>
    </row>
    <row r="23" spans="1:4" s="109" customFormat="1" ht="12" customHeight="1">
      <c r="A23" s="110" t="s">
        <v>84</v>
      </c>
      <c r="B23" s="111" t="s">
        <v>256</v>
      </c>
      <c r="C23" s="112"/>
      <c r="D23" s="112"/>
    </row>
    <row r="24" spans="1:4" s="109" customFormat="1" ht="12" customHeight="1">
      <c r="A24" s="113" t="s">
        <v>85</v>
      </c>
      <c r="B24" s="114" t="s">
        <v>257</v>
      </c>
      <c r="C24" s="115"/>
      <c r="D24" s="115"/>
    </row>
    <row r="25" spans="1:4" s="109" customFormat="1" ht="12" customHeight="1">
      <c r="A25" s="113" t="s">
        <v>86</v>
      </c>
      <c r="B25" s="114" t="s">
        <v>422</v>
      </c>
      <c r="C25" s="115"/>
      <c r="D25" s="115"/>
    </row>
    <row r="26" spans="1:4" s="109" customFormat="1" ht="12" customHeight="1">
      <c r="A26" s="113" t="s">
        <v>87</v>
      </c>
      <c r="B26" s="114" t="s">
        <v>423</v>
      </c>
      <c r="C26" s="115"/>
      <c r="D26" s="115"/>
    </row>
    <row r="27" spans="1:4" s="109" customFormat="1" ht="12" customHeight="1">
      <c r="A27" s="113" t="s">
        <v>162</v>
      </c>
      <c r="B27" s="114" t="s">
        <v>258</v>
      </c>
      <c r="C27" s="115"/>
      <c r="D27" s="115"/>
    </row>
    <row r="28" spans="1:4" s="109" customFormat="1" ht="12" customHeight="1" thickBot="1">
      <c r="A28" s="117" t="s">
        <v>163</v>
      </c>
      <c r="B28" s="121" t="s">
        <v>259</v>
      </c>
      <c r="C28" s="120"/>
      <c r="D28" s="120"/>
    </row>
    <row r="29" spans="1:4" s="109" customFormat="1" ht="12" customHeight="1" thickBot="1">
      <c r="A29" s="106" t="s">
        <v>164</v>
      </c>
      <c r="B29" s="107" t="s">
        <v>260</v>
      </c>
      <c r="C29" s="122">
        <f>+C30+C34+C35+C36</f>
        <v>48982755</v>
      </c>
      <c r="D29" s="122">
        <f>+D30+D34+D35+D36</f>
        <v>57772002</v>
      </c>
    </row>
    <row r="30" spans="1:4" s="109" customFormat="1" ht="12" customHeight="1">
      <c r="A30" s="110" t="s">
        <v>261</v>
      </c>
      <c r="B30" s="187" t="s">
        <v>437</v>
      </c>
      <c r="C30" s="123">
        <f>C31+C32+C33</f>
        <v>48982755</v>
      </c>
      <c r="D30" s="123">
        <f>D31+D32+D33</f>
        <v>57772002</v>
      </c>
    </row>
    <row r="31" spans="1:4" s="109" customFormat="1" ht="12" customHeight="1">
      <c r="A31" s="113" t="s">
        <v>262</v>
      </c>
      <c r="B31" s="188" t="s">
        <v>630</v>
      </c>
      <c r="C31" s="115">
        <f>55400000-6417245</f>
        <v>48982755</v>
      </c>
      <c r="D31" s="115">
        <f>55400000-611067-20000</f>
        <v>54768933</v>
      </c>
    </row>
    <row r="32" spans="1:4" s="109" customFormat="1" ht="12" customHeight="1">
      <c r="A32" s="113" t="s">
        <v>263</v>
      </c>
      <c r="B32" s="188" t="s">
        <v>631</v>
      </c>
      <c r="C32" s="115"/>
      <c r="D32" s="115"/>
    </row>
    <row r="33" spans="1:4" s="109" customFormat="1" ht="12" customHeight="1">
      <c r="A33" s="113" t="s">
        <v>435</v>
      </c>
      <c r="B33" s="189" t="s">
        <v>436</v>
      </c>
      <c r="C33" s="115"/>
      <c r="D33" s="115">
        <v>3003069</v>
      </c>
    </row>
    <row r="34" spans="1:4" s="109" customFormat="1" ht="12" customHeight="1">
      <c r="A34" s="113" t="s">
        <v>264</v>
      </c>
      <c r="B34" s="188" t="s">
        <v>269</v>
      </c>
      <c r="C34" s="115"/>
      <c r="D34" s="115"/>
    </row>
    <row r="35" spans="1:4" s="109" customFormat="1" ht="12" customHeight="1">
      <c r="A35" s="113" t="s">
        <v>265</v>
      </c>
      <c r="B35" s="188" t="s">
        <v>588</v>
      </c>
      <c r="C35" s="115"/>
      <c r="D35" s="115"/>
    </row>
    <row r="36" spans="1:4" s="109" customFormat="1" ht="12" customHeight="1" thickBot="1">
      <c r="A36" s="117" t="s">
        <v>266</v>
      </c>
      <c r="B36" s="190" t="s">
        <v>271</v>
      </c>
      <c r="C36" s="120"/>
      <c r="D36" s="120"/>
    </row>
    <row r="37" spans="1:4" s="109" customFormat="1" ht="12" customHeight="1" thickBot="1">
      <c r="A37" s="106" t="s">
        <v>20</v>
      </c>
      <c r="B37" s="107" t="s">
        <v>432</v>
      </c>
      <c r="C37" s="108">
        <f>SUM(C38:C48)</f>
        <v>110038281</v>
      </c>
      <c r="D37" s="108">
        <f>SUM(D38:D48)</f>
        <v>110283897</v>
      </c>
    </row>
    <row r="38" spans="1:4" s="109" customFormat="1" ht="12" customHeight="1">
      <c r="A38" s="110" t="s">
        <v>88</v>
      </c>
      <c r="B38" s="111" t="s">
        <v>274</v>
      </c>
      <c r="C38" s="112"/>
      <c r="D38" s="112"/>
    </row>
    <row r="39" spans="1:4" s="109" customFormat="1" ht="12" customHeight="1">
      <c r="A39" s="113" t="s">
        <v>89</v>
      </c>
      <c r="B39" s="114" t="s">
        <v>275</v>
      </c>
      <c r="C39" s="115">
        <v>82842935</v>
      </c>
      <c r="D39" s="115">
        <f>82842935+6400-196063</f>
        <v>82653272</v>
      </c>
    </row>
    <row r="40" spans="1:4" s="109" customFormat="1" ht="12" customHeight="1">
      <c r="A40" s="113" t="s">
        <v>90</v>
      </c>
      <c r="B40" s="114" t="s">
        <v>276</v>
      </c>
      <c r="C40" s="115">
        <f>2400000</f>
        <v>2400000</v>
      </c>
      <c r="D40" s="115">
        <f>2400000</f>
        <v>2400000</v>
      </c>
    </row>
    <row r="41" spans="1:4" s="109" customFormat="1" ht="12" customHeight="1">
      <c r="A41" s="113" t="s">
        <v>166</v>
      </c>
      <c r="B41" s="114" t="s">
        <v>277</v>
      </c>
      <c r="C41" s="115"/>
      <c r="D41" s="115"/>
    </row>
    <row r="42" spans="1:4" s="109" customFormat="1" ht="12" customHeight="1">
      <c r="A42" s="113" t="s">
        <v>167</v>
      </c>
      <c r="B42" s="114" t="s">
        <v>278</v>
      </c>
      <c r="C42" s="115"/>
      <c r="D42" s="115"/>
    </row>
    <row r="43" spans="1:4" s="109" customFormat="1" ht="12" customHeight="1">
      <c r="A43" s="113" t="s">
        <v>168</v>
      </c>
      <c r="B43" s="114" t="s">
        <v>279</v>
      </c>
      <c r="C43" s="115">
        <f>25170346-405000</f>
        <v>24765346</v>
      </c>
      <c r="D43" s="115">
        <f>25170346-405000+97416-52937</f>
        <v>24809825</v>
      </c>
    </row>
    <row r="44" spans="1:4" s="109" customFormat="1" ht="12" customHeight="1">
      <c r="A44" s="113" t="s">
        <v>169</v>
      </c>
      <c r="B44" s="114" t="s">
        <v>280</v>
      </c>
      <c r="C44" s="115"/>
      <c r="D44" s="115"/>
    </row>
    <row r="45" spans="1:4" s="109" customFormat="1" ht="12" customHeight="1">
      <c r="A45" s="113" t="s">
        <v>170</v>
      </c>
      <c r="B45" s="114" t="s">
        <v>281</v>
      </c>
      <c r="C45" s="115">
        <f>30000</f>
        <v>30000</v>
      </c>
      <c r="D45" s="115">
        <f>30000</f>
        <v>30000</v>
      </c>
    </row>
    <row r="46" spans="1:4" s="109" customFormat="1" ht="12" customHeight="1">
      <c r="A46" s="113" t="s">
        <v>272</v>
      </c>
      <c r="B46" s="114" t="s">
        <v>282</v>
      </c>
      <c r="C46" s="125"/>
      <c r="D46" s="125"/>
    </row>
    <row r="47" spans="1:4" s="109" customFormat="1" ht="12" customHeight="1">
      <c r="A47" s="117" t="s">
        <v>273</v>
      </c>
      <c r="B47" s="121" t="s">
        <v>434</v>
      </c>
      <c r="C47" s="126"/>
      <c r="D47" s="126"/>
    </row>
    <row r="48" spans="1:4" s="109" customFormat="1" ht="12" customHeight="1" thickBot="1">
      <c r="A48" s="117" t="s">
        <v>433</v>
      </c>
      <c r="B48" s="118" t="s">
        <v>283</v>
      </c>
      <c r="C48" s="126"/>
      <c r="D48" s="126">
        <f>30000+360800</f>
        <v>390800</v>
      </c>
    </row>
    <row r="49" spans="1:4" s="109" customFormat="1" ht="12" customHeight="1" thickBot="1">
      <c r="A49" s="106" t="s">
        <v>21</v>
      </c>
      <c r="B49" s="107" t="s">
        <v>284</v>
      </c>
      <c r="C49" s="108">
        <f>SUM(C50:C54)</f>
        <v>6480567</v>
      </c>
      <c r="D49" s="108">
        <f>SUM(D50:D54)</f>
        <v>6480567</v>
      </c>
    </row>
    <row r="50" spans="1:4" s="109" customFormat="1" ht="12" customHeight="1">
      <c r="A50" s="110" t="s">
        <v>91</v>
      </c>
      <c r="B50" s="111" t="s">
        <v>288</v>
      </c>
      <c r="C50" s="127"/>
      <c r="D50" s="127"/>
    </row>
    <row r="51" spans="1:4" s="109" customFormat="1" ht="12" customHeight="1">
      <c r="A51" s="113" t="s">
        <v>92</v>
      </c>
      <c r="B51" s="114" t="s">
        <v>289</v>
      </c>
      <c r="C51" s="125">
        <f>6216000+264567</f>
        <v>6480567</v>
      </c>
      <c r="D51" s="125">
        <f>6216000+264567</f>
        <v>6480567</v>
      </c>
    </row>
    <row r="52" spans="1:4" s="109" customFormat="1" ht="12" customHeight="1">
      <c r="A52" s="113" t="s">
        <v>285</v>
      </c>
      <c r="B52" s="114" t="s">
        <v>290</v>
      </c>
      <c r="C52" s="125"/>
      <c r="D52" s="125"/>
    </row>
    <row r="53" spans="1:4" s="109" customFormat="1" ht="12" customHeight="1">
      <c r="A53" s="113" t="s">
        <v>286</v>
      </c>
      <c r="B53" s="114" t="s">
        <v>291</v>
      </c>
      <c r="C53" s="125"/>
      <c r="D53" s="125"/>
    </row>
    <row r="54" spans="1:4" s="109" customFormat="1" ht="12" customHeight="1" thickBot="1">
      <c r="A54" s="117" t="s">
        <v>287</v>
      </c>
      <c r="B54" s="118" t="s">
        <v>292</v>
      </c>
      <c r="C54" s="126"/>
      <c r="D54" s="126"/>
    </row>
    <row r="55" spans="1:4" s="109" customFormat="1" ht="12" customHeight="1" thickBot="1">
      <c r="A55" s="106" t="s">
        <v>171</v>
      </c>
      <c r="B55" s="107" t="s">
        <v>293</v>
      </c>
      <c r="C55" s="108">
        <f>SUM(C56:C58)</f>
        <v>0</v>
      </c>
      <c r="D55" s="108">
        <f>SUM(D56:D58)</f>
        <v>50000</v>
      </c>
    </row>
    <row r="56" spans="1:4" s="109" customFormat="1" ht="12" customHeight="1">
      <c r="A56" s="110" t="s">
        <v>93</v>
      </c>
      <c r="B56" s="111" t="s">
        <v>294</v>
      </c>
      <c r="C56" s="112"/>
      <c r="D56" s="112"/>
    </row>
    <row r="57" spans="1:4" s="109" customFormat="1" ht="12" customHeight="1">
      <c r="A57" s="113" t="s">
        <v>94</v>
      </c>
      <c r="B57" s="114" t="s">
        <v>424</v>
      </c>
      <c r="C57" s="115"/>
      <c r="D57" s="115"/>
    </row>
    <row r="58" spans="1:4" s="109" customFormat="1" ht="12" customHeight="1">
      <c r="A58" s="113" t="s">
        <v>297</v>
      </c>
      <c r="B58" s="114" t="s">
        <v>295</v>
      </c>
      <c r="C58" s="115"/>
      <c r="D58" s="115">
        <f>50000</f>
        <v>50000</v>
      </c>
    </row>
    <row r="59" spans="1:4" s="109" customFormat="1" ht="12" customHeight="1" thickBot="1">
      <c r="A59" s="117" t="s">
        <v>298</v>
      </c>
      <c r="B59" s="118" t="s">
        <v>296</v>
      </c>
      <c r="C59" s="120"/>
      <c r="D59" s="120"/>
    </row>
    <row r="60" spans="1:4" s="109" customFormat="1" ht="12" customHeight="1" thickBot="1">
      <c r="A60" s="106" t="s">
        <v>23</v>
      </c>
      <c r="B60" s="119" t="s">
        <v>299</v>
      </c>
      <c r="C60" s="108">
        <f>SUM(C61:C63)</f>
        <v>70000</v>
      </c>
      <c r="D60" s="108">
        <f>SUM(D61:D63)</f>
        <v>70000</v>
      </c>
    </row>
    <row r="61" spans="1:4" s="109" customFormat="1" ht="12" customHeight="1">
      <c r="A61" s="110" t="s">
        <v>172</v>
      </c>
      <c r="B61" s="111" t="s">
        <v>301</v>
      </c>
      <c r="C61" s="125"/>
      <c r="D61" s="125"/>
    </row>
    <row r="62" spans="1:4" s="109" customFormat="1" ht="12" customHeight="1">
      <c r="A62" s="113" t="s">
        <v>173</v>
      </c>
      <c r="B62" s="114" t="s">
        <v>425</v>
      </c>
      <c r="C62" s="125">
        <v>70000</v>
      </c>
      <c r="D62" s="125">
        <v>70000</v>
      </c>
    </row>
    <row r="63" spans="1:4" s="109" customFormat="1" ht="12" customHeight="1">
      <c r="A63" s="113" t="s">
        <v>221</v>
      </c>
      <c r="B63" s="114" t="s">
        <v>302</v>
      </c>
      <c r="C63" s="125"/>
      <c r="D63" s="125"/>
    </row>
    <row r="64" spans="1:4" s="109" customFormat="1" ht="12" customHeight="1" thickBot="1">
      <c r="A64" s="117" t="s">
        <v>300</v>
      </c>
      <c r="B64" s="118" t="s">
        <v>303</v>
      </c>
      <c r="C64" s="125"/>
      <c r="D64" s="125"/>
    </row>
    <row r="65" spans="1:4" s="109" customFormat="1" ht="12" customHeight="1" thickBot="1">
      <c r="A65" s="128" t="s">
        <v>476</v>
      </c>
      <c r="B65" s="107" t="s">
        <v>304</v>
      </c>
      <c r="C65" s="122">
        <f>+C8+C15+C22+C29+C37+C49+C55+C60</f>
        <v>166538431</v>
      </c>
      <c r="D65" s="122">
        <f>+D8+D15+D22+D29+D37+D49+D55+D60</f>
        <v>175623294</v>
      </c>
    </row>
    <row r="66" spans="1:4" s="109" customFormat="1" ht="12" customHeight="1" thickBot="1">
      <c r="A66" s="129" t="s">
        <v>305</v>
      </c>
      <c r="B66" s="119" t="s">
        <v>306</v>
      </c>
      <c r="C66" s="108">
        <f>SUM(C67:C69)</f>
        <v>0</v>
      </c>
      <c r="D66" s="108">
        <f>SUM(D67:D69)</f>
        <v>0</v>
      </c>
    </row>
    <row r="67" spans="1:4" s="109" customFormat="1" ht="12" customHeight="1">
      <c r="A67" s="110" t="s">
        <v>337</v>
      </c>
      <c r="B67" s="111" t="s">
        <v>307</v>
      </c>
      <c r="C67" s="125"/>
      <c r="D67" s="125"/>
    </row>
    <row r="68" spans="1:4" s="109" customFormat="1" ht="12" customHeight="1">
      <c r="A68" s="113" t="s">
        <v>346</v>
      </c>
      <c r="B68" s="114" t="s">
        <v>308</v>
      </c>
      <c r="C68" s="125"/>
      <c r="D68" s="125"/>
    </row>
    <row r="69" spans="1:4" s="109" customFormat="1" ht="12" customHeight="1" thickBot="1">
      <c r="A69" s="117" t="s">
        <v>347</v>
      </c>
      <c r="B69" s="130" t="s">
        <v>461</v>
      </c>
      <c r="C69" s="125"/>
      <c r="D69" s="125"/>
    </row>
    <row r="70" spans="1:4" s="109" customFormat="1" ht="12" customHeight="1" thickBot="1">
      <c r="A70" s="129" t="s">
        <v>310</v>
      </c>
      <c r="B70" s="119" t="s">
        <v>311</v>
      </c>
      <c r="C70" s="108">
        <f>SUM(C71:C74)</f>
        <v>0</v>
      </c>
      <c r="D70" s="108">
        <f>SUM(D71:D74)</f>
        <v>0</v>
      </c>
    </row>
    <row r="71" spans="1:4" s="109" customFormat="1" ht="12" customHeight="1">
      <c r="A71" s="110" t="s">
        <v>142</v>
      </c>
      <c r="B71" s="111" t="s">
        <v>312</v>
      </c>
      <c r="C71" s="125"/>
      <c r="D71" s="125"/>
    </row>
    <row r="72" spans="1:4" s="109" customFormat="1" ht="12" customHeight="1">
      <c r="A72" s="113" t="s">
        <v>143</v>
      </c>
      <c r="B72" s="114" t="s">
        <v>313</v>
      </c>
      <c r="C72" s="125"/>
      <c r="D72" s="125"/>
    </row>
    <row r="73" spans="1:4" s="109" customFormat="1" ht="12" customHeight="1">
      <c r="A73" s="113" t="s">
        <v>338</v>
      </c>
      <c r="B73" s="114" t="s">
        <v>314</v>
      </c>
      <c r="C73" s="125"/>
      <c r="D73" s="125"/>
    </row>
    <row r="74" spans="1:4" s="109" customFormat="1" ht="12" customHeight="1" thickBot="1">
      <c r="A74" s="117" t="s">
        <v>339</v>
      </c>
      <c r="B74" s="118" t="s">
        <v>315</v>
      </c>
      <c r="C74" s="125"/>
      <c r="D74" s="125"/>
    </row>
    <row r="75" spans="1:4" s="109" customFormat="1" ht="12" customHeight="1" thickBot="1">
      <c r="A75" s="129" t="s">
        <v>316</v>
      </c>
      <c r="B75" s="119" t="s">
        <v>317</v>
      </c>
      <c r="C75" s="108">
        <f>SUM(C76:C77)</f>
        <v>0</v>
      </c>
      <c r="D75" s="108">
        <f>SUM(D76:D77)</f>
        <v>0</v>
      </c>
    </row>
    <row r="76" spans="1:4" s="109" customFormat="1" ht="12" customHeight="1">
      <c r="A76" s="110" t="s">
        <v>340</v>
      </c>
      <c r="B76" s="111" t="s">
        <v>318</v>
      </c>
      <c r="C76" s="125"/>
      <c r="D76" s="125"/>
    </row>
    <row r="77" spans="1:4" s="109" customFormat="1" ht="12" customHeight="1" thickBot="1">
      <c r="A77" s="117" t="s">
        <v>341</v>
      </c>
      <c r="B77" s="118" t="s">
        <v>319</v>
      </c>
      <c r="C77" s="125"/>
      <c r="D77" s="125"/>
    </row>
    <row r="78" spans="1:4" s="109" customFormat="1" ht="12" customHeight="1" thickBot="1">
      <c r="A78" s="129" t="s">
        <v>320</v>
      </c>
      <c r="B78" s="119" t="s">
        <v>321</v>
      </c>
      <c r="C78" s="108">
        <f>SUM(C79:C81)</f>
        <v>0</v>
      </c>
      <c r="D78" s="108">
        <f>SUM(D79:D81)</f>
        <v>0</v>
      </c>
    </row>
    <row r="79" spans="1:4" s="109" customFormat="1" ht="12" customHeight="1">
      <c r="A79" s="110" t="s">
        <v>342</v>
      </c>
      <c r="B79" s="111" t="s">
        <v>322</v>
      </c>
      <c r="C79" s="125"/>
      <c r="D79" s="125"/>
    </row>
    <row r="80" spans="1:4" s="109" customFormat="1" ht="12" customHeight="1">
      <c r="A80" s="113" t="s">
        <v>343</v>
      </c>
      <c r="B80" s="114" t="s">
        <v>323</v>
      </c>
      <c r="C80" s="125"/>
      <c r="D80" s="125"/>
    </row>
    <row r="81" spans="1:4" s="109" customFormat="1" ht="12" customHeight="1" thickBot="1">
      <c r="A81" s="117" t="s">
        <v>344</v>
      </c>
      <c r="B81" s="118" t="s">
        <v>324</v>
      </c>
      <c r="C81" s="125"/>
      <c r="D81" s="125"/>
    </row>
    <row r="82" spans="1:4" s="109" customFormat="1" ht="12" customHeight="1" thickBot="1">
      <c r="A82" s="129" t="s">
        <v>325</v>
      </c>
      <c r="B82" s="119" t="s">
        <v>345</v>
      </c>
      <c r="C82" s="108">
        <f>SUM(C83:C86)</f>
        <v>0</v>
      </c>
      <c r="D82" s="108">
        <f>SUM(D83:D86)</f>
        <v>0</v>
      </c>
    </row>
    <row r="83" spans="1:4" s="109" customFormat="1" ht="12" customHeight="1">
      <c r="A83" s="131" t="s">
        <v>326</v>
      </c>
      <c r="B83" s="111" t="s">
        <v>327</v>
      </c>
      <c r="C83" s="125"/>
      <c r="D83" s="125"/>
    </row>
    <row r="84" spans="1:4" s="109" customFormat="1" ht="12" customHeight="1">
      <c r="A84" s="132" t="s">
        <v>328</v>
      </c>
      <c r="B84" s="114" t="s">
        <v>329</v>
      </c>
      <c r="C84" s="125"/>
      <c r="D84" s="125"/>
    </row>
    <row r="85" spans="1:4" s="109" customFormat="1" ht="12" customHeight="1">
      <c r="A85" s="132" t="s">
        <v>330</v>
      </c>
      <c r="B85" s="114" t="s">
        <v>331</v>
      </c>
      <c r="C85" s="125"/>
      <c r="D85" s="125"/>
    </row>
    <row r="86" spans="1:4" s="109" customFormat="1" ht="12" customHeight="1" thickBot="1">
      <c r="A86" s="133" t="s">
        <v>332</v>
      </c>
      <c r="B86" s="118" t="s">
        <v>333</v>
      </c>
      <c r="C86" s="125"/>
      <c r="D86" s="125"/>
    </row>
    <row r="87" spans="1:4" s="109" customFormat="1" ht="12" customHeight="1" thickBot="1">
      <c r="A87" s="129" t="s">
        <v>334</v>
      </c>
      <c r="B87" s="119" t="s">
        <v>475</v>
      </c>
      <c r="C87" s="134"/>
      <c r="D87" s="134"/>
    </row>
    <row r="88" spans="1:4" s="109" customFormat="1" ht="13.5" customHeight="1" thickBot="1">
      <c r="A88" s="129" t="s">
        <v>336</v>
      </c>
      <c r="B88" s="119" t="s">
        <v>335</v>
      </c>
      <c r="C88" s="134"/>
      <c r="D88" s="134"/>
    </row>
    <row r="89" spans="1:4" s="109" customFormat="1" ht="15.75" customHeight="1" thickBot="1">
      <c r="A89" s="129" t="s">
        <v>348</v>
      </c>
      <c r="B89" s="135" t="s">
        <v>478</v>
      </c>
      <c r="C89" s="122">
        <f>+C66+C70+C75+C78+C82+C88+C87</f>
        <v>0</v>
      </c>
      <c r="D89" s="122">
        <f>+D66+D70+D75+D78+D82+D88+D87</f>
        <v>0</v>
      </c>
    </row>
    <row r="90" spans="1:4" s="109" customFormat="1" ht="16.5" customHeight="1" thickBot="1">
      <c r="A90" s="136" t="s">
        <v>477</v>
      </c>
      <c r="B90" s="137" t="s">
        <v>479</v>
      </c>
      <c r="C90" s="122">
        <f>+C65+C89</f>
        <v>166538431</v>
      </c>
      <c r="D90" s="122">
        <f>+D65+D89</f>
        <v>175623294</v>
      </c>
    </row>
    <row r="91" spans="1:4" s="109" customFormat="1" ht="83.25" customHeight="1">
      <c r="A91" s="138"/>
      <c r="B91" s="139"/>
      <c r="C91" s="140"/>
      <c r="D91" s="140"/>
    </row>
    <row r="92" spans="1:4" s="98" customFormat="1" ht="16.5" customHeight="1">
      <c r="A92" s="691" t="s">
        <v>44</v>
      </c>
      <c r="B92" s="691"/>
    </row>
    <row r="93" spans="1:4" s="142" customFormat="1" ht="16.5" customHeight="1" thickBot="1">
      <c r="A93" s="692" t="s">
        <v>145</v>
      </c>
      <c r="B93" s="692"/>
      <c r="C93" s="141"/>
      <c r="D93" s="141"/>
    </row>
    <row r="94" spans="1:4" s="98" customFormat="1" ht="38.1" customHeight="1" thickBot="1">
      <c r="A94" s="100" t="s">
        <v>66</v>
      </c>
      <c r="B94" s="101" t="s">
        <v>45</v>
      </c>
      <c r="C94" s="43" t="str">
        <f>+C6</f>
        <v>Eredeti előirányzat (2017.01)</v>
      </c>
      <c r="D94" s="43" t="str">
        <f>+D6</f>
        <v>Módosított előirányzat (2017.05)</v>
      </c>
    </row>
    <row r="95" spans="1:4" s="105" customFormat="1" ht="12" customHeight="1" thickBot="1">
      <c r="A95" s="143" t="s">
        <v>487</v>
      </c>
      <c r="B95" s="144" t="s">
        <v>488</v>
      </c>
      <c r="C95" s="145" t="s">
        <v>489</v>
      </c>
      <c r="D95" s="145" t="s">
        <v>489</v>
      </c>
    </row>
    <row r="96" spans="1:4" s="98" customFormat="1" ht="12" customHeight="1" thickBot="1">
      <c r="A96" s="146" t="s">
        <v>16</v>
      </c>
      <c r="B96" s="147" t="s">
        <v>710</v>
      </c>
      <c r="C96" s="148">
        <f>C97+C98+C99+C100+C101+C114</f>
        <v>153369431</v>
      </c>
      <c r="D96" s="148">
        <f>D97+D98+D99+D100+D101+D114</f>
        <v>162454289</v>
      </c>
    </row>
    <row r="97" spans="1:4" s="98" customFormat="1" ht="12" customHeight="1">
      <c r="A97" s="149" t="s">
        <v>95</v>
      </c>
      <c r="B97" s="56" t="s">
        <v>46</v>
      </c>
      <c r="C97" s="150">
        <f>946157+1030000+15699841+11881012</f>
        <v>29557010</v>
      </c>
      <c r="D97" s="150">
        <f>946157+1030000+15699841+11881012+3000</f>
        <v>29560010</v>
      </c>
    </row>
    <row r="98" spans="1:4" s="98" customFormat="1" ht="12" customHeight="1">
      <c r="A98" s="113" t="s">
        <v>96</v>
      </c>
      <c r="B98" s="59" t="s">
        <v>174</v>
      </c>
      <c r="C98" s="115">
        <f>272731+226600+3858103+2795920</f>
        <v>7153354</v>
      </c>
      <c r="D98" s="115">
        <f>272731+226600+3858103+2795920-3000</f>
        <v>7150354</v>
      </c>
    </row>
    <row r="99" spans="1:4" s="98" customFormat="1" ht="12" customHeight="1">
      <c r="A99" s="113" t="s">
        <v>97</v>
      </c>
      <c r="B99" s="59" t="s">
        <v>133</v>
      </c>
      <c r="C99" s="120">
        <f>4204200+1181000+3073400+64284842+254000</f>
        <v>72997442</v>
      </c>
      <c r="D99" s="120">
        <f>4204200+1181000+3073400+64284842+254000</f>
        <v>72997442</v>
      </c>
    </row>
    <row r="100" spans="1:4" s="98" customFormat="1" ht="12" customHeight="1">
      <c r="A100" s="113" t="s">
        <v>98</v>
      </c>
      <c r="B100" s="151" t="s">
        <v>175</v>
      </c>
      <c r="C100" s="120"/>
      <c r="D100" s="120"/>
    </row>
    <row r="101" spans="1:4" s="98" customFormat="1" ht="12" customHeight="1">
      <c r="A101" s="113" t="s">
        <v>109</v>
      </c>
      <c r="B101" s="152" t="s">
        <v>176</v>
      </c>
      <c r="C101" s="120">
        <f>C102+C103+C104+C105+C106+C108+C109+C110+C111+C112+C113</f>
        <v>10900000</v>
      </c>
      <c r="D101" s="120">
        <f>D102+D103+D104+D105+D106+D108+D109+D110+D111+D112+D113</f>
        <v>12130000</v>
      </c>
    </row>
    <row r="102" spans="1:4" s="98" customFormat="1" ht="12" customHeight="1">
      <c r="A102" s="113" t="s">
        <v>99</v>
      </c>
      <c r="B102" s="59" t="s">
        <v>442</v>
      </c>
      <c r="C102" s="120"/>
      <c r="D102" s="120"/>
    </row>
    <row r="103" spans="1:4" s="98" customFormat="1" ht="12" customHeight="1">
      <c r="A103" s="113" t="s">
        <v>100</v>
      </c>
      <c r="B103" s="153" t="s">
        <v>441</v>
      </c>
      <c r="C103" s="120"/>
      <c r="D103" s="120"/>
    </row>
    <row r="104" spans="1:4" s="98" customFormat="1" ht="12" customHeight="1">
      <c r="A104" s="113" t="s">
        <v>110</v>
      </c>
      <c r="B104" s="153" t="s">
        <v>440</v>
      </c>
      <c r="C104" s="120"/>
      <c r="D104" s="120"/>
    </row>
    <row r="105" spans="1:4" s="98" customFormat="1" ht="12" customHeight="1">
      <c r="A105" s="113" t="s">
        <v>111</v>
      </c>
      <c r="B105" s="154" t="s">
        <v>351</v>
      </c>
      <c r="C105" s="120"/>
      <c r="D105" s="120"/>
    </row>
    <row r="106" spans="1:4" s="98" customFormat="1" ht="12" customHeight="1">
      <c r="A106" s="113" t="s">
        <v>112</v>
      </c>
      <c r="B106" s="155" t="s">
        <v>352</v>
      </c>
      <c r="C106" s="120"/>
      <c r="D106" s="120"/>
    </row>
    <row r="107" spans="1:4" s="98" customFormat="1" ht="12" customHeight="1">
      <c r="A107" s="113" t="s">
        <v>113</v>
      </c>
      <c r="B107" s="155" t="s">
        <v>353</v>
      </c>
      <c r="C107" s="120"/>
      <c r="D107" s="120"/>
    </row>
    <row r="108" spans="1:4" s="98" customFormat="1" ht="12" customHeight="1">
      <c r="A108" s="113" t="s">
        <v>115</v>
      </c>
      <c r="B108" s="154" t="s">
        <v>354</v>
      </c>
      <c r="C108" s="120"/>
      <c r="D108" s="120"/>
    </row>
    <row r="109" spans="1:4" s="98" customFormat="1" ht="12" customHeight="1">
      <c r="A109" s="113" t="s">
        <v>177</v>
      </c>
      <c r="B109" s="154" t="s">
        <v>355</v>
      </c>
      <c r="C109" s="120"/>
      <c r="D109" s="120"/>
    </row>
    <row r="110" spans="1:4" s="98" customFormat="1" ht="12" customHeight="1">
      <c r="A110" s="113" t="s">
        <v>349</v>
      </c>
      <c r="B110" s="155" t="s">
        <v>356</v>
      </c>
      <c r="C110" s="120"/>
      <c r="D110" s="120"/>
    </row>
    <row r="111" spans="1:4" s="98" customFormat="1" ht="12" customHeight="1">
      <c r="A111" s="156" t="s">
        <v>350</v>
      </c>
      <c r="B111" s="153" t="s">
        <v>357</v>
      </c>
      <c r="C111" s="120"/>
      <c r="D111" s="120"/>
    </row>
    <row r="112" spans="1:4" s="98" customFormat="1" ht="12" customHeight="1">
      <c r="A112" s="113" t="s">
        <v>438</v>
      </c>
      <c r="B112" s="153" t="s">
        <v>358</v>
      </c>
      <c r="C112" s="120"/>
      <c r="D112" s="120"/>
    </row>
    <row r="113" spans="1:4" s="98" customFormat="1" ht="12" customHeight="1">
      <c r="A113" s="117" t="s">
        <v>439</v>
      </c>
      <c r="B113" s="153" t="s">
        <v>359</v>
      </c>
      <c r="C113" s="120">
        <f>200000+750000+7700000+2250000</f>
        <v>10900000</v>
      </c>
      <c r="D113" s="120">
        <f>200000+750000+7700000+2250000+1200000+30000</f>
        <v>12130000</v>
      </c>
    </row>
    <row r="114" spans="1:4" s="98" customFormat="1" ht="12" customHeight="1">
      <c r="A114" s="113" t="s">
        <v>443</v>
      </c>
      <c r="B114" s="151" t="s">
        <v>47</v>
      </c>
      <c r="C114" s="115">
        <f>C115+C116</f>
        <v>32761625</v>
      </c>
      <c r="D114" s="115">
        <f>D115+D116</f>
        <v>40616483</v>
      </c>
    </row>
    <row r="115" spans="1:4" s="98" customFormat="1" ht="12" customHeight="1">
      <c r="A115" s="113" t="s">
        <v>444</v>
      </c>
      <c r="B115" s="59" t="s">
        <v>446</v>
      </c>
      <c r="C115" s="115">
        <v>8430181</v>
      </c>
      <c r="D115" s="115">
        <f>8430181+279623+12501681+6400+100000+30000+50000+458216-15091-37800+24000-1718911+467685-1200000-150000-30000-20000-950000-1575000-5-1094837+694424-39622+954162-249000-611067-20000</f>
        <v>16285039</v>
      </c>
    </row>
    <row r="116" spans="1:4" s="98" customFormat="1" ht="12" customHeight="1">
      <c r="A116" s="113" t="s">
        <v>445</v>
      </c>
      <c r="B116" s="191" t="s">
        <v>447</v>
      </c>
      <c r="C116" s="115">
        <v>24331444</v>
      </c>
      <c r="D116" s="115">
        <v>24331444</v>
      </c>
    </row>
    <row r="117" spans="1:4" s="98" customFormat="1" ht="12" customHeight="1" thickBot="1">
      <c r="A117" s="160" t="s">
        <v>17</v>
      </c>
      <c r="B117" s="161" t="s">
        <v>711</v>
      </c>
      <c r="C117" s="162">
        <f>+C118+C120+C122</f>
        <v>13169000</v>
      </c>
      <c r="D117" s="162">
        <f>+D118+D120+D122</f>
        <v>13169005</v>
      </c>
    </row>
    <row r="118" spans="1:4" s="98" customFormat="1" ht="12" customHeight="1">
      <c r="A118" s="110" t="s">
        <v>101</v>
      </c>
      <c r="B118" s="59" t="s">
        <v>219</v>
      </c>
      <c r="C118" s="112">
        <f>635000+2286000+8248000</f>
        <v>11169000</v>
      </c>
      <c r="D118" s="112">
        <f>635000+2286000+8248000+5</f>
        <v>11169005</v>
      </c>
    </row>
    <row r="119" spans="1:4" s="98" customFormat="1" ht="12" customHeight="1">
      <c r="A119" s="110" t="s">
        <v>102</v>
      </c>
      <c r="B119" s="163" t="s">
        <v>363</v>
      </c>
      <c r="C119" s="112"/>
      <c r="D119" s="112"/>
    </row>
    <row r="120" spans="1:4" s="98" customFormat="1" ht="12" customHeight="1">
      <c r="A120" s="110" t="s">
        <v>103</v>
      </c>
      <c r="B120" s="163" t="s">
        <v>178</v>
      </c>
      <c r="C120" s="115"/>
      <c r="D120" s="115"/>
    </row>
    <row r="121" spans="1:4" s="98" customFormat="1" ht="12" customHeight="1">
      <c r="A121" s="110" t="s">
        <v>104</v>
      </c>
      <c r="B121" s="163" t="s">
        <v>364</v>
      </c>
      <c r="C121" s="164"/>
      <c r="D121" s="164"/>
    </row>
    <row r="122" spans="1:4" s="98" customFormat="1" ht="12" customHeight="1">
      <c r="A122" s="110" t="s">
        <v>105</v>
      </c>
      <c r="B122" s="118" t="s">
        <v>222</v>
      </c>
      <c r="C122" s="164">
        <f>C123+C124+C125+C126+C127+C128+C129+C130</f>
        <v>2000000</v>
      </c>
      <c r="D122" s="164">
        <f>D123+D124+D125+D126+D127+D128+D129+D130</f>
        <v>2000000</v>
      </c>
    </row>
    <row r="123" spans="1:4" s="98" customFormat="1" ht="12" customHeight="1">
      <c r="A123" s="110" t="s">
        <v>114</v>
      </c>
      <c r="B123" s="116" t="s">
        <v>426</v>
      </c>
      <c r="C123" s="164"/>
      <c r="D123" s="164"/>
    </row>
    <row r="124" spans="1:4" s="98" customFormat="1" ht="12" customHeight="1">
      <c r="A124" s="110" t="s">
        <v>116</v>
      </c>
      <c r="B124" s="165" t="s">
        <v>369</v>
      </c>
      <c r="C124" s="164"/>
      <c r="D124" s="164"/>
    </row>
    <row r="125" spans="1:4" s="98" customFormat="1" ht="15.75">
      <c r="A125" s="110" t="s">
        <v>179</v>
      </c>
      <c r="B125" s="155" t="s">
        <v>353</v>
      </c>
      <c r="C125" s="164"/>
      <c r="D125" s="164"/>
    </row>
    <row r="126" spans="1:4" s="98" customFormat="1" ht="12" customHeight="1">
      <c r="A126" s="110" t="s">
        <v>180</v>
      </c>
      <c r="B126" s="155" t="s">
        <v>368</v>
      </c>
      <c r="C126" s="164"/>
      <c r="D126" s="164"/>
    </row>
    <row r="127" spans="1:4" s="98" customFormat="1" ht="12" customHeight="1">
      <c r="A127" s="110" t="s">
        <v>181</v>
      </c>
      <c r="B127" s="155" t="s">
        <v>367</v>
      </c>
      <c r="C127" s="164"/>
      <c r="D127" s="164"/>
    </row>
    <row r="128" spans="1:4" s="98" customFormat="1" ht="12" customHeight="1">
      <c r="A128" s="110" t="s">
        <v>360</v>
      </c>
      <c r="B128" s="155" t="s">
        <v>356</v>
      </c>
      <c r="C128" s="164"/>
      <c r="D128" s="164"/>
    </row>
    <row r="129" spans="1:4" s="98" customFormat="1" ht="12" customHeight="1">
      <c r="A129" s="110" t="s">
        <v>361</v>
      </c>
      <c r="B129" s="155" t="s">
        <v>366</v>
      </c>
      <c r="C129" s="164">
        <v>2000000</v>
      </c>
      <c r="D129" s="164">
        <v>2000000</v>
      </c>
    </row>
    <row r="130" spans="1:4" s="98" customFormat="1" ht="16.5" thickBot="1">
      <c r="A130" s="156" t="s">
        <v>362</v>
      </c>
      <c r="B130" s="155" t="s">
        <v>365</v>
      </c>
      <c r="C130" s="166"/>
      <c r="D130" s="166"/>
    </row>
    <row r="131" spans="1:4" s="98" customFormat="1" ht="12" customHeight="1" thickBot="1">
      <c r="A131" s="106" t="s">
        <v>18</v>
      </c>
      <c r="B131" s="67" t="s">
        <v>448</v>
      </c>
      <c r="C131" s="108">
        <f>+C96+C117</f>
        <v>166538431</v>
      </c>
      <c r="D131" s="108">
        <f>+D96+D117</f>
        <v>175623294</v>
      </c>
    </row>
    <row r="132" spans="1:4" s="98" customFormat="1" ht="12" customHeight="1" thickBot="1">
      <c r="A132" s="106" t="s">
        <v>19</v>
      </c>
      <c r="B132" s="67" t="s">
        <v>449</v>
      </c>
      <c r="C132" s="108">
        <f>+C133+C134+C135</f>
        <v>0</v>
      </c>
      <c r="D132" s="108">
        <f>+D133+D134+D135</f>
        <v>0</v>
      </c>
    </row>
    <row r="133" spans="1:4" s="98" customFormat="1" ht="12" customHeight="1">
      <c r="A133" s="110" t="s">
        <v>261</v>
      </c>
      <c r="B133" s="163" t="s">
        <v>456</v>
      </c>
      <c r="C133" s="164"/>
      <c r="D133" s="164"/>
    </row>
    <row r="134" spans="1:4" s="98" customFormat="1" ht="12" customHeight="1">
      <c r="A134" s="110" t="s">
        <v>264</v>
      </c>
      <c r="B134" s="163" t="s">
        <v>457</v>
      </c>
      <c r="C134" s="164"/>
      <c r="D134" s="164"/>
    </row>
    <row r="135" spans="1:4" s="98" customFormat="1" ht="12" customHeight="1" thickBot="1">
      <c r="A135" s="156" t="s">
        <v>265</v>
      </c>
      <c r="B135" s="163" t="s">
        <v>458</v>
      </c>
      <c r="C135" s="164"/>
      <c r="D135" s="164"/>
    </row>
    <row r="136" spans="1:4" s="98" customFormat="1" ht="12" customHeight="1" thickBot="1">
      <c r="A136" s="106" t="s">
        <v>20</v>
      </c>
      <c r="B136" s="67" t="s">
        <v>450</v>
      </c>
      <c r="C136" s="108">
        <f>SUM(C137:C142)</f>
        <v>0</v>
      </c>
      <c r="D136" s="108">
        <f>SUM(D137:D142)</f>
        <v>0</v>
      </c>
    </row>
    <row r="137" spans="1:4" s="98" customFormat="1" ht="12" customHeight="1">
      <c r="A137" s="110" t="s">
        <v>88</v>
      </c>
      <c r="B137" s="65" t="s">
        <v>459</v>
      </c>
      <c r="C137" s="164"/>
      <c r="D137" s="164"/>
    </row>
    <row r="138" spans="1:4" s="98" customFormat="1" ht="12" customHeight="1">
      <c r="A138" s="110" t="s">
        <v>89</v>
      </c>
      <c r="B138" s="65" t="s">
        <v>451</v>
      </c>
      <c r="C138" s="164"/>
      <c r="D138" s="164"/>
    </row>
    <row r="139" spans="1:4" s="98" customFormat="1" ht="12" customHeight="1">
      <c r="A139" s="110" t="s">
        <v>90</v>
      </c>
      <c r="B139" s="65" t="s">
        <v>452</v>
      </c>
      <c r="C139" s="164"/>
      <c r="D139" s="164"/>
    </row>
    <row r="140" spans="1:4" s="98" customFormat="1" ht="12" customHeight="1">
      <c r="A140" s="110" t="s">
        <v>166</v>
      </c>
      <c r="B140" s="65" t="s">
        <v>453</v>
      </c>
      <c r="C140" s="164"/>
      <c r="D140" s="164"/>
    </row>
    <row r="141" spans="1:4" s="98" customFormat="1" ht="12" customHeight="1">
      <c r="A141" s="110" t="s">
        <v>167</v>
      </c>
      <c r="B141" s="65" t="s">
        <v>454</v>
      </c>
      <c r="C141" s="164"/>
      <c r="D141" s="164"/>
    </row>
    <row r="142" spans="1:4" s="98" customFormat="1" ht="12" customHeight="1" thickBot="1">
      <c r="A142" s="156" t="s">
        <v>168</v>
      </c>
      <c r="B142" s="65" t="s">
        <v>455</v>
      </c>
      <c r="C142" s="164"/>
      <c r="D142" s="164"/>
    </row>
    <row r="143" spans="1:4" s="98" customFormat="1" ht="12" customHeight="1" thickBot="1">
      <c r="A143" s="106" t="s">
        <v>21</v>
      </c>
      <c r="B143" s="67" t="s">
        <v>463</v>
      </c>
      <c r="C143" s="122">
        <f>+C144+C145+C146+C147</f>
        <v>0</v>
      </c>
      <c r="D143" s="122">
        <f>+D144+D145+D146+D147</f>
        <v>0</v>
      </c>
    </row>
    <row r="144" spans="1:4" s="98" customFormat="1" ht="12" customHeight="1">
      <c r="A144" s="110" t="s">
        <v>91</v>
      </c>
      <c r="B144" s="65" t="s">
        <v>370</v>
      </c>
      <c r="C144" s="164"/>
      <c r="D144" s="164"/>
    </row>
    <row r="145" spans="1:4" s="98" customFormat="1" ht="12" customHeight="1">
      <c r="A145" s="110" t="s">
        <v>92</v>
      </c>
      <c r="B145" s="65" t="s">
        <v>371</v>
      </c>
      <c r="C145" s="164"/>
      <c r="D145" s="164"/>
    </row>
    <row r="146" spans="1:4" s="98" customFormat="1" ht="12" customHeight="1">
      <c r="A146" s="110" t="s">
        <v>285</v>
      </c>
      <c r="B146" s="65" t="s">
        <v>464</v>
      </c>
      <c r="C146" s="164"/>
      <c r="D146" s="164"/>
    </row>
    <row r="147" spans="1:4" s="98" customFormat="1" ht="12" customHeight="1" thickBot="1">
      <c r="A147" s="156" t="s">
        <v>286</v>
      </c>
      <c r="B147" s="61" t="s">
        <v>390</v>
      </c>
      <c r="C147" s="164"/>
      <c r="D147" s="164"/>
    </row>
    <row r="148" spans="1:4" s="98" customFormat="1" ht="12" customHeight="1" thickBot="1">
      <c r="A148" s="106" t="s">
        <v>22</v>
      </c>
      <c r="B148" s="67" t="s">
        <v>465</v>
      </c>
      <c r="C148" s="167">
        <f>SUM(C149:C153)</f>
        <v>0</v>
      </c>
      <c r="D148" s="167">
        <f>SUM(D149:D153)</f>
        <v>0</v>
      </c>
    </row>
    <row r="149" spans="1:4" s="98" customFormat="1" ht="12" customHeight="1">
      <c r="A149" s="110" t="s">
        <v>93</v>
      </c>
      <c r="B149" s="65" t="s">
        <v>460</v>
      </c>
      <c r="C149" s="164"/>
      <c r="D149" s="164"/>
    </row>
    <row r="150" spans="1:4" s="98" customFormat="1" ht="12" customHeight="1">
      <c r="A150" s="110" t="s">
        <v>94</v>
      </c>
      <c r="B150" s="65" t="s">
        <v>467</v>
      </c>
      <c r="C150" s="164"/>
      <c r="D150" s="164"/>
    </row>
    <row r="151" spans="1:4" s="98" customFormat="1" ht="12" customHeight="1">
      <c r="A151" s="110" t="s">
        <v>297</v>
      </c>
      <c r="B151" s="65" t="s">
        <v>462</v>
      </c>
      <c r="C151" s="164"/>
      <c r="D151" s="164"/>
    </row>
    <row r="152" spans="1:4" s="98" customFormat="1" ht="12" customHeight="1">
      <c r="A152" s="110" t="s">
        <v>298</v>
      </c>
      <c r="B152" s="65" t="s">
        <v>468</v>
      </c>
      <c r="C152" s="164"/>
      <c r="D152" s="164"/>
    </row>
    <row r="153" spans="1:4" s="98" customFormat="1" ht="12" customHeight="1" thickBot="1">
      <c r="A153" s="110" t="s">
        <v>466</v>
      </c>
      <c r="B153" s="65" t="s">
        <v>469</v>
      </c>
      <c r="C153" s="164"/>
      <c r="D153" s="164"/>
    </row>
    <row r="154" spans="1:4" s="98" customFormat="1" ht="12" customHeight="1" thickBot="1">
      <c r="A154" s="106" t="s">
        <v>23</v>
      </c>
      <c r="B154" s="67" t="s">
        <v>470</v>
      </c>
      <c r="C154" s="168"/>
      <c r="D154" s="168"/>
    </row>
    <row r="155" spans="1:4" s="98" customFormat="1" ht="12" customHeight="1" thickBot="1">
      <c r="A155" s="106" t="s">
        <v>24</v>
      </c>
      <c r="B155" s="67" t="s">
        <v>471</v>
      </c>
      <c r="C155" s="168"/>
      <c r="D155" s="168"/>
    </row>
    <row r="156" spans="1:4" s="98" customFormat="1" ht="15" customHeight="1" thickBot="1">
      <c r="A156" s="106" t="s">
        <v>25</v>
      </c>
      <c r="B156" s="67" t="s">
        <v>473</v>
      </c>
      <c r="C156" s="169">
        <f>+C132+C136+C143+C148+C154+C155</f>
        <v>0</v>
      </c>
      <c r="D156" s="169">
        <f>+D132+D136+D143+D148+D154+D155</f>
        <v>0</v>
      </c>
    </row>
    <row r="157" spans="1:4" s="109" customFormat="1" ht="12.95" customHeight="1" thickBot="1">
      <c r="A157" s="171" t="s">
        <v>26</v>
      </c>
      <c r="B157" s="172" t="s">
        <v>472</v>
      </c>
      <c r="C157" s="169">
        <f>+C131+C156</f>
        <v>166538431</v>
      </c>
      <c r="D157" s="169">
        <f>+D131+D156</f>
        <v>175623294</v>
      </c>
    </row>
  </sheetData>
  <sheetProtection formatCells="0"/>
  <mergeCells count="2">
    <mergeCell ref="A92:B92"/>
    <mergeCell ref="A93:B93"/>
  </mergeCells>
  <phoneticPr fontId="6" type="noConversion"/>
  <printOptions horizontalCentered="1"/>
  <pageMargins left="0.19685039370078741" right="0.19685039370078741" top="0.19685039370078741" bottom="0.19685039370078741" header="0.78740157480314965" footer="0.78740157480314965"/>
  <pageSetup paperSize="9" scale="67" orientation="portrait" verticalDpi="300" r:id="rId1"/>
  <headerFooter alignWithMargins="0">
    <oddFooter>&amp;P. oldal, összesen: &amp;N</oddFooter>
  </headerFooter>
  <rowBreaks count="1" manualBreakCount="1"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 codeName="Munka16">
    <tabColor rgb="FF7030A0"/>
  </sheetPr>
  <dimension ref="A1:D158"/>
  <sheetViews>
    <sheetView zoomScaleNormal="100" zoomScaleSheetLayoutView="85" workbookViewId="0">
      <selection activeCell="C1" sqref="C1"/>
    </sheetView>
  </sheetViews>
  <sheetFormatPr defaultRowHeight="12.75"/>
  <cols>
    <col min="1" max="1" width="19.5" style="93" customWidth="1"/>
    <col min="2" max="2" width="72" style="44" customWidth="1"/>
    <col min="3" max="4" width="25" style="94" customWidth="1"/>
    <col min="5" max="16384" width="9.33203125" style="184"/>
  </cols>
  <sheetData>
    <row r="1" spans="1:4" s="176" customFormat="1" ht="16.5" customHeight="1" thickBot="1">
      <c r="A1" s="28"/>
      <c r="B1" s="192"/>
      <c r="C1" s="177" t="s">
        <v>732</v>
      </c>
      <c r="D1" s="177"/>
    </row>
    <row r="2" spans="1:4" s="179" customFormat="1" ht="21" customHeight="1">
      <c r="A2" s="31" t="s">
        <v>58</v>
      </c>
      <c r="B2" s="32" t="s">
        <v>540</v>
      </c>
      <c r="C2" s="178" t="s">
        <v>51</v>
      </c>
      <c r="D2" s="178" t="s">
        <v>51</v>
      </c>
    </row>
    <row r="3" spans="1:4" s="179" customFormat="1" ht="16.5" thickBot="1">
      <c r="A3" s="180" t="s">
        <v>193</v>
      </c>
      <c r="B3" s="36" t="s">
        <v>523</v>
      </c>
      <c r="C3" s="181" t="s">
        <v>429</v>
      </c>
      <c r="D3" s="181" t="s">
        <v>429</v>
      </c>
    </row>
    <row r="4" spans="1:4" s="182" customFormat="1" ht="15.95" customHeight="1" thickBot="1">
      <c r="A4" s="38"/>
      <c r="B4" s="38"/>
      <c r="C4" s="39" t="s">
        <v>597</v>
      </c>
      <c r="D4" s="39" t="s">
        <v>597</v>
      </c>
    </row>
    <row r="5" spans="1:4" ht="24.75" thickBot="1">
      <c r="A5" s="41" t="s">
        <v>195</v>
      </c>
      <c r="B5" s="42" t="s">
        <v>52</v>
      </c>
      <c r="C5" s="43" t="s">
        <v>613</v>
      </c>
      <c r="D5" s="183" t="s">
        <v>709</v>
      </c>
    </row>
    <row r="6" spans="1:4" s="185" customFormat="1" ht="12.95" customHeight="1" thickBot="1">
      <c r="A6" s="45" t="s">
        <v>487</v>
      </c>
      <c r="B6" s="46" t="s">
        <v>488</v>
      </c>
      <c r="C6" s="47" t="s">
        <v>489</v>
      </c>
      <c r="D6" s="47" t="s">
        <v>489</v>
      </c>
    </row>
    <row r="7" spans="1:4" s="185" customFormat="1" ht="15.95" customHeight="1" thickBot="1">
      <c r="A7" s="49"/>
      <c r="B7" s="50" t="s">
        <v>53</v>
      </c>
      <c r="C7" s="186"/>
      <c r="D7" s="186"/>
    </row>
    <row r="8" spans="1:4" s="185" customFormat="1" ht="12" customHeight="1" thickBot="1">
      <c r="A8" s="143" t="s">
        <v>16</v>
      </c>
      <c r="B8" s="107" t="s">
        <v>245</v>
      </c>
      <c r="C8" s="108">
        <f>+C9+C10+C11+C12+C13+C14</f>
        <v>0</v>
      </c>
      <c r="D8" s="108">
        <f>+D9+D10+D11+D12+D13+D14</f>
        <v>0</v>
      </c>
    </row>
    <row r="9" spans="1:4" s="352" customFormat="1" ht="12" customHeight="1">
      <c r="A9" s="351" t="s">
        <v>95</v>
      </c>
      <c r="B9" s="111" t="s">
        <v>246</v>
      </c>
      <c r="C9" s="112"/>
      <c r="D9" s="112"/>
    </row>
    <row r="10" spans="1:4" s="354" customFormat="1" ht="12" customHeight="1">
      <c r="A10" s="353" t="s">
        <v>96</v>
      </c>
      <c r="B10" s="114" t="s">
        <v>247</v>
      </c>
      <c r="C10" s="115"/>
      <c r="D10" s="115"/>
    </row>
    <row r="11" spans="1:4" s="354" customFormat="1" ht="12" customHeight="1">
      <c r="A11" s="353" t="s">
        <v>97</v>
      </c>
      <c r="B11" s="114" t="s">
        <v>248</v>
      </c>
      <c r="C11" s="115"/>
      <c r="D11" s="115"/>
    </row>
    <row r="12" spans="1:4" s="354" customFormat="1" ht="12" customHeight="1">
      <c r="A12" s="353" t="s">
        <v>98</v>
      </c>
      <c r="B12" s="114" t="s">
        <v>249</v>
      </c>
      <c r="C12" s="115"/>
      <c r="D12" s="115"/>
    </row>
    <row r="13" spans="1:4" s="354" customFormat="1" ht="12" customHeight="1">
      <c r="A13" s="353" t="s">
        <v>141</v>
      </c>
      <c r="B13" s="114" t="s">
        <v>501</v>
      </c>
      <c r="C13" s="115"/>
      <c r="D13" s="115"/>
    </row>
    <row r="14" spans="1:4" s="352" customFormat="1" ht="12" customHeight="1" thickBot="1">
      <c r="A14" s="355" t="s">
        <v>99</v>
      </c>
      <c r="B14" s="121" t="s">
        <v>431</v>
      </c>
      <c r="C14" s="115"/>
      <c r="D14" s="115"/>
    </row>
    <row r="15" spans="1:4" s="352" customFormat="1" ht="12" customHeight="1" thickBot="1">
      <c r="A15" s="143" t="s">
        <v>17</v>
      </c>
      <c r="B15" s="119" t="s">
        <v>250</v>
      </c>
      <c r="C15" s="108">
        <f>+C16+C17+C18+C19+C20</f>
        <v>0</v>
      </c>
      <c r="D15" s="108">
        <f>+D16+D17+D18+D19+D20</f>
        <v>0</v>
      </c>
    </row>
    <row r="16" spans="1:4" s="352" customFormat="1" ht="12" customHeight="1">
      <c r="A16" s="351" t="s">
        <v>101</v>
      </c>
      <c r="B16" s="111" t="s">
        <v>251</v>
      </c>
      <c r="C16" s="112"/>
      <c r="D16" s="112"/>
    </row>
    <row r="17" spans="1:4" s="352" customFormat="1" ht="12" customHeight="1">
      <c r="A17" s="353" t="s">
        <v>102</v>
      </c>
      <c r="B17" s="114" t="s">
        <v>252</v>
      </c>
      <c r="C17" s="115"/>
      <c r="D17" s="115"/>
    </row>
    <row r="18" spans="1:4" s="352" customFormat="1" ht="12" customHeight="1">
      <c r="A18" s="353" t="s">
        <v>103</v>
      </c>
      <c r="B18" s="114" t="s">
        <v>420</v>
      </c>
      <c r="C18" s="115"/>
      <c r="D18" s="115"/>
    </row>
    <row r="19" spans="1:4" s="352" customFormat="1" ht="12" customHeight="1">
      <c r="A19" s="353" t="s">
        <v>104</v>
      </c>
      <c r="B19" s="114" t="s">
        <v>421</v>
      </c>
      <c r="C19" s="115"/>
      <c r="D19" s="115"/>
    </row>
    <row r="20" spans="1:4" s="352" customFormat="1" ht="12" customHeight="1">
      <c r="A20" s="353" t="s">
        <v>105</v>
      </c>
      <c r="B20" s="114" t="s">
        <v>253</v>
      </c>
      <c r="C20" s="115"/>
      <c r="D20" s="115"/>
    </row>
    <row r="21" spans="1:4" s="354" customFormat="1" ht="12" customHeight="1" thickBot="1">
      <c r="A21" s="355" t="s">
        <v>114</v>
      </c>
      <c r="B21" s="121" t="s">
        <v>254</v>
      </c>
      <c r="C21" s="120"/>
      <c r="D21" s="120"/>
    </row>
    <row r="22" spans="1:4" s="354" customFormat="1" ht="12" customHeight="1" thickBot="1">
      <c r="A22" s="143" t="s">
        <v>18</v>
      </c>
      <c r="B22" s="107" t="s">
        <v>255</v>
      </c>
      <c r="C22" s="108">
        <f>+C23+C24+C25+C26+C27</f>
        <v>0</v>
      </c>
      <c r="D22" s="108">
        <f>+D23+D24+D25+D26+D27</f>
        <v>0</v>
      </c>
    </row>
    <row r="23" spans="1:4" s="354" customFormat="1" ht="12" customHeight="1">
      <c r="A23" s="351" t="s">
        <v>84</v>
      </c>
      <c r="B23" s="111" t="s">
        <v>256</v>
      </c>
      <c r="C23" s="112"/>
      <c r="D23" s="112"/>
    </row>
    <row r="24" spans="1:4" s="352" customFormat="1" ht="12" customHeight="1">
      <c r="A24" s="353" t="s">
        <v>85</v>
      </c>
      <c r="B24" s="114" t="s">
        <v>257</v>
      </c>
      <c r="C24" s="115"/>
      <c r="D24" s="115"/>
    </row>
    <row r="25" spans="1:4" s="354" customFormat="1" ht="12" customHeight="1">
      <c r="A25" s="353" t="s">
        <v>86</v>
      </c>
      <c r="B25" s="114" t="s">
        <v>422</v>
      </c>
      <c r="C25" s="115"/>
      <c r="D25" s="115"/>
    </row>
    <row r="26" spans="1:4" s="354" customFormat="1" ht="12" customHeight="1">
      <c r="A26" s="353" t="s">
        <v>87</v>
      </c>
      <c r="B26" s="114" t="s">
        <v>423</v>
      </c>
      <c r="C26" s="115"/>
      <c r="D26" s="115"/>
    </row>
    <row r="27" spans="1:4" s="354" customFormat="1" ht="12" customHeight="1">
      <c r="A27" s="353" t="s">
        <v>162</v>
      </c>
      <c r="B27" s="114" t="s">
        <v>258</v>
      </c>
      <c r="C27" s="115"/>
      <c r="D27" s="115"/>
    </row>
    <row r="28" spans="1:4" s="354" customFormat="1" ht="12" customHeight="1" thickBot="1">
      <c r="A28" s="355" t="s">
        <v>163</v>
      </c>
      <c r="B28" s="121" t="s">
        <v>259</v>
      </c>
      <c r="C28" s="120"/>
      <c r="D28" s="120"/>
    </row>
    <row r="29" spans="1:4" s="354" customFormat="1" ht="12" customHeight="1" thickBot="1">
      <c r="A29" s="143" t="s">
        <v>164</v>
      </c>
      <c r="B29" s="107" t="s">
        <v>260</v>
      </c>
      <c r="C29" s="122">
        <f>+C30+C34+C35+C36</f>
        <v>0</v>
      </c>
      <c r="D29" s="122">
        <f>+D30+D34+D35+D36</f>
        <v>0</v>
      </c>
    </row>
    <row r="30" spans="1:4" s="354" customFormat="1" ht="12" customHeight="1">
      <c r="A30" s="351" t="s">
        <v>261</v>
      </c>
      <c r="B30" s="111" t="s">
        <v>502</v>
      </c>
      <c r="C30" s="123">
        <f>+C31+C32+C33</f>
        <v>0</v>
      </c>
      <c r="D30" s="123">
        <f>+D31+D32+D33</f>
        <v>0</v>
      </c>
    </row>
    <row r="31" spans="1:4" s="354" customFormat="1" ht="12" customHeight="1">
      <c r="A31" s="353" t="s">
        <v>262</v>
      </c>
      <c r="B31" s="114" t="s">
        <v>267</v>
      </c>
      <c r="C31" s="115"/>
      <c r="D31" s="115"/>
    </row>
    <row r="32" spans="1:4" s="354" customFormat="1" ht="12" customHeight="1">
      <c r="A32" s="353" t="s">
        <v>263</v>
      </c>
      <c r="B32" s="114" t="s">
        <v>268</v>
      </c>
      <c r="C32" s="115"/>
      <c r="D32" s="115"/>
    </row>
    <row r="33" spans="1:4" s="354" customFormat="1" ht="12" customHeight="1">
      <c r="A33" s="353" t="s">
        <v>435</v>
      </c>
      <c r="B33" s="124" t="s">
        <v>436</v>
      </c>
      <c r="C33" s="115"/>
      <c r="D33" s="115"/>
    </row>
    <row r="34" spans="1:4" s="354" customFormat="1" ht="12" customHeight="1">
      <c r="A34" s="353" t="s">
        <v>264</v>
      </c>
      <c r="B34" s="114" t="s">
        <v>269</v>
      </c>
      <c r="C34" s="115"/>
      <c r="D34" s="115"/>
    </row>
    <row r="35" spans="1:4" s="354" customFormat="1" ht="12" customHeight="1">
      <c r="A35" s="353" t="s">
        <v>265</v>
      </c>
      <c r="B35" s="114" t="s">
        <v>270</v>
      </c>
      <c r="C35" s="115"/>
      <c r="D35" s="115"/>
    </row>
    <row r="36" spans="1:4" s="354" customFormat="1" ht="12" customHeight="1" thickBot="1">
      <c r="A36" s="355" t="s">
        <v>266</v>
      </c>
      <c r="B36" s="121" t="s">
        <v>271</v>
      </c>
      <c r="C36" s="120"/>
      <c r="D36" s="120"/>
    </row>
    <row r="37" spans="1:4" s="354" customFormat="1" ht="12" customHeight="1" thickBot="1">
      <c r="A37" s="143" t="s">
        <v>20</v>
      </c>
      <c r="B37" s="107" t="s">
        <v>432</v>
      </c>
      <c r="C37" s="108">
        <f>SUM(C38:C48)</f>
        <v>0</v>
      </c>
      <c r="D37" s="108">
        <f>SUM(D38:D48)</f>
        <v>0</v>
      </c>
    </row>
    <row r="38" spans="1:4" s="354" customFormat="1" ht="12" customHeight="1">
      <c r="A38" s="351" t="s">
        <v>88</v>
      </c>
      <c r="B38" s="111" t="s">
        <v>274</v>
      </c>
      <c r="C38" s="112"/>
      <c r="D38" s="112"/>
    </row>
    <row r="39" spans="1:4" s="354" customFormat="1" ht="12" customHeight="1">
      <c r="A39" s="353" t="s">
        <v>89</v>
      </c>
      <c r="B39" s="114" t="s">
        <v>275</v>
      </c>
      <c r="C39" s="115"/>
      <c r="D39" s="115"/>
    </row>
    <row r="40" spans="1:4" s="354" customFormat="1" ht="12" customHeight="1">
      <c r="A40" s="353" t="s">
        <v>90</v>
      </c>
      <c r="B40" s="114" t="s">
        <v>276</v>
      </c>
      <c r="C40" s="115"/>
      <c r="D40" s="115"/>
    </row>
    <row r="41" spans="1:4" s="354" customFormat="1" ht="12" customHeight="1">
      <c r="A41" s="353" t="s">
        <v>166</v>
      </c>
      <c r="B41" s="114" t="s">
        <v>277</v>
      </c>
      <c r="C41" s="115"/>
      <c r="D41" s="115"/>
    </row>
    <row r="42" spans="1:4" s="354" customFormat="1" ht="12" customHeight="1">
      <c r="A42" s="353" t="s">
        <v>167</v>
      </c>
      <c r="B42" s="114" t="s">
        <v>278</v>
      </c>
      <c r="C42" s="115"/>
      <c r="D42" s="115"/>
    </row>
    <row r="43" spans="1:4" s="354" customFormat="1" ht="12" customHeight="1">
      <c r="A43" s="353" t="s">
        <v>168</v>
      </c>
      <c r="B43" s="114" t="s">
        <v>279</v>
      </c>
      <c r="C43" s="115"/>
      <c r="D43" s="115"/>
    </row>
    <row r="44" spans="1:4" s="354" customFormat="1" ht="12" customHeight="1">
      <c r="A44" s="353" t="s">
        <v>169</v>
      </c>
      <c r="B44" s="114" t="s">
        <v>280</v>
      </c>
      <c r="C44" s="115"/>
      <c r="D44" s="115"/>
    </row>
    <row r="45" spans="1:4" s="354" customFormat="1" ht="12" customHeight="1">
      <c r="A45" s="353" t="s">
        <v>170</v>
      </c>
      <c r="B45" s="114" t="s">
        <v>281</v>
      </c>
      <c r="C45" s="115"/>
      <c r="D45" s="115"/>
    </row>
    <row r="46" spans="1:4" s="354" customFormat="1" ht="12" customHeight="1">
      <c r="A46" s="353" t="s">
        <v>272</v>
      </c>
      <c r="B46" s="114" t="s">
        <v>282</v>
      </c>
      <c r="C46" s="125"/>
      <c r="D46" s="125"/>
    </row>
    <row r="47" spans="1:4" s="354" customFormat="1" ht="12" customHeight="1">
      <c r="A47" s="355" t="s">
        <v>273</v>
      </c>
      <c r="B47" s="121" t="s">
        <v>434</v>
      </c>
      <c r="C47" s="126"/>
      <c r="D47" s="126"/>
    </row>
    <row r="48" spans="1:4" s="354" customFormat="1" ht="12" customHeight="1" thickBot="1">
      <c r="A48" s="355" t="s">
        <v>433</v>
      </c>
      <c r="B48" s="121" t="s">
        <v>283</v>
      </c>
      <c r="C48" s="126"/>
      <c r="D48" s="126"/>
    </row>
    <row r="49" spans="1:4" s="354" customFormat="1" ht="12" customHeight="1" thickBot="1">
      <c r="A49" s="143" t="s">
        <v>21</v>
      </c>
      <c r="B49" s="107" t="s">
        <v>284</v>
      </c>
      <c r="C49" s="108">
        <f>SUM(C50:C54)</f>
        <v>0</v>
      </c>
      <c r="D49" s="108">
        <f>SUM(D50:D54)</f>
        <v>0</v>
      </c>
    </row>
    <row r="50" spans="1:4" s="354" customFormat="1" ht="12" customHeight="1">
      <c r="A50" s="351" t="s">
        <v>91</v>
      </c>
      <c r="B50" s="111" t="s">
        <v>288</v>
      </c>
      <c r="C50" s="127"/>
      <c r="D50" s="127"/>
    </row>
    <row r="51" spans="1:4" s="354" customFormat="1" ht="12" customHeight="1">
      <c r="A51" s="353" t="s">
        <v>92</v>
      </c>
      <c r="B51" s="114" t="s">
        <v>289</v>
      </c>
      <c r="C51" s="125"/>
      <c r="D51" s="125"/>
    </row>
    <row r="52" spans="1:4" s="354" customFormat="1" ht="12" customHeight="1">
      <c r="A52" s="353" t="s">
        <v>285</v>
      </c>
      <c r="B52" s="114" t="s">
        <v>290</v>
      </c>
      <c r="C52" s="125"/>
      <c r="D52" s="125"/>
    </row>
    <row r="53" spans="1:4" s="354" customFormat="1" ht="12" customHeight="1">
      <c r="A53" s="353" t="s">
        <v>286</v>
      </c>
      <c r="B53" s="114" t="s">
        <v>291</v>
      </c>
      <c r="C53" s="125"/>
      <c r="D53" s="125"/>
    </row>
    <row r="54" spans="1:4" s="354" customFormat="1" ht="12" customHeight="1" thickBot="1">
      <c r="A54" s="355" t="s">
        <v>287</v>
      </c>
      <c r="B54" s="121" t="s">
        <v>292</v>
      </c>
      <c r="C54" s="126"/>
      <c r="D54" s="126"/>
    </row>
    <row r="55" spans="1:4" s="354" customFormat="1" ht="12" customHeight="1" thickBot="1">
      <c r="A55" s="143" t="s">
        <v>171</v>
      </c>
      <c r="B55" s="107" t="s">
        <v>293</v>
      </c>
      <c r="C55" s="108">
        <f>SUM(C56:C58)</f>
        <v>0</v>
      </c>
      <c r="D55" s="108">
        <f>SUM(D56:D58)</f>
        <v>0</v>
      </c>
    </row>
    <row r="56" spans="1:4" s="354" customFormat="1" ht="12" customHeight="1">
      <c r="A56" s="351" t="s">
        <v>93</v>
      </c>
      <c r="B56" s="111" t="s">
        <v>294</v>
      </c>
      <c r="C56" s="112"/>
      <c r="D56" s="112"/>
    </row>
    <row r="57" spans="1:4" s="354" customFormat="1" ht="12" customHeight="1">
      <c r="A57" s="353" t="s">
        <v>94</v>
      </c>
      <c r="B57" s="114" t="s">
        <v>424</v>
      </c>
      <c r="C57" s="115"/>
      <c r="D57" s="115"/>
    </row>
    <row r="58" spans="1:4" s="354" customFormat="1" ht="12" customHeight="1">
      <c r="A58" s="353" t="s">
        <v>297</v>
      </c>
      <c r="B58" s="114" t="s">
        <v>295</v>
      </c>
      <c r="C58" s="115"/>
      <c r="D58" s="115"/>
    </row>
    <row r="59" spans="1:4" s="354" customFormat="1" ht="12" customHeight="1" thickBot="1">
      <c r="A59" s="355" t="s">
        <v>298</v>
      </c>
      <c r="B59" s="121" t="s">
        <v>296</v>
      </c>
      <c r="C59" s="120"/>
      <c r="D59" s="120"/>
    </row>
    <row r="60" spans="1:4" s="354" customFormat="1" ht="12" customHeight="1" thickBot="1">
      <c r="A60" s="143" t="s">
        <v>23</v>
      </c>
      <c r="B60" s="119" t="s">
        <v>299</v>
      </c>
      <c r="C60" s="108">
        <f>SUM(C61:C63)</f>
        <v>0</v>
      </c>
      <c r="D60" s="108">
        <f>SUM(D61:D63)</f>
        <v>0</v>
      </c>
    </row>
    <row r="61" spans="1:4" s="354" customFormat="1" ht="12" customHeight="1">
      <c r="A61" s="351" t="s">
        <v>172</v>
      </c>
      <c r="B61" s="111" t="s">
        <v>301</v>
      </c>
      <c r="C61" s="125"/>
      <c r="D61" s="125"/>
    </row>
    <row r="62" spans="1:4" s="354" customFormat="1" ht="12" customHeight="1">
      <c r="A62" s="353" t="s">
        <v>173</v>
      </c>
      <c r="B62" s="114" t="s">
        <v>425</v>
      </c>
      <c r="C62" s="125"/>
      <c r="D62" s="125"/>
    </row>
    <row r="63" spans="1:4" s="354" customFormat="1" ht="12" customHeight="1">
      <c r="A63" s="353" t="s">
        <v>221</v>
      </c>
      <c r="B63" s="114" t="s">
        <v>302</v>
      </c>
      <c r="C63" s="125"/>
      <c r="D63" s="125"/>
    </row>
    <row r="64" spans="1:4" s="354" customFormat="1" ht="12" customHeight="1" thickBot="1">
      <c r="A64" s="355" t="s">
        <v>300</v>
      </c>
      <c r="B64" s="121" t="s">
        <v>303</v>
      </c>
      <c r="C64" s="125"/>
      <c r="D64" s="125"/>
    </row>
    <row r="65" spans="1:4" s="354" customFormat="1" ht="12" customHeight="1" thickBot="1">
      <c r="A65" s="143" t="s">
        <v>24</v>
      </c>
      <c r="B65" s="107" t="s">
        <v>304</v>
      </c>
      <c r="C65" s="122">
        <f>+C8+C15+C22+C29+C37+C49+C55+C60</f>
        <v>0</v>
      </c>
      <c r="D65" s="122">
        <f>+D8+D15+D22+D29+D37+D49+D55+D60</f>
        <v>0</v>
      </c>
    </row>
    <row r="66" spans="1:4" s="354" customFormat="1" ht="12" customHeight="1" thickBot="1">
      <c r="A66" s="356" t="s">
        <v>394</v>
      </c>
      <c r="B66" s="119" t="s">
        <v>306</v>
      </c>
      <c r="C66" s="108">
        <f>SUM(C67:C69)</f>
        <v>0</v>
      </c>
      <c r="D66" s="108">
        <f>SUM(D67:D69)</f>
        <v>0</v>
      </c>
    </row>
    <row r="67" spans="1:4" s="354" customFormat="1" ht="12" customHeight="1">
      <c r="A67" s="351" t="s">
        <v>337</v>
      </c>
      <c r="B67" s="111" t="s">
        <v>307</v>
      </c>
      <c r="C67" s="125"/>
      <c r="D67" s="125"/>
    </row>
    <row r="68" spans="1:4" s="354" customFormat="1" ht="12" customHeight="1">
      <c r="A68" s="353" t="s">
        <v>346</v>
      </c>
      <c r="B68" s="114" t="s">
        <v>308</v>
      </c>
      <c r="C68" s="125"/>
      <c r="D68" s="125"/>
    </row>
    <row r="69" spans="1:4" s="354" customFormat="1" ht="12" customHeight="1" thickBot="1">
      <c r="A69" s="355" t="s">
        <v>347</v>
      </c>
      <c r="B69" s="357" t="s">
        <v>309</v>
      </c>
      <c r="C69" s="125"/>
      <c r="D69" s="125"/>
    </row>
    <row r="70" spans="1:4" s="354" customFormat="1" ht="12" customHeight="1" thickBot="1">
      <c r="A70" s="356" t="s">
        <v>310</v>
      </c>
      <c r="B70" s="119" t="s">
        <v>311</v>
      </c>
      <c r="C70" s="108">
        <f>SUM(C71:C74)</f>
        <v>0</v>
      </c>
      <c r="D70" s="108">
        <f>SUM(D71:D74)</f>
        <v>0</v>
      </c>
    </row>
    <row r="71" spans="1:4" s="354" customFormat="1" ht="12" customHeight="1">
      <c r="A71" s="351" t="s">
        <v>142</v>
      </c>
      <c r="B71" s="111" t="s">
        <v>312</v>
      </c>
      <c r="C71" s="125"/>
      <c r="D71" s="125"/>
    </row>
    <row r="72" spans="1:4" s="354" customFormat="1" ht="12" customHeight="1">
      <c r="A72" s="353" t="s">
        <v>143</v>
      </c>
      <c r="B72" s="114" t="s">
        <v>313</v>
      </c>
      <c r="C72" s="125"/>
      <c r="D72" s="125"/>
    </row>
    <row r="73" spans="1:4" s="354" customFormat="1" ht="12" customHeight="1">
      <c r="A73" s="353" t="s">
        <v>338</v>
      </c>
      <c r="B73" s="114" t="s">
        <v>314</v>
      </c>
      <c r="C73" s="125"/>
      <c r="D73" s="125"/>
    </row>
    <row r="74" spans="1:4" s="354" customFormat="1" ht="12" customHeight="1" thickBot="1">
      <c r="A74" s="355" t="s">
        <v>339</v>
      </c>
      <c r="B74" s="121" t="s">
        <v>315</v>
      </c>
      <c r="C74" s="125"/>
      <c r="D74" s="125"/>
    </row>
    <row r="75" spans="1:4" s="354" customFormat="1" ht="12" customHeight="1" thickBot="1">
      <c r="A75" s="356" t="s">
        <v>316</v>
      </c>
      <c r="B75" s="119" t="s">
        <v>317</v>
      </c>
      <c r="C75" s="108">
        <f>SUM(C76:C77)</f>
        <v>0</v>
      </c>
      <c r="D75" s="108">
        <f>SUM(D76:D77)</f>
        <v>0</v>
      </c>
    </row>
    <row r="76" spans="1:4" s="354" customFormat="1" ht="12" customHeight="1">
      <c r="A76" s="351" t="s">
        <v>340</v>
      </c>
      <c r="B76" s="111" t="s">
        <v>318</v>
      </c>
      <c r="C76" s="125"/>
      <c r="D76" s="125"/>
    </row>
    <row r="77" spans="1:4" s="354" customFormat="1" ht="12" customHeight="1" thickBot="1">
      <c r="A77" s="355" t="s">
        <v>341</v>
      </c>
      <c r="B77" s="121" t="s">
        <v>319</v>
      </c>
      <c r="C77" s="125"/>
      <c r="D77" s="125"/>
    </row>
    <row r="78" spans="1:4" s="352" customFormat="1" ht="12" customHeight="1" thickBot="1">
      <c r="A78" s="356" t="s">
        <v>320</v>
      </c>
      <c r="B78" s="119" t="s">
        <v>321</v>
      </c>
      <c r="C78" s="108">
        <f>SUM(C79:C81)</f>
        <v>0</v>
      </c>
      <c r="D78" s="108">
        <f>SUM(D79:D81)</f>
        <v>0</v>
      </c>
    </row>
    <row r="79" spans="1:4" s="354" customFormat="1" ht="12" customHeight="1">
      <c r="A79" s="351" t="s">
        <v>342</v>
      </c>
      <c r="B79" s="111" t="s">
        <v>322</v>
      </c>
      <c r="C79" s="125"/>
      <c r="D79" s="125"/>
    </row>
    <row r="80" spans="1:4" s="354" customFormat="1" ht="12" customHeight="1">
      <c r="A80" s="353" t="s">
        <v>343</v>
      </c>
      <c r="B80" s="114" t="s">
        <v>323</v>
      </c>
      <c r="C80" s="125"/>
      <c r="D80" s="125"/>
    </row>
    <row r="81" spans="1:4" s="354" customFormat="1" ht="12" customHeight="1" thickBot="1">
      <c r="A81" s="355" t="s">
        <v>344</v>
      </c>
      <c r="B81" s="121" t="s">
        <v>324</v>
      </c>
      <c r="C81" s="125"/>
      <c r="D81" s="125"/>
    </row>
    <row r="82" spans="1:4" s="354" customFormat="1" ht="12" customHeight="1" thickBot="1">
      <c r="A82" s="356" t="s">
        <v>325</v>
      </c>
      <c r="B82" s="119" t="s">
        <v>345</v>
      </c>
      <c r="C82" s="108">
        <f>SUM(C83:C86)</f>
        <v>0</v>
      </c>
      <c r="D82" s="108">
        <f>SUM(D83:D86)</f>
        <v>0</v>
      </c>
    </row>
    <row r="83" spans="1:4" s="354" customFormat="1" ht="12" customHeight="1">
      <c r="A83" s="358" t="s">
        <v>326</v>
      </c>
      <c r="B83" s="111" t="s">
        <v>327</v>
      </c>
      <c r="C83" s="125"/>
      <c r="D83" s="125"/>
    </row>
    <row r="84" spans="1:4" s="354" customFormat="1" ht="12" customHeight="1">
      <c r="A84" s="359" t="s">
        <v>328</v>
      </c>
      <c r="B84" s="114" t="s">
        <v>329</v>
      </c>
      <c r="C84" s="125"/>
      <c r="D84" s="125"/>
    </row>
    <row r="85" spans="1:4" s="354" customFormat="1" ht="12" customHeight="1">
      <c r="A85" s="359" t="s">
        <v>330</v>
      </c>
      <c r="B85" s="114" t="s">
        <v>331</v>
      </c>
      <c r="C85" s="125"/>
      <c r="D85" s="125"/>
    </row>
    <row r="86" spans="1:4" s="352" customFormat="1" ht="12" customHeight="1" thickBot="1">
      <c r="A86" s="360" t="s">
        <v>332</v>
      </c>
      <c r="B86" s="121" t="s">
        <v>333</v>
      </c>
      <c r="C86" s="125"/>
      <c r="D86" s="125"/>
    </row>
    <row r="87" spans="1:4" s="352" customFormat="1" ht="12" customHeight="1" thickBot="1">
      <c r="A87" s="356" t="s">
        <v>334</v>
      </c>
      <c r="B87" s="119" t="s">
        <v>475</v>
      </c>
      <c r="C87" s="134"/>
      <c r="D87" s="134"/>
    </row>
    <row r="88" spans="1:4" s="352" customFormat="1" ht="12" customHeight="1" thickBot="1">
      <c r="A88" s="356" t="s">
        <v>503</v>
      </c>
      <c r="B88" s="119" t="s">
        <v>335</v>
      </c>
      <c r="C88" s="134"/>
      <c r="D88" s="134"/>
    </row>
    <row r="89" spans="1:4" s="352" customFormat="1" ht="12" customHeight="1" thickBot="1">
      <c r="A89" s="356" t="s">
        <v>504</v>
      </c>
      <c r="B89" s="135" t="s">
        <v>478</v>
      </c>
      <c r="C89" s="122">
        <f>+C66+C70+C75+C78+C82+C88+C87</f>
        <v>0</v>
      </c>
      <c r="D89" s="122">
        <f>+D66+D70+D75+D78+D82+D88+D87</f>
        <v>0</v>
      </c>
    </row>
    <row r="90" spans="1:4" s="352" customFormat="1" ht="12" customHeight="1" thickBot="1">
      <c r="A90" s="361" t="s">
        <v>505</v>
      </c>
      <c r="B90" s="137" t="s">
        <v>506</v>
      </c>
      <c r="C90" s="122">
        <f>+C65+C89</f>
        <v>0</v>
      </c>
      <c r="D90" s="122">
        <f>+D65+D89</f>
        <v>0</v>
      </c>
    </row>
    <row r="91" spans="1:4" s="354" customFormat="1" ht="15" customHeight="1" thickBot="1">
      <c r="A91" s="81"/>
      <c r="B91" s="82"/>
      <c r="C91" s="83"/>
      <c r="D91" s="83"/>
    </row>
    <row r="92" spans="1:4" s="185" customFormat="1" ht="16.5" customHeight="1" thickBot="1">
      <c r="A92" s="87"/>
      <c r="B92" s="88" t="s">
        <v>54</v>
      </c>
      <c r="C92" s="80"/>
      <c r="D92" s="80"/>
    </row>
    <row r="93" spans="1:4" s="362" customFormat="1" ht="12" customHeight="1" thickBot="1">
      <c r="A93" s="102" t="s">
        <v>16</v>
      </c>
      <c r="B93" s="147" t="s">
        <v>723</v>
      </c>
      <c r="C93" s="148">
        <f>+C94+C95+C96+C97+C98+C111</f>
        <v>0</v>
      </c>
      <c r="D93" s="148">
        <f>+D94+D95+D96+D97+D98+D111</f>
        <v>0</v>
      </c>
    </row>
    <row r="94" spans="1:4" ht="12" customHeight="1">
      <c r="A94" s="363" t="s">
        <v>95</v>
      </c>
      <c r="B94" s="56" t="s">
        <v>46</v>
      </c>
      <c r="C94" s="150"/>
      <c r="D94" s="150"/>
    </row>
    <row r="95" spans="1:4" ht="12" customHeight="1">
      <c r="A95" s="353" t="s">
        <v>96</v>
      </c>
      <c r="B95" s="59" t="s">
        <v>174</v>
      </c>
      <c r="C95" s="115"/>
      <c r="D95" s="115"/>
    </row>
    <row r="96" spans="1:4" ht="12" customHeight="1">
      <c r="A96" s="353" t="s">
        <v>97</v>
      </c>
      <c r="B96" s="59" t="s">
        <v>133</v>
      </c>
      <c r="C96" s="120"/>
      <c r="D96" s="120"/>
    </row>
    <row r="97" spans="1:4" ht="12" customHeight="1">
      <c r="A97" s="353" t="s">
        <v>98</v>
      </c>
      <c r="B97" s="151" t="s">
        <v>175</v>
      </c>
      <c r="C97" s="120"/>
      <c r="D97" s="120"/>
    </row>
    <row r="98" spans="1:4" ht="12" customHeight="1">
      <c r="A98" s="353" t="s">
        <v>109</v>
      </c>
      <c r="B98" s="152" t="s">
        <v>176</v>
      </c>
      <c r="C98" s="120"/>
      <c r="D98" s="120"/>
    </row>
    <row r="99" spans="1:4" ht="12" customHeight="1">
      <c r="A99" s="353" t="s">
        <v>99</v>
      </c>
      <c r="B99" s="59" t="s">
        <v>507</v>
      </c>
      <c r="C99" s="120"/>
      <c r="D99" s="120"/>
    </row>
    <row r="100" spans="1:4" ht="12" customHeight="1">
      <c r="A100" s="353" t="s">
        <v>100</v>
      </c>
      <c r="B100" s="154" t="s">
        <v>441</v>
      </c>
      <c r="C100" s="120"/>
      <c r="D100" s="120"/>
    </row>
    <row r="101" spans="1:4" ht="12" customHeight="1">
      <c r="A101" s="353" t="s">
        <v>110</v>
      </c>
      <c r="B101" s="154" t="s">
        <v>440</v>
      </c>
      <c r="C101" s="120"/>
      <c r="D101" s="120"/>
    </row>
    <row r="102" spans="1:4" ht="12" customHeight="1">
      <c r="A102" s="353" t="s">
        <v>111</v>
      </c>
      <c r="B102" s="154" t="s">
        <v>351</v>
      </c>
      <c r="C102" s="120"/>
      <c r="D102" s="120"/>
    </row>
    <row r="103" spans="1:4" ht="12" customHeight="1">
      <c r="A103" s="353" t="s">
        <v>112</v>
      </c>
      <c r="B103" s="155" t="s">
        <v>352</v>
      </c>
      <c r="C103" s="120"/>
      <c r="D103" s="120"/>
    </row>
    <row r="104" spans="1:4" ht="12" customHeight="1">
      <c r="A104" s="353" t="s">
        <v>113</v>
      </c>
      <c r="B104" s="155" t="s">
        <v>353</v>
      </c>
      <c r="C104" s="120"/>
      <c r="D104" s="120"/>
    </row>
    <row r="105" spans="1:4" ht="12" customHeight="1">
      <c r="A105" s="353" t="s">
        <v>115</v>
      </c>
      <c r="B105" s="154" t="s">
        <v>354</v>
      </c>
      <c r="C105" s="120"/>
      <c r="D105" s="120"/>
    </row>
    <row r="106" spans="1:4" ht="12" customHeight="1">
      <c r="A106" s="353" t="s">
        <v>177</v>
      </c>
      <c r="B106" s="154" t="s">
        <v>355</v>
      </c>
      <c r="C106" s="120"/>
      <c r="D106" s="120"/>
    </row>
    <row r="107" spans="1:4" ht="12" customHeight="1">
      <c r="A107" s="353" t="s">
        <v>349</v>
      </c>
      <c r="B107" s="155" t="s">
        <v>356</v>
      </c>
      <c r="C107" s="120"/>
      <c r="D107" s="120"/>
    </row>
    <row r="108" spans="1:4" ht="12" customHeight="1">
      <c r="A108" s="364" t="s">
        <v>350</v>
      </c>
      <c r="B108" s="153" t="s">
        <v>357</v>
      </c>
      <c r="C108" s="120"/>
      <c r="D108" s="120"/>
    </row>
    <row r="109" spans="1:4" ht="12" customHeight="1">
      <c r="A109" s="353" t="s">
        <v>438</v>
      </c>
      <c r="B109" s="153" t="s">
        <v>358</v>
      </c>
      <c r="C109" s="120"/>
      <c r="D109" s="120"/>
    </row>
    <row r="110" spans="1:4" ht="12" customHeight="1">
      <c r="A110" s="353" t="s">
        <v>439</v>
      </c>
      <c r="B110" s="155" t="s">
        <v>359</v>
      </c>
      <c r="C110" s="115"/>
      <c r="D110" s="115"/>
    </row>
    <row r="111" spans="1:4" ht="12" customHeight="1">
      <c r="A111" s="353" t="s">
        <v>443</v>
      </c>
      <c r="B111" s="151" t="s">
        <v>47</v>
      </c>
      <c r="C111" s="115"/>
      <c r="D111" s="115"/>
    </row>
    <row r="112" spans="1:4" ht="12" customHeight="1">
      <c r="A112" s="355" t="s">
        <v>444</v>
      </c>
      <c r="B112" s="59" t="s">
        <v>508</v>
      </c>
      <c r="C112" s="120"/>
      <c r="D112" s="120"/>
    </row>
    <row r="113" spans="1:4" ht="12" customHeight="1" thickBot="1">
      <c r="A113" s="365" t="s">
        <v>445</v>
      </c>
      <c r="B113" s="366" t="s">
        <v>509</v>
      </c>
      <c r="C113" s="159"/>
      <c r="D113" s="159"/>
    </row>
    <row r="114" spans="1:4" ht="12" customHeight="1" thickBot="1">
      <c r="A114" s="143" t="s">
        <v>17</v>
      </c>
      <c r="B114" s="174" t="s">
        <v>711</v>
      </c>
      <c r="C114" s="108">
        <f>+C115+C117+C119</f>
        <v>0</v>
      </c>
      <c r="D114" s="108">
        <f>+D115+D117+D119</f>
        <v>0</v>
      </c>
    </row>
    <row r="115" spans="1:4" ht="12" customHeight="1">
      <c r="A115" s="351" t="s">
        <v>101</v>
      </c>
      <c r="B115" s="59" t="s">
        <v>219</v>
      </c>
      <c r="C115" s="112"/>
      <c r="D115" s="112"/>
    </row>
    <row r="116" spans="1:4" ht="12" customHeight="1">
      <c r="A116" s="351" t="s">
        <v>102</v>
      </c>
      <c r="B116" s="163" t="s">
        <v>363</v>
      </c>
      <c r="C116" s="112"/>
      <c r="D116" s="112"/>
    </row>
    <row r="117" spans="1:4" ht="12" customHeight="1">
      <c r="A117" s="351" t="s">
        <v>103</v>
      </c>
      <c r="B117" s="163" t="s">
        <v>178</v>
      </c>
      <c r="C117" s="115"/>
      <c r="D117" s="115"/>
    </row>
    <row r="118" spans="1:4" ht="12" customHeight="1">
      <c r="A118" s="351" t="s">
        <v>104</v>
      </c>
      <c r="B118" s="163" t="s">
        <v>364</v>
      </c>
      <c r="C118" s="164"/>
      <c r="D118" s="164"/>
    </row>
    <row r="119" spans="1:4" ht="12" customHeight="1">
      <c r="A119" s="351" t="s">
        <v>105</v>
      </c>
      <c r="B119" s="118" t="s">
        <v>222</v>
      </c>
      <c r="C119" s="164"/>
      <c r="D119" s="164"/>
    </row>
    <row r="120" spans="1:4" ht="12" customHeight="1">
      <c r="A120" s="351" t="s">
        <v>114</v>
      </c>
      <c r="B120" s="116" t="s">
        <v>426</v>
      </c>
      <c r="C120" s="164"/>
      <c r="D120" s="164"/>
    </row>
    <row r="121" spans="1:4" ht="12" customHeight="1">
      <c r="A121" s="351" t="s">
        <v>116</v>
      </c>
      <c r="B121" s="165" t="s">
        <v>369</v>
      </c>
      <c r="C121" s="164"/>
      <c r="D121" s="164"/>
    </row>
    <row r="122" spans="1:4" ht="12" customHeight="1">
      <c r="A122" s="351" t="s">
        <v>179</v>
      </c>
      <c r="B122" s="155" t="s">
        <v>353</v>
      </c>
      <c r="C122" s="164"/>
      <c r="D122" s="164"/>
    </row>
    <row r="123" spans="1:4" ht="12" customHeight="1">
      <c r="A123" s="351" t="s">
        <v>180</v>
      </c>
      <c r="B123" s="155" t="s">
        <v>368</v>
      </c>
      <c r="C123" s="164"/>
      <c r="D123" s="164"/>
    </row>
    <row r="124" spans="1:4" ht="12" customHeight="1">
      <c r="A124" s="351" t="s">
        <v>181</v>
      </c>
      <c r="B124" s="155" t="s">
        <v>367</v>
      </c>
      <c r="C124" s="164"/>
      <c r="D124" s="164"/>
    </row>
    <row r="125" spans="1:4" ht="12" customHeight="1">
      <c r="A125" s="351" t="s">
        <v>360</v>
      </c>
      <c r="B125" s="155" t="s">
        <v>356</v>
      </c>
      <c r="C125" s="164"/>
      <c r="D125" s="164"/>
    </row>
    <row r="126" spans="1:4" ht="12" customHeight="1">
      <c r="A126" s="351" t="s">
        <v>361</v>
      </c>
      <c r="B126" s="155" t="s">
        <v>366</v>
      </c>
      <c r="C126" s="164"/>
      <c r="D126" s="164"/>
    </row>
    <row r="127" spans="1:4" ht="12" customHeight="1" thickBot="1">
      <c r="A127" s="364" t="s">
        <v>362</v>
      </c>
      <c r="B127" s="155" t="s">
        <v>365</v>
      </c>
      <c r="C127" s="166"/>
      <c r="D127" s="166"/>
    </row>
    <row r="128" spans="1:4" ht="12" customHeight="1" thickBot="1">
      <c r="A128" s="143" t="s">
        <v>18</v>
      </c>
      <c r="B128" s="67" t="s">
        <v>448</v>
      </c>
      <c r="C128" s="108">
        <f>+C93+C114</f>
        <v>0</v>
      </c>
      <c r="D128" s="108">
        <f>+D93+D114</f>
        <v>0</v>
      </c>
    </row>
    <row r="129" spans="1:4" ht="12" customHeight="1" thickBot="1">
      <c r="A129" s="143" t="s">
        <v>19</v>
      </c>
      <c r="B129" s="67" t="s">
        <v>449</v>
      </c>
      <c r="C129" s="108">
        <f>+C130+C131+C132</f>
        <v>0</v>
      </c>
      <c r="D129" s="108">
        <f>+D130+D131+D132</f>
        <v>0</v>
      </c>
    </row>
    <row r="130" spans="1:4" s="362" customFormat="1" ht="12" customHeight="1">
      <c r="A130" s="351" t="s">
        <v>261</v>
      </c>
      <c r="B130" s="65" t="s">
        <v>512</v>
      </c>
      <c r="C130" s="164"/>
      <c r="D130" s="164"/>
    </row>
    <row r="131" spans="1:4" ht="12" customHeight="1">
      <c r="A131" s="351" t="s">
        <v>264</v>
      </c>
      <c r="B131" s="65" t="s">
        <v>457</v>
      </c>
      <c r="C131" s="164"/>
      <c r="D131" s="164"/>
    </row>
    <row r="132" spans="1:4" ht="12" customHeight="1" thickBot="1">
      <c r="A132" s="364" t="s">
        <v>265</v>
      </c>
      <c r="B132" s="61" t="s">
        <v>511</v>
      </c>
      <c r="C132" s="164"/>
      <c r="D132" s="164"/>
    </row>
    <row r="133" spans="1:4" ht="12" customHeight="1" thickBot="1">
      <c r="A133" s="143" t="s">
        <v>20</v>
      </c>
      <c r="B133" s="67" t="s">
        <v>450</v>
      </c>
      <c r="C133" s="108">
        <f>+C134+C135+C136+C137+C138+C139</f>
        <v>0</v>
      </c>
      <c r="D133" s="108">
        <f>+D134+D135+D136+D137+D138+D139</f>
        <v>0</v>
      </c>
    </row>
    <row r="134" spans="1:4" ht="12" customHeight="1">
      <c r="A134" s="351" t="s">
        <v>88</v>
      </c>
      <c r="B134" s="65" t="s">
        <v>459</v>
      </c>
      <c r="C134" s="164"/>
      <c r="D134" s="164"/>
    </row>
    <row r="135" spans="1:4" ht="12" customHeight="1">
      <c r="A135" s="351" t="s">
        <v>89</v>
      </c>
      <c r="B135" s="65" t="s">
        <v>451</v>
      </c>
      <c r="C135" s="164"/>
      <c r="D135" s="164"/>
    </row>
    <row r="136" spans="1:4" ht="12" customHeight="1">
      <c r="A136" s="351" t="s">
        <v>90</v>
      </c>
      <c r="B136" s="65" t="s">
        <v>452</v>
      </c>
      <c r="C136" s="164"/>
      <c r="D136" s="164"/>
    </row>
    <row r="137" spans="1:4" ht="12" customHeight="1">
      <c r="A137" s="351" t="s">
        <v>166</v>
      </c>
      <c r="B137" s="65" t="s">
        <v>510</v>
      </c>
      <c r="C137" s="164"/>
      <c r="D137" s="164"/>
    </row>
    <row r="138" spans="1:4" ht="12" customHeight="1">
      <c r="A138" s="351" t="s">
        <v>167</v>
      </c>
      <c r="B138" s="65" t="s">
        <v>454</v>
      </c>
      <c r="C138" s="164"/>
      <c r="D138" s="164"/>
    </row>
    <row r="139" spans="1:4" s="362" customFormat="1" ht="12" customHeight="1" thickBot="1">
      <c r="A139" s="364" t="s">
        <v>168</v>
      </c>
      <c r="B139" s="61" t="s">
        <v>455</v>
      </c>
      <c r="C139" s="164"/>
      <c r="D139" s="164"/>
    </row>
    <row r="140" spans="1:4" ht="12" customHeight="1" thickBot="1">
      <c r="A140" s="143" t="s">
        <v>21</v>
      </c>
      <c r="B140" s="67" t="s">
        <v>536</v>
      </c>
      <c r="C140" s="122">
        <f>+C141+C142+C144+C145+C143</f>
        <v>0</v>
      </c>
      <c r="D140" s="122">
        <f>+D141+D142+D144+D145+D143</f>
        <v>0</v>
      </c>
    </row>
    <row r="141" spans="1:4">
      <c r="A141" s="351" t="s">
        <v>91</v>
      </c>
      <c r="B141" s="65" t="s">
        <v>370</v>
      </c>
      <c r="C141" s="164"/>
      <c r="D141" s="164"/>
    </row>
    <row r="142" spans="1:4" ht="12" customHeight="1">
      <c r="A142" s="351" t="s">
        <v>92</v>
      </c>
      <c r="B142" s="65" t="s">
        <v>371</v>
      </c>
      <c r="C142" s="164"/>
      <c r="D142" s="164"/>
    </row>
    <row r="143" spans="1:4" s="362" customFormat="1" ht="12" customHeight="1">
      <c r="A143" s="351" t="s">
        <v>285</v>
      </c>
      <c r="B143" s="65" t="s">
        <v>535</v>
      </c>
      <c r="C143" s="164"/>
      <c r="D143" s="164"/>
    </row>
    <row r="144" spans="1:4" s="362" customFormat="1" ht="12" customHeight="1">
      <c r="A144" s="351" t="s">
        <v>286</v>
      </c>
      <c r="B144" s="65" t="s">
        <v>464</v>
      </c>
      <c r="C144" s="164"/>
      <c r="D144" s="164"/>
    </row>
    <row r="145" spans="1:4" s="362" customFormat="1" ht="12" customHeight="1" thickBot="1">
      <c r="A145" s="364" t="s">
        <v>287</v>
      </c>
      <c r="B145" s="61" t="s">
        <v>390</v>
      </c>
      <c r="C145" s="164"/>
      <c r="D145" s="164"/>
    </row>
    <row r="146" spans="1:4" s="362" customFormat="1" ht="12" customHeight="1" thickBot="1">
      <c r="A146" s="143" t="s">
        <v>22</v>
      </c>
      <c r="B146" s="67" t="s">
        <v>465</v>
      </c>
      <c r="C146" s="167">
        <f>+C147+C148+C149+C150+C151</f>
        <v>0</v>
      </c>
      <c r="D146" s="167">
        <f>+D147+D148+D149+D150+D151</f>
        <v>0</v>
      </c>
    </row>
    <row r="147" spans="1:4" s="362" customFormat="1" ht="12" customHeight="1">
      <c r="A147" s="351" t="s">
        <v>93</v>
      </c>
      <c r="B147" s="65" t="s">
        <v>460</v>
      </c>
      <c r="C147" s="164"/>
      <c r="D147" s="164"/>
    </row>
    <row r="148" spans="1:4" s="362" customFormat="1" ht="12" customHeight="1">
      <c r="A148" s="351" t="s">
        <v>94</v>
      </c>
      <c r="B148" s="65" t="s">
        <v>467</v>
      </c>
      <c r="C148" s="164"/>
      <c r="D148" s="164"/>
    </row>
    <row r="149" spans="1:4" s="362" customFormat="1" ht="12" customHeight="1">
      <c r="A149" s="351" t="s">
        <v>297</v>
      </c>
      <c r="B149" s="65" t="s">
        <v>462</v>
      </c>
      <c r="C149" s="164"/>
      <c r="D149" s="164"/>
    </row>
    <row r="150" spans="1:4" ht="12.75" customHeight="1">
      <c r="A150" s="351" t="s">
        <v>298</v>
      </c>
      <c r="B150" s="65" t="s">
        <v>513</v>
      </c>
      <c r="C150" s="164"/>
      <c r="D150" s="164"/>
    </row>
    <row r="151" spans="1:4" ht="12.75" customHeight="1" thickBot="1">
      <c r="A151" s="364" t="s">
        <v>466</v>
      </c>
      <c r="B151" s="61" t="s">
        <v>469</v>
      </c>
      <c r="C151" s="166"/>
      <c r="D151" s="166"/>
    </row>
    <row r="152" spans="1:4" ht="12.75" customHeight="1" thickBot="1">
      <c r="A152" s="367" t="s">
        <v>23</v>
      </c>
      <c r="B152" s="67" t="s">
        <v>470</v>
      </c>
      <c r="C152" s="167"/>
      <c r="D152" s="167"/>
    </row>
    <row r="153" spans="1:4" ht="12" customHeight="1" thickBot="1">
      <c r="A153" s="367" t="s">
        <v>24</v>
      </c>
      <c r="B153" s="67" t="s">
        <v>471</v>
      </c>
      <c r="C153" s="167"/>
      <c r="D153" s="167"/>
    </row>
    <row r="154" spans="1:4" ht="15" customHeight="1" thickBot="1">
      <c r="A154" s="143" t="s">
        <v>25</v>
      </c>
      <c r="B154" s="67" t="s">
        <v>473</v>
      </c>
      <c r="C154" s="169">
        <f>+C129+C133+C140+C146+C152+C153</f>
        <v>0</v>
      </c>
      <c r="D154" s="169">
        <f>+D129+D133+D140+D146+D152+D153</f>
        <v>0</v>
      </c>
    </row>
    <row r="155" spans="1:4" ht="13.5" thickBot="1">
      <c r="A155" s="368" t="s">
        <v>26</v>
      </c>
      <c r="B155" s="172" t="s">
        <v>472</v>
      </c>
      <c r="C155" s="169">
        <f>+C128+C154</f>
        <v>0</v>
      </c>
      <c r="D155" s="169">
        <f>+D128+D154</f>
        <v>0</v>
      </c>
    </row>
    <row r="156" spans="1:4" ht="15" customHeight="1" thickBot="1"/>
    <row r="157" spans="1:4" ht="14.25" customHeight="1" thickBot="1">
      <c r="A157" s="95" t="s">
        <v>514</v>
      </c>
      <c r="B157" s="96"/>
      <c r="C157" s="97"/>
      <c r="D157" s="97"/>
    </row>
    <row r="158" spans="1:4" ht="13.5" thickBot="1">
      <c r="A158" s="95" t="s">
        <v>196</v>
      </c>
      <c r="B158" s="96"/>
      <c r="C158" s="97"/>
      <c r="D158" s="97"/>
    </row>
  </sheetData>
  <sheetProtection formatCells="0"/>
  <phoneticPr fontId="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44" orientation="portrait" verticalDpi="300" r:id="rId1"/>
  <headerFooter alignWithMargins="0">
    <oddFooter>&amp;P. oldal, összesen: &amp;N</oddFooter>
  </headerFooter>
  <rowBreaks count="1" manualBreakCount="1"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indexed="48"/>
  </sheetPr>
  <dimension ref="A1:D61"/>
  <sheetViews>
    <sheetView zoomScaleNormal="100" workbookViewId="0">
      <selection activeCell="B1" sqref="B1"/>
    </sheetView>
  </sheetViews>
  <sheetFormatPr defaultRowHeight="12.75"/>
  <cols>
    <col min="1" max="1" width="13.83203125" style="93" customWidth="1"/>
    <col min="2" max="2" width="79.1640625" style="44" customWidth="1"/>
    <col min="3" max="4" width="25" style="44" customWidth="1"/>
    <col min="5" max="16384" width="9.33203125" style="44"/>
  </cols>
  <sheetData>
    <row r="1" spans="1:4" s="30" customFormat="1" ht="21" customHeight="1" thickBot="1">
      <c r="A1" s="28"/>
      <c r="B1" s="29" t="s">
        <v>733</v>
      </c>
      <c r="C1" s="29"/>
      <c r="D1" s="29"/>
    </row>
    <row r="2" spans="1:4" s="34" customFormat="1" ht="33" customHeight="1">
      <c r="A2" s="31" t="s">
        <v>194</v>
      </c>
      <c r="B2" s="32" t="s">
        <v>541</v>
      </c>
      <c r="C2" s="33" t="s">
        <v>56</v>
      </c>
      <c r="D2" s="33" t="s">
        <v>56</v>
      </c>
    </row>
    <row r="3" spans="1:4" s="34" customFormat="1" ht="24.75" thickBot="1">
      <c r="A3" s="35" t="s">
        <v>193</v>
      </c>
      <c r="B3" s="36" t="s">
        <v>417</v>
      </c>
      <c r="C3" s="37" t="s">
        <v>56</v>
      </c>
      <c r="D3" s="37" t="s">
        <v>56</v>
      </c>
    </row>
    <row r="4" spans="1:4" s="40" customFormat="1" ht="15.95" customHeight="1" thickBot="1">
      <c r="A4" s="38"/>
      <c r="B4" s="38"/>
      <c r="C4" s="39" t="s">
        <v>597</v>
      </c>
      <c r="D4" s="39" t="s">
        <v>597</v>
      </c>
    </row>
    <row r="5" spans="1:4" ht="24.75" thickBot="1">
      <c r="A5" s="41" t="s">
        <v>195</v>
      </c>
      <c r="B5" s="42" t="s">
        <v>52</v>
      </c>
      <c r="C5" s="43" t="s">
        <v>613</v>
      </c>
      <c r="D5" s="43" t="s">
        <v>709</v>
      </c>
    </row>
    <row r="6" spans="1:4" s="48" customFormat="1" ht="12.95" customHeight="1" thickBot="1">
      <c r="A6" s="45" t="s">
        <v>487</v>
      </c>
      <c r="B6" s="46" t="s">
        <v>488</v>
      </c>
      <c r="C6" s="47" t="s">
        <v>489</v>
      </c>
      <c r="D6" s="47" t="s">
        <v>489</v>
      </c>
    </row>
    <row r="7" spans="1:4" s="48" customFormat="1" ht="15.95" customHeight="1" thickBot="1">
      <c r="A7" s="49"/>
      <c r="B7" s="50" t="s">
        <v>53</v>
      </c>
      <c r="C7" s="51"/>
      <c r="D7" s="51"/>
    </row>
    <row r="8" spans="1:4" s="54" customFormat="1" ht="12" customHeight="1" thickBot="1">
      <c r="A8" s="45" t="s">
        <v>16</v>
      </c>
      <c r="B8" s="52" t="s">
        <v>515</v>
      </c>
      <c r="C8" s="53">
        <f>SUM(C9:C19)</f>
        <v>1390790</v>
      </c>
      <c r="D8" s="53">
        <f>SUM(D9:D19)</f>
        <v>1948790</v>
      </c>
    </row>
    <row r="9" spans="1:4" s="54" customFormat="1" ht="12" customHeight="1">
      <c r="A9" s="55" t="s">
        <v>95</v>
      </c>
      <c r="B9" s="56" t="s">
        <v>274</v>
      </c>
      <c r="C9" s="57"/>
      <c r="D9" s="57"/>
    </row>
    <row r="10" spans="1:4" s="54" customFormat="1" ht="12" customHeight="1">
      <c r="A10" s="58" t="s">
        <v>96</v>
      </c>
      <c r="B10" s="59" t="s">
        <v>275</v>
      </c>
      <c r="C10" s="60">
        <v>1390650</v>
      </c>
      <c r="D10" s="60">
        <v>1390650</v>
      </c>
    </row>
    <row r="11" spans="1:4" s="54" customFormat="1" ht="12" customHeight="1">
      <c r="A11" s="58" t="s">
        <v>97</v>
      </c>
      <c r="B11" s="59" t="s">
        <v>276</v>
      </c>
      <c r="C11" s="60"/>
      <c r="D11" s="60">
        <v>558000</v>
      </c>
    </row>
    <row r="12" spans="1:4" s="54" customFormat="1" ht="12" customHeight="1">
      <c r="A12" s="58" t="s">
        <v>98</v>
      </c>
      <c r="B12" s="59" t="s">
        <v>277</v>
      </c>
      <c r="C12" s="60"/>
      <c r="D12" s="60"/>
    </row>
    <row r="13" spans="1:4" s="54" customFormat="1" ht="12" customHeight="1">
      <c r="A13" s="58" t="s">
        <v>141</v>
      </c>
      <c r="B13" s="59" t="s">
        <v>278</v>
      </c>
      <c r="C13" s="60"/>
      <c r="D13" s="60"/>
    </row>
    <row r="14" spans="1:4" s="54" customFormat="1" ht="12" customHeight="1">
      <c r="A14" s="58" t="s">
        <v>99</v>
      </c>
      <c r="B14" s="59" t="s">
        <v>399</v>
      </c>
      <c r="C14" s="60"/>
      <c r="D14" s="60"/>
    </row>
    <row r="15" spans="1:4" s="54" customFormat="1" ht="12" customHeight="1">
      <c r="A15" s="58" t="s">
        <v>100</v>
      </c>
      <c r="B15" s="61" t="s">
        <v>400</v>
      </c>
      <c r="C15" s="60"/>
      <c r="D15" s="60"/>
    </row>
    <row r="16" spans="1:4" s="54" customFormat="1" ht="12" customHeight="1">
      <c r="A16" s="58" t="s">
        <v>110</v>
      </c>
      <c r="B16" s="59" t="s">
        <v>281</v>
      </c>
      <c r="C16" s="62">
        <v>140</v>
      </c>
      <c r="D16" s="62">
        <v>140</v>
      </c>
    </row>
    <row r="17" spans="1:4" s="63" customFormat="1" ht="12" customHeight="1">
      <c r="A17" s="58" t="s">
        <v>111</v>
      </c>
      <c r="B17" s="59" t="s">
        <v>282</v>
      </c>
      <c r="C17" s="60"/>
      <c r="D17" s="60"/>
    </row>
    <row r="18" spans="1:4" s="63" customFormat="1" ht="12" customHeight="1">
      <c r="A18" s="58" t="s">
        <v>112</v>
      </c>
      <c r="B18" s="59" t="s">
        <v>434</v>
      </c>
      <c r="C18" s="64"/>
      <c r="D18" s="64"/>
    </row>
    <row r="19" spans="1:4" s="63" customFormat="1" ht="12" customHeight="1" thickBot="1">
      <c r="A19" s="58" t="s">
        <v>113</v>
      </c>
      <c r="B19" s="61" t="s">
        <v>283</v>
      </c>
      <c r="C19" s="64"/>
      <c r="D19" s="64"/>
    </row>
    <row r="20" spans="1:4" s="54" customFormat="1" ht="12" customHeight="1" thickBot="1">
      <c r="A20" s="45" t="s">
        <v>17</v>
      </c>
      <c r="B20" s="52" t="s">
        <v>401</v>
      </c>
      <c r="C20" s="53">
        <f>SUM(C21:C23)</f>
        <v>0</v>
      </c>
      <c r="D20" s="53">
        <f>SUM(D21:D23)</f>
        <v>0</v>
      </c>
    </row>
    <row r="21" spans="1:4" s="63" customFormat="1" ht="12" customHeight="1">
      <c r="A21" s="58" t="s">
        <v>101</v>
      </c>
      <c r="B21" s="65" t="s">
        <v>251</v>
      </c>
      <c r="C21" s="60"/>
      <c r="D21" s="60"/>
    </row>
    <row r="22" spans="1:4" s="63" customFormat="1" ht="12" customHeight="1">
      <c r="A22" s="58" t="s">
        <v>102</v>
      </c>
      <c r="B22" s="59" t="s">
        <v>402</v>
      </c>
      <c r="C22" s="60"/>
      <c r="D22" s="60"/>
    </row>
    <row r="23" spans="1:4" s="63" customFormat="1" ht="12" customHeight="1">
      <c r="A23" s="58" t="s">
        <v>103</v>
      </c>
      <c r="B23" s="59" t="s">
        <v>403</v>
      </c>
      <c r="C23" s="60"/>
      <c r="D23" s="60"/>
    </row>
    <row r="24" spans="1:4" s="63" customFormat="1" ht="12" customHeight="1" thickBot="1">
      <c r="A24" s="58" t="s">
        <v>104</v>
      </c>
      <c r="B24" s="59" t="s">
        <v>516</v>
      </c>
      <c r="C24" s="60"/>
      <c r="D24" s="60"/>
    </row>
    <row r="25" spans="1:4" s="63" customFormat="1" ht="12" customHeight="1" thickBot="1">
      <c r="A25" s="66" t="s">
        <v>18</v>
      </c>
      <c r="B25" s="67" t="s">
        <v>165</v>
      </c>
      <c r="C25" s="68"/>
      <c r="D25" s="68"/>
    </row>
    <row r="26" spans="1:4" s="63" customFormat="1" ht="12" customHeight="1" thickBot="1">
      <c r="A26" s="66" t="s">
        <v>19</v>
      </c>
      <c r="B26" s="67" t="s">
        <v>517</v>
      </c>
      <c r="C26" s="53">
        <f>+C27+C28+C29</f>
        <v>0</v>
      </c>
      <c r="D26" s="53">
        <f>+D27+D28+D29</f>
        <v>0</v>
      </c>
    </row>
    <row r="27" spans="1:4" s="63" customFormat="1" ht="12" customHeight="1">
      <c r="A27" s="69" t="s">
        <v>261</v>
      </c>
      <c r="B27" s="70" t="s">
        <v>256</v>
      </c>
      <c r="C27" s="71"/>
      <c r="D27" s="71"/>
    </row>
    <row r="28" spans="1:4" s="63" customFormat="1" ht="12" customHeight="1">
      <c r="A28" s="69" t="s">
        <v>264</v>
      </c>
      <c r="B28" s="70" t="s">
        <v>402</v>
      </c>
      <c r="C28" s="60"/>
      <c r="D28" s="60"/>
    </row>
    <row r="29" spans="1:4" s="63" customFormat="1" ht="12" customHeight="1">
      <c r="A29" s="69" t="s">
        <v>265</v>
      </c>
      <c r="B29" s="72" t="s">
        <v>405</v>
      </c>
      <c r="C29" s="60"/>
      <c r="D29" s="60"/>
    </row>
    <row r="30" spans="1:4" s="63" customFormat="1" ht="12" customHeight="1" thickBot="1">
      <c r="A30" s="58" t="s">
        <v>266</v>
      </c>
      <c r="B30" s="74" t="s">
        <v>518</v>
      </c>
      <c r="C30" s="75"/>
      <c r="D30" s="75"/>
    </row>
    <row r="31" spans="1:4" s="63" customFormat="1" ht="12" customHeight="1" thickBot="1">
      <c r="A31" s="66" t="s">
        <v>20</v>
      </c>
      <c r="B31" s="67" t="s">
        <v>406</v>
      </c>
      <c r="C31" s="53">
        <f>+C32+C33+C34</f>
        <v>0</v>
      </c>
      <c r="D31" s="53">
        <f>+D32+D33+D34</f>
        <v>0</v>
      </c>
    </row>
    <row r="32" spans="1:4" s="63" customFormat="1" ht="12" customHeight="1">
      <c r="A32" s="69" t="s">
        <v>88</v>
      </c>
      <c r="B32" s="70" t="s">
        <v>288</v>
      </c>
      <c r="C32" s="71"/>
      <c r="D32" s="71"/>
    </row>
    <row r="33" spans="1:4" s="63" customFormat="1" ht="12" customHeight="1">
      <c r="A33" s="69" t="s">
        <v>89</v>
      </c>
      <c r="B33" s="72" t="s">
        <v>289</v>
      </c>
      <c r="C33" s="73"/>
      <c r="D33" s="73"/>
    </row>
    <row r="34" spans="1:4" s="63" customFormat="1" ht="12" customHeight="1" thickBot="1">
      <c r="A34" s="58" t="s">
        <v>90</v>
      </c>
      <c r="B34" s="74" t="s">
        <v>290</v>
      </c>
      <c r="C34" s="75"/>
      <c r="D34" s="75"/>
    </row>
    <row r="35" spans="1:4" s="54" customFormat="1" ht="12" customHeight="1" thickBot="1">
      <c r="A35" s="66" t="s">
        <v>21</v>
      </c>
      <c r="B35" s="67" t="s">
        <v>375</v>
      </c>
      <c r="C35" s="68"/>
      <c r="D35" s="68"/>
    </row>
    <row r="36" spans="1:4" s="54" customFormat="1" ht="12" customHeight="1" thickBot="1">
      <c r="A36" s="66" t="s">
        <v>22</v>
      </c>
      <c r="B36" s="67" t="s">
        <v>407</v>
      </c>
      <c r="C36" s="76"/>
      <c r="D36" s="76"/>
    </row>
    <row r="37" spans="1:4" s="54" customFormat="1" ht="12" customHeight="1" thickBot="1">
      <c r="A37" s="45" t="s">
        <v>23</v>
      </c>
      <c r="B37" s="67" t="s">
        <v>408</v>
      </c>
      <c r="C37" s="77">
        <f>+C8+C20+C25+C26+C31+C35+C36</f>
        <v>1390790</v>
      </c>
      <c r="D37" s="77">
        <f>+D8+D20+D25+D26+D31+D35+D36</f>
        <v>1948790</v>
      </c>
    </row>
    <row r="38" spans="1:4" s="54" customFormat="1" ht="12" customHeight="1" thickBot="1">
      <c r="A38" s="78" t="s">
        <v>24</v>
      </c>
      <c r="B38" s="67" t="s">
        <v>409</v>
      </c>
      <c r="C38" s="77">
        <f>+C39+C40+C41</f>
        <v>114704615</v>
      </c>
      <c r="D38" s="77">
        <f>+D39+D40+D41</f>
        <v>116019967</v>
      </c>
    </row>
    <row r="39" spans="1:4" s="54" customFormat="1" ht="12" customHeight="1">
      <c r="A39" s="69" t="s">
        <v>410</v>
      </c>
      <c r="B39" s="70" t="s">
        <v>229</v>
      </c>
      <c r="C39" s="71">
        <v>440774</v>
      </c>
      <c r="D39" s="71">
        <f>440774+220515</f>
        <v>661289</v>
      </c>
    </row>
    <row r="40" spans="1:4" s="54" customFormat="1" ht="12" customHeight="1">
      <c r="A40" s="69" t="s">
        <v>411</v>
      </c>
      <c r="B40" s="72" t="s">
        <v>2</v>
      </c>
      <c r="C40" s="73"/>
      <c r="D40" s="73"/>
    </row>
    <row r="41" spans="1:4" s="63" customFormat="1" ht="12" customHeight="1" thickBot="1">
      <c r="A41" s="58" t="s">
        <v>412</v>
      </c>
      <c r="B41" s="74" t="s">
        <v>413</v>
      </c>
      <c r="C41" s="75">
        <v>114263841</v>
      </c>
      <c r="D41" s="75">
        <f>114263841-220515+1307300+8052</f>
        <v>115358678</v>
      </c>
    </row>
    <row r="42" spans="1:4" s="63" customFormat="1" ht="15" customHeight="1" thickBot="1">
      <c r="A42" s="78" t="s">
        <v>25</v>
      </c>
      <c r="B42" s="79" t="s">
        <v>414</v>
      </c>
      <c r="C42" s="80">
        <f>C37+C38</f>
        <v>116095405</v>
      </c>
      <c r="D42" s="80">
        <f>D37+D38</f>
        <v>117968757</v>
      </c>
    </row>
    <row r="43" spans="1:4" s="63" customFormat="1" ht="15" customHeight="1">
      <c r="A43" s="81"/>
      <c r="B43" s="82"/>
      <c r="C43" s="83"/>
      <c r="D43" s="83"/>
    </row>
    <row r="44" spans="1:4" ht="13.5" thickBot="1">
      <c r="A44" s="84"/>
      <c r="B44" s="85"/>
      <c r="C44" s="86"/>
      <c r="D44" s="86"/>
    </row>
    <row r="45" spans="1:4" s="48" customFormat="1" ht="16.5" customHeight="1" thickBot="1">
      <c r="A45" s="87"/>
      <c r="B45" s="88" t="s">
        <v>54</v>
      </c>
      <c r="C45" s="80"/>
      <c r="D45" s="80"/>
    </row>
    <row r="46" spans="1:4" s="89" customFormat="1" ht="12" customHeight="1" thickBot="1">
      <c r="A46" s="66" t="s">
        <v>16</v>
      </c>
      <c r="B46" s="67" t="s">
        <v>415</v>
      </c>
      <c r="C46" s="53">
        <f>SUM(C47:C51)</f>
        <v>116095405</v>
      </c>
      <c r="D46" s="53">
        <f>SUM(D47:D51)</f>
        <v>117841757</v>
      </c>
    </row>
    <row r="47" spans="1:4" ht="12" customHeight="1">
      <c r="A47" s="58" t="s">
        <v>95</v>
      </c>
      <c r="B47" s="65" t="s">
        <v>46</v>
      </c>
      <c r="C47" s="71">
        <v>72692781</v>
      </c>
      <c r="D47" s="71">
        <f>72692781-479638+17000+1066900+6600</f>
        <v>73303643</v>
      </c>
    </row>
    <row r="48" spans="1:4" ht="12" customHeight="1">
      <c r="A48" s="58" t="s">
        <v>96</v>
      </c>
      <c r="B48" s="59" t="s">
        <v>174</v>
      </c>
      <c r="C48" s="90">
        <v>16986003</v>
      </c>
      <c r="D48" s="90">
        <f>16986003-17000+240400+1452</f>
        <v>17210855</v>
      </c>
    </row>
    <row r="49" spans="1:4" ht="12" customHeight="1">
      <c r="A49" s="58" t="s">
        <v>97</v>
      </c>
      <c r="B49" s="59" t="s">
        <v>133</v>
      </c>
      <c r="C49" s="90">
        <v>26416621</v>
      </c>
      <c r="D49" s="90">
        <f>26416621-127000+479638+558000</f>
        <v>27327259</v>
      </c>
    </row>
    <row r="50" spans="1:4" ht="12" customHeight="1">
      <c r="A50" s="58" t="s">
        <v>98</v>
      </c>
      <c r="B50" s="59" t="s">
        <v>175</v>
      </c>
      <c r="C50" s="90"/>
      <c r="D50" s="90"/>
    </row>
    <row r="51" spans="1:4" ht="12" customHeight="1" thickBot="1">
      <c r="A51" s="58" t="s">
        <v>141</v>
      </c>
      <c r="B51" s="59" t="s">
        <v>176</v>
      </c>
      <c r="C51" s="90"/>
      <c r="D51" s="90"/>
    </row>
    <row r="52" spans="1:4" ht="12" customHeight="1" thickBot="1">
      <c r="A52" s="66" t="s">
        <v>17</v>
      </c>
      <c r="B52" s="67" t="s">
        <v>416</v>
      </c>
      <c r="C52" s="53">
        <f>SUM(C53:C55)</f>
        <v>0</v>
      </c>
      <c r="D52" s="53">
        <f>SUM(D53:D55)</f>
        <v>127000</v>
      </c>
    </row>
    <row r="53" spans="1:4" s="89" customFormat="1" ht="12" customHeight="1">
      <c r="A53" s="58" t="s">
        <v>101</v>
      </c>
      <c r="B53" s="65" t="s">
        <v>219</v>
      </c>
      <c r="C53" s="71"/>
      <c r="D53" s="71">
        <f>127000</f>
        <v>127000</v>
      </c>
    </row>
    <row r="54" spans="1:4" ht="12" customHeight="1">
      <c r="A54" s="58" t="s">
        <v>102</v>
      </c>
      <c r="B54" s="59" t="s">
        <v>178</v>
      </c>
      <c r="C54" s="90"/>
      <c r="D54" s="90"/>
    </row>
    <row r="55" spans="1:4" ht="12" customHeight="1">
      <c r="A55" s="58" t="s">
        <v>103</v>
      </c>
      <c r="B55" s="59" t="s">
        <v>55</v>
      </c>
      <c r="C55" s="90"/>
      <c r="D55" s="90"/>
    </row>
    <row r="56" spans="1:4" ht="12" customHeight="1" thickBot="1">
      <c r="A56" s="58" t="s">
        <v>104</v>
      </c>
      <c r="B56" s="59" t="s">
        <v>519</v>
      </c>
      <c r="C56" s="90"/>
      <c r="D56" s="90"/>
    </row>
    <row r="57" spans="1:4" ht="15" customHeight="1" thickBot="1">
      <c r="A57" s="66" t="s">
        <v>18</v>
      </c>
      <c r="B57" s="67" t="s">
        <v>12</v>
      </c>
      <c r="C57" s="68"/>
      <c r="D57" s="68"/>
    </row>
    <row r="58" spans="1:4" ht="13.5" thickBot="1">
      <c r="A58" s="66" t="s">
        <v>19</v>
      </c>
      <c r="B58" s="91" t="s">
        <v>524</v>
      </c>
      <c r="C58" s="92">
        <f>+C46+C52+C57</f>
        <v>116095405</v>
      </c>
      <c r="D58" s="92">
        <f>+D46+D52+D57</f>
        <v>117968757</v>
      </c>
    </row>
    <row r="59" spans="1:4" ht="15" customHeight="1" thickBot="1">
      <c r="C59" s="94"/>
      <c r="D59" s="94"/>
    </row>
    <row r="60" spans="1:4" ht="14.25" customHeight="1" thickBot="1">
      <c r="A60" s="95" t="s">
        <v>514</v>
      </c>
      <c r="B60" s="96"/>
      <c r="C60" s="97">
        <v>20</v>
      </c>
      <c r="D60" s="97">
        <v>20</v>
      </c>
    </row>
    <row r="61" spans="1:4" ht="13.5" thickBot="1">
      <c r="A61" s="95" t="s">
        <v>196</v>
      </c>
      <c r="B61" s="96"/>
      <c r="C61" s="97"/>
      <c r="D61" s="9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49" orientation="portrait" verticalDpi="300" r:id="rId1"/>
  <headerFooter alignWithMargins="0">
    <oddFooter>&amp;P. oldal, összesen: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indexed="48"/>
  </sheetPr>
  <dimension ref="A1:D61"/>
  <sheetViews>
    <sheetView zoomScaleNormal="100" workbookViewId="0">
      <selection activeCell="B1" sqref="B1"/>
    </sheetView>
  </sheetViews>
  <sheetFormatPr defaultRowHeight="12.75"/>
  <cols>
    <col min="1" max="1" width="13.83203125" style="93" customWidth="1"/>
    <col min="2" max="2" width="79.1640625" style="44" customWidth="1"/>
    <col min="3" max="4" width="25" style="44" customWidth="1"/>
    <col min="5" max="16384" width="9.33203125" style="44"/>
  </cols>
  <sheetData>
    <row r="1" spans="1:4" s="30" customFormat="1" ht="21" customHeight="1" thickBot="1">
      <c r="A1" s="28"/>
      <c r="B1" s="29" t="s">
        <v>734</v>
      </c>
      <c r="C1" s="29"/>
      <c r="D1" s="29"/>
    </row>
    <row r="2" spans="1:4" s="34" customFormat="1" ht="34.5" customHeight="1">
      <c r="A2" s="31" t="s">
        <v>194</v>
      </c>
      <c r="B2" s="32" t="s">
        <v>555</v>
      </c>
      <c r="C2" s="33" t="s">
        <v>56</v>
      </c>
      <c r="D2" s="33" t="s">
        <v>56</v>
      </c>
    </row>
    <row r="3" spans="1:4" s="34" customFormat="1" ht="24.75" thickBot="1">
      <c r="A3" s="35" t="s">
        <v>193</v>
      </c>
      <c r="B3" s="36" t="s">
        <v>398</v>
      </c>
      <c r="C3" s="37" t="s">
        <v>51</v>
      </c>
      <c r="D3" s="37" t="s">
        <v>51</v>
      </c>
    </row>
    <row r="4" spans="1:4" s="40" customFormat="1" ht="15.95" customHeight="1" thickBot="1">
      <c r="A4" s="38"/>
      <c r="B4" s="38"/>
      <c r="C4" s="39" t="s">
        <v>597</v>
      </c>
      <c r="D4" s="39" t="s">
        <v>597</v>
      </c>
    </row>
    <row r="5" spans="1:4" ht="24.75" thickBot="1">
      <c r="A5" s="41" t="s">
        <v>195</v>
      </c>
      <c r="B5" s="42" t="s">
        <v>52</v>
      </c>
      <c r="C5" s="43" t="s">
        <v>613</v>
      </c>
      <c r="D5" s="43" t="s">
        <v>709</v>
      </c>
    </row>
    <row r="6" spans="1:4" s="48" customFormat="1" ht="12.95" customHeight="1" thickBot="1">
      <c r="A6" s="45" t="s">
        <v>487</v>
      </c>
      <c r="B6" s="46" t="s">
        <v>488</v>
      </c>
      <c r="C6" s="47" t="s">
        <v>489</v>
      </c>
      <c r="D6" s="47" t="s">
        <v>489</v>
      </c>
    </row>
    <row r="7" spans="1:4" s="48" customFormat="1" ht="15.95" customHeight="1" thickBot="1">
      <c r="A7" s="49"/>
      <c r="B7" s="50" t="s">
        <v>53</v>
      </c>
      <c r="C7" s="51"/>
      <c r="D7" s="51"/>
    </row>
    <row r="8" spans="1:4" s="54" customFormat="1" ht="12" customHeight="1" thickBot="1">
      <c r="A8" s="45" t="s">
        <v>16</v>
      </c>
      <c r="B8" s="52" t="s">
        <v>515</v>
      </c>
      <c r="C8" s="53">
        <f>SUM(C9:C19)</f>
        <v>762140</v>
      </c>
      <c r="D8" s="53">
        <f>SUM(D9:D19)</f>
        <v>1320140</v>
      </c>
    </row>
    <row r="9" spans="1:4" s="54" customFormat="1" ht="12" customHeight="1">
      <c r="A9" s="55" t="s">
        <v>95</v>
      </c>
      <c r="B9" s="56" t="s">
        <v>274</v>
      </c>
      <c r="C9" s="57"/>
      <c r="D9" s="57"/>
    </row>
    <row r="10" spans="1:4" s="54" customFormat="1" ht="12" customHeight="1">
      <c r="A10" s="58" t="s">
        <v>96</v>
      </c>
      <c r="B10" s="59" t="s">
        <v>275</v>
      </c>
      <c r="C10" s="60">
        <v>762000</v>
      </c>
      <c r="D10" s="60">
        <v>762000</v>
      </c>
    </row>
    <row r="11" spans="1:4" s="54" customFormat="1" ht="12" customHeight="1">
      <c r="A11" s="58" t="s">
        <v>97</v>
      </c>
      <c r="B11" s="59" t="s">
        <v>276</v>
      </c>
      <c r="C11" s="60"/>
      <c r="D11" s="60">
        <v>558000</v>
      </c>
    </row>
    <row r="12" spans="1:4" s="54" customFormat="1" ht="12" customHeight="1">
      <c r="A12" s="58" t="s">
        <v>98</v>
      </c>
      <c r="B12" s="59" t="s">
        <v>277</v>
      </c>
      <c r="C12" s="60"/>
      <c r="D12" s="60"/>
    </row>
    <row r="13" spans="1:4" s="54" customFormat="1" ht="12" customHeight="1">
      <c r="A13" s="58" t="s">
        <v>141</v>
      </c>
      <c r="B13" s="59" t="s">
        <v>278</v>
      </c>
      <c r="C13" s="60"/>
      <c r="D13" s="60"/>
    </row>
    <row r="14" spans="1:4" s="54" customFormat="1" ht="12" customHeight="1">
      <c r="A14" s="58" t="s">
        <v>99</v>
      </c>
      <c r="B14" s="59" t="s">
        <v>399</v>
      </c>
      <c r="C14" s="60"/>
      <c r="D14" s="60"/>
    </row>
    <row r="15" spans="1:4" s="54" customFormat="1" ht="12" customHeight="1">
      <c r="A15" s="58" t="s">
        <v>100</v>
      </c>
      <c r="B15" s="61" t="s">
        <v>400</v>
      </c>
      <c r="C15" s="60"/>
      <c r="D15" s="60"/>
    </row>
    <row r="16" spans="1:4" s="54" customFormat="1" ht="12" customHeight="1">
      <c r="A16" s="58" t="s">
        <v>110</v>
      </c>
      <c r="B16" s="59" t="s">
        <v>281</v>
      </c>
      <c r="C16" s="62">
        <v>140</v>
      </c>
      <c r="D16" s="62">
        <v>140</v>
      </c>
    </row>
    <row r="17" spans="1:4" s="63" customFormat="1" ht="12" customHeight="1">
      <c r="A17" s="58" t="s">
        <v>111</v>
      </c>
      <c r="B17" s="59" t="s">
        <v>282</v>
      </c>
      <c r="C17" s="60"/>
      <c r="D17" s="60"/>
    </row>
    <row r="18" spans="1:4" s="63" customFormat="1" ht="12" customHeight="1">
      <c r="A18" s="58" t="s">
        <v>112</v>
      </c>
      <c r="B18" s="59" t="s">
        <v>434</v>
      </c>
      <c r="C18" s="64"/>
      <c r="D18" s="64"/>
    </row>
    <row r="19" spans="1:4" s="63" customFormat="1" ht="12" customHeight="1" thickBot="1">
      <c r="A19" s="58" t="s">
        <v>113</v>
      </c>
      <c r="B19" s="61" t="s">
        <v>283</v>
      </c>
      <c r="C19" s="64"/>
      <c r="D19" s="64"/>
    </row>
    <row r="20" spans="1:4" s="54" customFormat="1" ht="12" customHeight="1" thickBot="1">
      <c r="A20" s="45" t="s">
        <v>17</v>
      </c>
      <c r="B20" s="52" t="s">
        <v>401</v>
      </c>
      <c r="C20" s="53">
        <f>SUM(C21:C23)</f>
        <v>0</v>
      </c>
      <c r="D20" s="53">
        <f>SUM(D21:D23)</f>
        <v>0</v>
      </c>
    </row>
    <row r="21" spans="1:4" s="63" customFormat="1" ht="12" customHeight="1">
      <c r="A21" s="58" t="s">
        <v>101</v>
      </c>
      <c r="B21" s="65" t="s">
        <v>251</v>
      </c>
      <c r="C21" s="60"/>
      <c r="D21" s="60"/>
    </row>
    <row r="22" spans="1:4" s="63" customFormat="1" ht="12" customHeight="1">
      <c r="A22" s="58" t="s">
        <v>102</v>
      </c>
      <c r="B22" s="59" t="s">
        <v>402</v>
      </c>
      <c r="C22" s="60"/>
      <c r="D22" s="60"/>
    </row>
    <row r="23" spans="1:4" s="63" customFormat="1" ht="12" customHeight="1">
      <c r="A23" s="58" t="s">
        <v>103</v>
      </c>
      <c r="B23" s="59" t="s">
        <v>403</v>
      </c>
      <c r="C23" s="60"/>
      <c r="D23" s="60"/>
    </row>
    <row r="24" spans="1:4" s="63" customFormat="1" ht="12" customHeight="1" thickBot="1">
      <c r="A24" s="58" t="s">
        <v>104</v>
      </c>
      <c r="B24" s="59" t="s">
        <v>516</v>
      </c>
      <c r="C24" s="60"/>
      <c r="D24" s="60"/>
    </row>
    <row r="25" spans="1:4" s="63" customFormat="1" ht="12" customHeight="1" thickBot="1">
      <c r="A25" s="66" t="s">
        <v>18</v>
      </c>
      <c r="B25" s="67" t="s">
        <v>165</v>
      </c>
      <c r="C25" s="68"/>
      <c r="D25" s="68"/>
    </row>
    <row r="26" spans="1:4" s="63" customFormat="1" ht="12" customHeight="1" thickBot="1">
      <c r="A26" s="66" t="s">
        <v>19</v>
      </c>
      <c r="B26" s="67" t="s">
        <v>517</v>
      </c>
      <c r="C26" s="53">
        <f>+C27+C28+C29</f>
        <v>0</v>
      </c>
      <c r="D26" s="53">
        <f>+D27+D28+D29</f>
        <v>0</v>
      </c>
    </row>
    <row r="27" spans="1:4" s="63" customFormat="1" ht="12" customHeight="1">
      <c r="A27" s="69" t="s">
        <v>261</v>
      </c>
      <c r="B27" s="70" t="s">
        <v>256</v>
      </c>
      <c r="C27" s="71"/>
      <c r="D27" s="71"/>
    </row>
    <row r="28" spans="1:4" s="63" customFormat="1" ht="12" customHeight="1">
      <c r="A28" s="69" t="s">
        <v>264</v>
      </c>
      <c r="B28" s="70" t="s">
        <v>402</v>
      </c>
      <c r="C28" s="60"/>
      <c r="D28" s="60"/>
    </row>
    <row r="29" spans="1:4" s="63" customFormat="1" ht="12" customHeight="1">
      <c r="A29" s="69" t="s">
        <v>265</v>
      </c>
      <c r="B29" s="72" t="s">
        <v>405</v>
      </c>
      <c r="C29" s="60"/>
      <c r="D29" s="60"/>
    </row>
    <row r="30" spans="1:4" s="63" customFormat="1" ht="12" customHeight="1" thickBot="1">
      <c r="A30" s="58" t="s">
        <v>266</v>
      </c>
      <c r="B30" s="74" t="s">
        <v>518</v>
      </c>
      <c r="C30" s="75"/>
      <c r="D30" s="75"/>
    </row>
    <row r="31" spans="1:4" s="63" customFormat="1" ht="12" customHeight="1" thickBot="1">
      <c r="A31" s="66" t="s">
        <v>20</v>
      </c>
      <c r="B31" s="67" t="s">
        <v>406</v>
      </c>
      <c r="C31" s="53">
        <f>+C32+C33+C34</f>
        <v>0</v>
      </c>
      <c r="D31" s="53">
        <f>+D32+D33+D34</f>
        <v>0</v>
      </c>
    </row>
    <row r="32" spans="1:4" s="63" customFormat="1" ht="12" customHeight="1">
      <c r="A32" s="69" t="s">
        <v>88</v>
      </c>
      <c r="B32" s="70" t="s">
        <v>288</v>
      </c>
      <c r="C32" s="71"/>
      <c r="D32" s="71"/>
    </row>
    <row r="33" spans="1:4" s="63" customFormat="1" ht="12" customHeight="1">
      <c r="A33" s="69" t="s">
        <v>89</v>
      </c>
      <c r="B33" s="72" t="s">
        <v>289</v>
      </c>
      <c r="C33" s="73"/>
      <c r="D33" s="73"/>
    </row>
    <row r="34" spans="1:4" s="63" customFormat="1" ht="12" customHeight="1" thickBot="1">
      <c r="A34" s="58" t="s">
        <v>90</v>
      </c>
      <c r="B34" s="74" t="s">
        <v>290</v>
      </c>
      <c r="C34" s="75"/>
      <c r="D34" s="75"/>
    </row>
    <row r="35" spans="1:4" s="54" customFormat="1" ht="12" customHeight="1" thickBot="1">
      <c r="A35" s="66" t="s">
        <v>21</v>
      </c>
      <c r="B35" s="67" t="s">
        <v>375</v>
      </c>
      <c r="C35" s="68"/>
      <c r="D35" s="68"/>
    </row>
    <row r="36" spans="1:4" s="54" customFormat="1" ht="12" customHeight="1" thickBot="1">
      <c r="A36" s="66" t="s">
        <v>22</v>
      </c>
      <c r="B36" s="67" t="s">
        <v>407</v>
      </c>
      <c r="C36" s="76"/>
      <c r="D36" s="76"/>
    </row>
    <row r="37" spans="1:4" s="54" customFormat="1" ht="12" customHeight="1" thickBot="1">
      <c r="A37" s="45" t="s">
        <v>23</v>
      </c>
      <c r="B37" s="67" t="s">
        <v>408</v>
      </c>
      <c r="C37" s="77">
        <f>+C8+C20+C25+C26+C31+C35+C36</f>
        <v>762140</v>
      </c>
      <c r="D37" s="77">
        <f>+D8+D20+D25+D26+D31+D35+D36</f>
        <v>1320140</v>
      </c>
    </row>
    <row r="38" spans="1:4" s="54" customFormat="1" ht="12" customHeight="1" thickBot="1">
      <c r="A38" s="78" t="s">
        <v>24</v>
      </c>
      <c r="B38" s="67" t="s">
        <v>409</v>
      </c>
      <c r="C38" s="77">
        <f>+C39+C40+C41</f>
        <v>64924497</v>
      </c>
      <c r="D38" s="77">
        <f>+D39+D40+D41</f>
        <v>66231797</v>
      </c>
    </row>
    <row r="39" spans="1:4" s="54" customFormat="1" ht="12" customHeight="1">
      <c r="A39" s="69" t="s">
        <v>410</v>
      </c>
      <c r="B39" s="70" t="s">
        <v>229</v>
      </c>
      <c r="C39" s="71">
        <v>440774</v>
      </c>
      <c r="D39" s="71">
        <f>440774+220515</f>
        <v>661289</v>
      </c>
    </row>
    <row r="40" spans="1:4" s="54" customFormat="1" ht="12" customHeight="1">
      <c r="A40" s="69" t="s">
        <v>411</v>
      </c>
      <c r="B40" s="72" t="s">
        <v>2</v>
      </c>
      <c r="C40" s="73"/>
      <c r="D40" s="73"/>
    </row>
    <row r="41" spans="1:4" s="63" customFormat="1" ht="12" customHeight="1" thickBot="1">
      <c r="A41" s="58" t="s">
        <v>412</v>
      </c>
      <c r="B41" s="74" t="s">
        <v>413</v>
      </c>
      <c r="C41" s="75">
        <v>64483723</v>
      </c>
      <c r="D41" s="75">
        <f>64483723-220515+1307300</f>
        <v>65570508</v>
      </c>
    </row>
    <row r="42" spans="1:4" s="63" customFormat="1" ht="15" customHeight="1" thickBot="1">
      <c r="A42" s="78" t="s">
        <v>25</v>
      </c>
      <c r="B42" s="79" t="s">
        <v>414</v>
      </c>
      <c r="C42" s="80">
        <f>C37+C38</f>
        <v>65686637</v>
      </c>
      <c r="D42" s="80">
        <f>D37+D38</f>
        <v>67551937</v>
      </c>
    </row>
    <row r="43" spans="1:4" s="63" customFormat="1" ht="15" customHeight="1">
      <c r="A43" s="81"/>
      <c r="B43" s="82"/>
      <c r="C43" s="83"/>
      <c r="D43" s="83"/>
    </row>
    <row r="44" spans="1:4" ht="13.5" thickBot="1">
      <c r="A44" s="84"/>
      <c r="B44" s="85"/>
      <c r="C44" s="86"/>
      <c r="D44" s="86"/>
    </row>
    <row r="45" spans="1:4" s="48" customFormat="1" ht="16.5" customHeight="1" thickBot="1">
      <c r="A45" s="87"/>
      <c r="B45" s="88" t="s">
        <v>54</v>
      </c>
      <c r="C45" s="80"/>
      <c r="D45" s="80"/>
    </row>
    <row r="46" spans="1:4" s="89" customFormat="1" ht="12" customHeight="1" thickBot="1">
      <c r="A46" s="66" t="s">
        <v>16</v>
      </c>
      <c r="B46" s="67" t="s">
        <v>415</v>
      </c>
      <c r="C46" s="53">
        <f>SUM(C47:C51)</f>
        <v>65686637</v>
      </c>
      <c r="D46" s="53">
        <f>SUM(D47:D51)</f>
        <v>67424937</v>
      </c>
    </row>
    <row r="47" spans="1:4" ht="12" customHeight="1">
      <c r="A47" s="58" t="s">
        <v>95</v>
      </c>
      <c r="B47" s="65" t="s">
        <v>46</v>
      </c>
      <c r="C47" s="71">
        <v>35839821</v>
      </c>
      <c r="D47" s="71">
        <f>35839821-262390+9300+1066900</f>
        <v>36653631</v>
      </c>
    </row>
    <row r="48" spans="1:4" ht="12" customHeight="1">
      <c r="A48" s="58" t="s">
        <v>96</v>
      </c>
      <c r="B48" s="59" t="s">
        <v>174</v>
      </c>
      <c r="C48" s="90">
        <v>8495300</v>
      </c>
      <c r="D48" s="90">
        <f>8495300-9300+240400</f>
        <v>8726400</v>
      </c>
    </row>
    <row r="49" spans="1:4" ht="12" customHeight="1">
      <c r="A49" s="58" t="s">
        <v>97</v>
      </c>
      <c r="B49" s="59" t="s">
        <v>133</v>
      </c>
      <c r="C49" s="90">
        <v>21351516</v>
      </c>
      <c r="D49" s="90">
        <f>21351516-127000+262390+558000</f>
        <v>22044906</v>
      </c>
    </row>
    <row r="50" spans="1:4" ht="12" customHeight="1">
      <c r="A50" s="58" t="s">
        <v>98</v>
      </c>
      <c r="B50" s="59" t="s">
        <v>175</v>
      </c>
      <c r="C50" s="90"/>
      <c r="D50" s="90"/>
    </row>
    <row r="51" spans="1:4" ht="12" customHeight="1" thickBot="1">
      <c r="A51" s="58" t="s">
        <v>141</v>
      </c>
      <c r="B51" s="59" t="s">
        <v>176</v>
      </c>
      <c r="C51" s="90"/>
      <c r="D51" s="90"/>
    </row>
    <row r="52" spans="1:4" ht="12" customHeight="1" thickBot="1">
      <c r="A52" s="66" t="s">
        <v>17</v>
      </c>
      <c r="B52" s="67" t="s">
        <v>416</v>
      </c>
      <c r="C52" s="53">
        <f>SUM(C53:C55)</f>
        <v>0</v>
      </c>
      <c r="D52" s="53">
        <f>SUM(D53:D55)</f>
        <v>127000</v>
      </c>
    </row>
    <row r="53" spans="1:4" s="89" customFormat="1" ht="12" customHeight="1">
      <c r="A53" s="58" t="s">
        <v>101</v>
      </c>
      <c r="B53" s="65" t="s">
        <v>219</v>
      </c>
      <c r="C53" s="71"/>
      <c r="D53" s="71">
        <f>127000</f>
        <v>127000</v>
      </c>
    </row>
    <row r="54" spans="1:4" ht="12" customHeight="1">
      <c r="A54" s="58" t="s">
        <v>102</v>
      </c>
      <c r="B54" s="59" t="s">
        <v>178</v>
      </c>
      <c r="C54" s="90"/>
      <c r="D54" s="90"/>
    </row>
    <row r="55" spans="1:4" ht="12" customHeight="1">
      <c r="A55" s="58" t="s">
        <v>103</v>
      </c>
      <c r="B55" s="59" t="s">
        <v>55</v>
      </c>
      <c r="C55" s="90"/>
      <c r="D55" s="90"/>
    </row>
    <row r="56" spans="1:4" ht="12" customHeight="1" thickBot="1">
      <c r="A56" s="58" t="s">
        <v>104</v>
      </c>
      <c r="B56" s="59" t="s">
        <v>519</v>
      </c>
      <c r="C56" s="90"/>
      <c r="D56" s="90"/>
    </row>
    <row r="57" spans="1:4" ht="12" customHeight="1" thickBot="1">
      <c r="A57" s="66" t="s">
        <v>18</v>
      </c>
      <c r="B57" s="67" t="s">
        <v>12</v>
      </c>
      <c r="C57" s="68"/>
      <c r="D57" s="68"/>
    </row>
    <row r="58" spans="1:4" ht="15" customHeight="1" thickBot="1">
      <c r="A58" s="66" t="s">
        <v>19</v>
      </c>
      <c r="B58" s="91" t="s">
        <v>524</v>
      </c>
      <c r="C58" s="92">
        <f>+C46+C52+C57</f>
        <v>65686637</v>
      </c>
      <c r="D58" s="92">
        <f>+D46+D52+D57</f>
        <v>67551937</v>
      </c>
    </row>
    <row r="59" spans="1:4" ht="13.5" thickBot="1">
      <c r="C59" s="94"/>
      <c r="D59" s="94"/>
    </row>
    <row r="60" spans="1:4" ht="15" customHeight="1" thickBot="1">
      <c r="A60" s="95" t="s">
        <v>514</v>
      </c>
      <c r="B60" s="96"/>
      <c r="C60" s="97">
        <v>11</v>
      </c>
      <c r="D60" s="97">
        <v>11</v>
      </c>
    </row>
    <row r="61" spans="1:4" ht="14.25" customHeight="1" thickBot="1">
      <c r="A61" s="95" t="s">
        <v>196</v>
      </c>
      <c r="B61" s="96"/>
      <c r="C61" s="97"/>
      <c r="D61" s="9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49" orientation="portrait" verticalDpi="300" r:id="rId1"/>
  <headerFooter alignWithMargins="0">
    <oddFooter>&amp;P. oldal, összesen: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indexed="48"/>
  </sheetPr>
  <dimension ref="A1:D61"/>
  <sheetViews>
    <sheetView zoomScaleNormal="100" workbookViewId="0">
      <selection activeCell="B1" sqref="B1"/>
    </sheetView>
  </sheetViews>
  <sheetFormatPr defaultRowHeight="12.75"/>
  <cols>
    <col min="1" max="1" width="13.83203125" style="93" customWidth="1"/>
    <col min="2" max="2" width="79.1640625" style="44" customWidth="1"/>
    <col min="3" max="4" width="25" style="44" customWidth="1"/>
    <col min="5" max="16384" width="9.33203125" style="44"/>
  </cols>
  <sheetData>
    <row r="1" spans="1:4" s="30" customFormat="1" ht="21" customHeight="1" thickBot="1">
      <c r="A1" s="28"/>
      <c r="B1" s="29" t="s">
        <v>735</v>
      </c>
      <c r="C1" s="29"/>
      <c r="D1" s="29"/>
    </row>
    <row r="2" spans="1:4" s="34" customFormat="1" ht="34.5" customHeight="1">
      <c r="A2" s="31" t="s">
        <v>194</v>
      </c>
      <c r="B2" s="32" t="s">
        <v>556</v>
      </c>
      <c r="C2" s="33" t="s">
        <v>56</v>
      </c>
      <c r="D2" s="33" t="s">
        <v>56</v>
      </c>
    </row>
    <row r="3" spans="1:4" s="34" customFormat="1" ht="24.75" thickBot="1">
      <c r="A3" s="35" t="s">
        <v>193</v>
      </c>
      <c r="B3" s="36" t="s">
        <v>398</v>
      </c>
      <c r="C3" s="37" t="s">
        <v>51</v>
      </c>
      <c r="D3" s="37" t="s">
        <v>51</v>
      </c>
    </row>
    <row r="4" spans="1:4" s="40" customFormat="1" ht="15.95" customHeight="1" thickBot="1">
      <c r="A4" s="38"/>
      <c r="B4" s="38"/>
      <c r="C4" s="39" t="s">
        <v>597</v>
      </c>
      <c r="D4" s="39" t="s">
        <v>597</v>
      </c>
    </row>
    <row r="5" spans="1:4" ht="24.75" thickBot="1">
      <c r="A5" s="41" t="s">
        <v>195</v>
      </c>
      <c r="B5" s="42" t="s">
        <v>52</v>
      </c>
      <c r="C5" s="43" t="s">
        <v>613</v>
      </c>
      <c r="D5" s="43" t="s">
        <v>709</v>
      </c>
    </row>
    <row r="6" spans="1:4" s="48" customFormat="1" ht="12.95" customHeight="1" thickBot="1">
      <c r="A6" s="45" t="s">
        <v>487</v>
      </c>
      <c r="B6" s="46" t="s">
        <v>488</v>
      </c>
      <c r="C6" s="47" t="s">
        <v>489</v>
      </c>
      <c r="D6" s="47" t="s">
        <v>489</v>
      </c>
    </row>
    <row r="7" spans="1:4" s="48" customFormat="1" ht="15.95" customHeight="1" thickBot="1">
      <c r="A7" s="49"/>
      <c r="B7" s="50" t="s">
        <v>53</v>
      </c>
      <c r="C7" s="51"/>
      <c r="D7" s="51"/>
    </row>
    <row r="8" spans="1:4" s="54" customFormat="1" ht="12" customHeight="1" thickBot="1">
      <c r="A8" s="45" t="s">
        <v>16</v>
      </c>
      <c r="B8" s="52" t="s">
        <v>515</v>
      </c>
      <c r="C8" s="53">
        <f>SUM(C9:C19)</f>
        <v>628650</v>
      </c>
      <c r="D8" s="53">
        <f>SUM(D9:D19)</f>
        <v>628650</v>
      </c>
    </row>
    <row r="9" spans="1:4" s="54" customFormat="1" ht="12" customHeight="1">
      <c r="A9" s="55" t="s">
        <v>95</v>
      </c>
      <c r="B9" s="56" t="s">
        <v>274</v>
      </c>
      <c r="C9" s="57"/>
      <c r="D9" s="57"/>
    </row>
    <row r="10" spans="1:4" s="54" customFormat="1" ht="12" customHeight="1">
      <c r="A10" s="58" t="s">
        <v>96</v>
      </c>
      <c r="B10" s="59" t="s">
        <v>275</v>
      </c>
      <c r="C10" s="60">
        <v>628650</v>
      </c>
      <c r="D10" s="60">
        <v>628650</v>
      </c>
    </row>
    <row r="11" spans="1:4" s="54" customFormat="1" ht="12" customHeight="1">
      <c r="A11" s="58" t="s">
        <v>97</v>
      </c>
      <c r="B11" s="59" t="s">
        <v>276</v>
      </c>
      <c r="C11" s="60"/>
      <c r="D11" s="60"/>
    </row>
    <row r="12" spans="1:4" s="54" customFormat="1" ht="12" customHeight="1">
      <c r="A12" s="58" t="s">
        <v>98</v>
      </c>
      <c r="B12" s="59" t="s">
        <v>277</v>
      </c>
      <c r="C12" s="60"/>
      <c r="D12" s="60"/>
    </row>
    <row r="13" spans="1:4" s="54" customFormat="1" ht="12" customHeight="1">
      <c r="A13" s="58" t="s">
        <v>141</v>
      </c>
      <c r="B13" s="59" t="s">
        <v>278</v>
      </c>
      <c r="C13" s="60"/>
      <c r="D13" s="60"/>
    </row>
    <row r="14" spans="1:4" s="54" customFormat="1" ht="12" customHeight="1">
      <c r="A14" s="58" t="s">
        <v>99</v>
      </c>
      <c r="B14" s="59" t="s">
        <v>399</v>
      </c>
      <c r="C14" s="60"/>
      <c r="D14" s="60"/>
    </row>
    <row r="15" spans="1:4" s="54" customFormat="1" ht="12" customHeight="1">
      <c r="A15" s="58" t="s">
        <v>100</v>
      </c>
      <c r="B15" s="61" t="s">
        <v>400</v>
      </c>
      <c r="C15" s="60"/>
      <c r="D15" s="60"/>
    </row>
    <row r="16" spans="1:4" s="54" customFormat="1" ht="12" customHeight="1">
      <c r="A16" s="58" t="s">
        <v>110</v>
      </c>
      <c r="B16" s="59" t="s">
        <v>281</v>
      </c>
      <c r="C16" s="62"/>
      <c r="D16" s="62"/>
    </row>
    <row r="17" spans="1:4" s="63" customFormat="1" ht="12" customHeight="1">
      <c r="A17" s="58" t="s">
        <v>111</v>
      </c>
      <c r="B17" s="59" t="s">
        <v>282</v>
      </c>
      <c r="C17" s="60"/>
      <c r="D17" s="60"/>
    </row>
    <row r="18" spans="1:4" s="63" customFormat="1" ht="12" customHeight="1">
      <c r="A18" s="58" t="s">
        <v>112</v>
      </c>
      <c r="B18" s="59" t="s">
        <v>434</v>
      </c>
      <c r="C18" s="64"/>
      <c r="D18" s="64"/>
    </row>
    <row r="19" spans="1:4" s="63" customFormat="1" ht="12" customHeight="1" thickBot="1">
      <c r="A19" s="58" t="s">
        <v>113</v>
      </c>
      <c r="B19" s="61" t="s">
        <v>283</v>
      </c>
      <c r="C19" s="64"/>
      <c r="D19" s="64"/>
    </row>
    <row r="20" spans="1:4" s="54" customFormat="1" ht="12" customHeight="1" thickBot="1">
      <c r="A20" s="45" t="s">
        <v>17</v>
      </c>
      <c r="B20" s="52" t="s">
        <v>401</v>
      </c>
      <c r="C20" s="53">
        <f>SUM(C21:C23)</f>
        <v>0</v>
      </c>
      <c r="D20" s="53">
        <f>SUM(D21:D23)</f>
        <v>0</v>
      </c>
    </row>
    <row r="21" spans="1:4" s="63" customFormat="1" ht="12" customHeight="1">
      <c r="A21" s="58" t="s">
        <v>101</v>
      </c>
      <c r="B21" s="65" t="s">
        <v>251</v>
      </c>
      <c r="C21" s="60"/>
      <c r="D21" s="60"/>
    </row>
    <row r="22" spans="1:4" s="63" customFormat="1" ht="12" customHeight="1">
      <c r="A22" s="58" t="s">
        <v>102</v>
      </c>
      <c r="B22" s="59" t="s">
        <v>402</v>
      </c>
      <c r="C22" s="60"/>
      <c r="D22" s="60"/>
    </row>
    <row r="23" spans="1:4" s="63" customFormat="1" ht="12" customHeight="1">
      <c r="A23" s="58" t="s">
        <v>103</v>
      </c>
      <c r="B23" s="59" t="s">
        <v>403</v>
      </c>
      <c r="C23" s="60"/>
      <c r="D23" s="60"/>
    </row>
    <row r="24" spans="1:4" s="63" customFormat="1" ht="12" customHeight="1" thickBot="1">
      <c r="A24" s="58" t="s">
        <v>104</v>
      </c>
      <c r="B24" s="59" t="s">
        <v>516</v>
      </c>
      <c r="C24" s="60"/>
      <c r="D24" s="60"/>
    </row>
    <row r="25" spans="1:4" s="63" customFormat="1" ht="12" customHeight="1" thickBot="1">
      <c r="A25" s="66" t="s">
        <v>18</v>
      </c>
      <c r="B25" s="67" t="s">
        <v>165</v>
      </c>
      <c r="C25" s="68"/>
      <c r="D25" s="68"/>
    </row>
    <row r="26" spans="1:4" s="63" customFormat="1" ht="12" customHeight="1" thickBot="1">
      <c r="A26" s="66" t="s">
        <v>19</v>
      </c>
      <c r="B26" s="67" t="s">
        <v>517</v>
      </c>
      <c r="C26" s="53">
        <f>+C27+C28+C29</f>
        <v>0</v>
      </c>
      <c r="D26" s="53">
        <f>+D27+D28+D29</f>
        <v>0</v>
      </c>
    </row>
    <row r="27" spans="1:4" s="63" customFormat="1" ht="12" customHeight="1">
      <c r="A27" s="69" t="s">
        <v>261</v>
      </c>
      <c r="B27" s="70" t="s">
        <v>256</v>
      </c>
      <c r="C27" s="71"/>
      <c r="D27" s="71"/>
    </row>
    <row r="28" spans="1:4" s="63" customFormat="1" ht="12" customHeight="1">
      <c r="A28" s="69" t="s">
        <v>264</v>
      </c>
      <c r="B28" s="70" t="s">
        <v>402</v>
      </c>
      <c r="C28" s="60"/>
      <c r="D28" s="60"/>
    </row>
    <row r="29" spans="1:4" s="63" customFormat="1" ht="12" customHeight="1">
      <c r="A29" s="69" t="s">
        <v>265</v>
      </c>
      <c r="B29" s="72" t="s">
        <v>405</v>
      </c>
      <c r="C29" s="60"/>
      <c r="D29" s="60"/>
    </row>
    <row r="30" spans="1:4" s="63" customFormat="1" ht="12" customHeight="1" thickBot="1">
      <c r="A30" s="58" t="s">
        <v>266</v>
      </c>
      <c r="B30" s="74" t="s">
        <v>518</v>
      </c>
      <c r="C30" s="75"/>
      <c r="D30" s="75"/>
    </row>
    <row r="31" spans="1:4" s="63" customFormat="1" ht="12" customHeight="1" thickBot="1">
      <c r="A31" s="66" t="s">
        <v>20</v>
      </c>
      <c r="B31" s="67" t="s">
        <v>406</v>
      </c>
      <c r="C31" s="53">
        <f>+C32+C33+C34</f>
        <v>0</v>
      </c>
      <c r="D31" s="53">
        <f>+D32+D33+D34</f>
        <v>0</v>
      </c>
    </row>
    <row r="32" spans="1:4" s="63" customFormat="1" ht="12" customHeight="1">
      <c r="A32" s="69" t="s">
        <v>88</v>
      </c>
      <c r="B32" s="70" t="s">
        <v>288</v>
      </c>
      <c r="C32" s="71"/>
      <c r="D32" s="71"/>
    </row>
    <row r="33" spans="1:4" s="63" customFormat="1" ht="12" customHeight="1">
      <c r="A33" s="69" t="s">
        <v>89</v>
      </c>
      <c r="B33" s="72" t="s">
        <v>289</v>
      </c>
      <c r="C33" s="73"/>
      <c r="D33" s="73"/>
    </row>
    <row r="34" spans="1:4" s="63" customFormat="1" ht="12" customHeight="1" thickBot="1">
      <c r="A34" s="58" t="s">
        <v>90</v>
      </c>
      <c r="B34" s="74" t="s">
        <v>290</v>
      </c>
      <c r="C34" s="75"/>
      <c r="D34" s="75"/>
    </row>
    <row r="35" spans="1:4" s="54" customFormat="1" ht="12" customHeight="1" thickBot="1">
      <c r="A35" s="66" t="s">
        <v>21</v>
      </c>
      <c r="B35" s="67" t="s">
        <v>375</v>
      </c>
      <c r="C35" s="68"/>
      <c r="D35" s="68"/>
    </row>
    <row r="36" spans="1:4" s="54" customFormat="1" ht="12" customHeight="1" thickBot="1">
      <c r="A36" s="66" t="s">
        <v>22</v>
      </c>
      <c r="B36" s="67" t="s">
        <v>407</v>
      </c>
      <c r="C36" s="76"/>
      <c r="D36" s="76"/>
    </row>
    <row r="37" spans="1:4" s="54" customFormat="1" ht="12" customHeight="1" thickBot="1">
      <c r="A37" s="45" t="s">
        <v>23</v>
      </c>
      <c r="B37" s="67" t="s">
        <v>408</v>
      </c>
      <c r="C37" s="77">
        <f>+C8+C20+C25+C26+C31+C35+C36</f>
        <v>628650</v>
      </c>
      <c r="D37" s="77">
        <f>+D8+D20+D25+D26+D31+D35+D36</f>
        <v>628650</v>
      </c>
    </row>
    <row r="38" spans="1:4" s="54" customFormat="1" ht="12" customHeight="1" thickBot="1">
      <c r="A38" s="78" t="s">
        <v>24</v>
      </c>
      <c r="B38" s="67" t="s">
        <v>409</v>
      </c>
      <c r="C38" s="77">
        <f>+C39+C40+C41</f>
        <v>49780118</v>
      </c>
      <c r="D38" s="77">
        <f>+D39+D40+D41</f>
        <v>49788170</v>
      </c>
    </row>
    <row r="39" spans="1:4" s="54" customFormat="1" ht="12" customHeight="1">
      <c r="A39" s="69" t="s">
        <v>410</v>
      </c>
      <c r="B39" s="70" t="s">
        <v>229</v>
      </c>
      <c r="C39" s="71"/>
      <c r="D39" s="71"/>
    </row>
    <row r="40" spans="1:4" s="54" customFormat="1" ht="12" customHeight="1">
      <c r="A40" s="69" t="s">
        <v>411</v>
      </c>
      <c r="B40" s="72" t="s">
        <v>2</v>
      </c>
      <c r="C40" s="73"/>
      <c r="D40" s="73"/>
    </row>
    <row r="41" spans="1:4" s="63" customFormat="1" ht="12" customHeight="1" thickBot="1">
      <c r="A41" s="58" t="s">
        <v>412</v>
      </c>
      <c r="B41" s="74" t="s">
        <v>413</v>
      </c>
      <c r="C41" s="75">
        <v>49780118</v>
      </c>
      <c r="D41" s="75">
        <f>49780118+8052</f>
        <v>49788170</v>
      </c>
    </row>
    <row r="42" spans="1:4" s="63" customFormat="1" ht="15" customHeight="1" thickBot="1">
      <c r="A42" s="78" t="s">
        <v>25</v>
      </c>
      <c r="B42" s="79" t="s">
        <v>414</v>
      </c>
      <c r="C42" s="80">
        <f>+C37+C38</f>
        <v>50408768</v>
      </c>
      <c r="D42" s="80">
        <f>+D37+D38</f>
        <v>50416820</v>
      </c>
    </row>
    <row r="43" spans="1:4" s="63" customFormat="1" ht="15" customHeight="1">
      <c r="A43" s="81"/>
      <c r="B43" s="82"/>
      <c r="C43" s="83"/>
      <c r="D43" s="83"/>
    </row>
    <row r="44" spans="1:4" ht="13.5" thickBot="1">
      <c r="A44" s="84"/>
      <c r="B44" s="85"/>
      <c r="C44" s="86"/>
      <c r="D44" s="86"/>
    </row>
    <row r="45" spans="1:4" s="48" customFormat="1" ht="16.5" customHeight="1" thickBot="1">
      <c r="A45" s="87"/>
      <c r="B45" s="88" t="s">
        <v>54</v>
      </c>
      <c r="C45" s="80"/>
      <c r="D45" s="80"/>
    </row>
    <row r="46" spans="1:4" s="89" customFormat="1" ht="12" customHeight="1" thickBot="1">
      <c r="A46" s="66" t="s">
        <v>16</v>
      </c>
      <c r="B46" s="67" t="s">
        <v>415</v>
      </c>
      <c r="C46" s="53">
        <f>SUM(C47:C51)</f>
        <v>50408768</v>
      </c>
      <c r="D46" s="53">
        <f>SUM(D47:D51)</f>
        <v>50416820</v>
      </c>
    </row>
    <row r="47" spans="1:4" ht="12" customHeight="1">
      <c r="A47" s="58" t="s">
        <v>95</v>
      </c>
      <c r="B47" s="65" t="s">
        <v>46</v>
      </c>
      <c r="C47" s="71">
        <v>36852960</v>
      </c>
      <c r="D47" s="71">
        <f>36852960-217248+7700+6600</f>
        <v>36650012</v>
      </c>
    </row>
    <row r="48" spans="1:4" ht="12" customHeight="1">
      <c r="A48" s="58" t="s">
        <v>96</v>
      </c>
      <c r="B48" s="59" t="s">
        <v>174</v>
      </c>
      <c r="C48" s="90">
        <v>8490703</v>
      </c>
      <c r="D48" s="90">
        <f>8490703-7700+1452</f>
        <v>8484455</v>
      </c>
    </row>
    <row r="49" spans="1:4" ht="12" customHeight="1">
      <c r="A49" s="58" t="s">
        <v>97</v>
      </c>
      <c r="B49" s="59" t="s">
        <v>133</v>
      </c>
      <c r="C49" s="90">
        <v>5065105</v>
      </c>
      <c r="D49" s="90">
        <f>5065105+217248</f>
        <v>5282353</v>
      </c>
    </row>
    <row r="50" spans="1:4" ht="12" customHeight="1">
      <c r="A50" s="58" t="s">
        <v>98</v>
      </c>
      <c r="B50" s="59" t="s">
        <v>175</v>
      </c>
      <c r="C50" s="90"/>
      <c r="D50" s="90"/>
    </row>
    <row r="51" spans="1:4" ht="12" customHeight="1" thickBot="1">
      <c r="A51" s="58" t="s">
        <v>141</v>
      </c>
      <c r="B51" s="59" t="s">
        <v>176</v>
      </c>
      <c r="C51" s="90"/>
      <c r="D51" s="90"/>
    </row>
    <row r="52" spans="1:4" ht="12" customHeight="1" thickBot="1">
      <c r="A52" s="66" t="s">
        <v>17</v>
      </c>
      <c r="B52" s="67" t="s">
        <v>416</v>
      </c>
      <c r="C52" s="53">
        <f>SUM(C53:C55)</f>
        <v>0</v>
      </c>
      <c r="D52" s="53">
        <f>SUM(D53:D55)</f>
        <v>0</v>
      </c>
    </row>
    <row r="53" spans="1:4" s="89" customFormat="1" ht="12" customHeight="1">
      <c r="A53" s="58" t="s">
        <v>101</v>
      </c>
      <c r="B53" s="65" t="s">
        <v>219</v>
      </c>
      <c r="C53" s="71"/>
      <c r="D53" s="71"/>
    </row>
    <row r="54" spans="1:4" ht="12" customHeight="1">
      <c r="A54" s="58" t="s">
        <v>102</v>
      </c>
      <c r="B54" s="59" t="s">
        <v>178</v>
      </c>
      <c r="C54" s="90"/>
      <c r="D54" s="90"/>
    </row>
    <row r="55" spans="1:4" ht="12" customHeight="1">
      <c r="A55" s="58" t="s">
        <v>103</v>
      </c>
      <c r="B55" s="59" t="s">
        <v>55</v>
      </c>
      <c r="C55" s="90"/>
      <c r="D55" s="90"/>
    </row>
    <row r="56" spans="1:4" ht="12" customHeight="1" thickBot="1">
      <c r="A56" s="58" t="s">
        <v>104</v>
      </c>
      <c r="B56" s="59" t="s">
        <v>519</v>
      </c>
      <c r="C56" s="90"/>
      <c r="D56" s="90"/>
    </row>
    <row r="57" spans="1:4" ht="12" customHeight="1" thickBot="1">
      <c r="A57" s="66" t="s">
        <v>18</v>
      </c>
      <c r="B57" s="67" t="s">
        <v>12</v>
      </c>
      <c r="C57" s="68"/>
      <c r="D57" s="68"/>
    </row>
    <row r="58" spans="1:4" ht="15" customHeight="1" thickBot="1">
      <c r="A58" s="66" t="s">
        <v>19</v>
      </c>
      <c r="B58" s="91" t="s">
        <v>524</v>
      </c>
      <c r="C58" s="92">
        <f>+C46+C52+C57</f>
        <v>50408768</v>
      </c>
      <c r="D58" s="92">
        <f>+D46+D52+D57</f>
        <v>50416820</v>
      </c>
    </row>
    <row r="59" spans="1:4" ht="13.5" thickBot="1">
      <c r="C59" s="94"/>
      <c r="D59" s="94"/>
    </row>
    <row r="60" spans="1:4" ht="15" customHeight="1" thickBot="1">
      <c r="A60" s="95" t="s">
        <v>514</v>
      </c>
      <c r="B60" s="96"/>
      <c r="C60" s="97">
        <v>9</v>
      </c>
      <c r="D60" s="97">
        <v>9</v>
      </c>
    </row>
    <row r="61" spans="1:4" ht="14.25" customHeight="1" thickBot="1">
      <c r="A61" s="95" t="s">
        <v>196</v>
      </c>
      <c r="B61" s="96"/>
      <c r="C61" s="97"/>
      <c r="D61" s="9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49" orientation="portrait" verticalDpi="300" r:id="rId1"/>
  <headerFooter alignWithMargins="0">
    <oddFooter>&amp;P. oldal, összesen: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FFC000"/>
  </sheetPr>
  <dimension ref="A1:D159"/>
  <sheetViews>
    <sheetView zoomScaleNormal="100" zoomScaleSheetLayoutView="100" workbookViewId="0">
      <selection activeCell="D106" sqref="D106"/>
    </sheetView>
  </sheetViews>
  <sheetFormatPr defaultRowHeight="15.75"/>
  <cols>
    <col min="1" max="1" width="7.1640625" style="98" bestFit="1" customWidth="1"/>
    <col min="2" max="2" width="102.6640625" style="98" bestFit="1" customWidth="1"/>
    <col min="3" max="3" width="21.33203125" style="173" bestFit="1" customWidth="1"/>
    <col min="4" max="4" width="21.33203125" style="173" customWidth="1"/>
    <col min="5" max="16384" width="9.33203125" style="98"/>
  </cols>
  <sheetData>
    <row r="1" spans="1:4" ht="15.95" customHeight="1">
      <c r="A1" s="691" t="s">
        <v>13</v>
      </c>
      <c r="B1" s="691"/>
      <c r="C1" s="98"/>
      <c r="D1" s="98"/>
    </row>
    <row r="2" spans="1:4" ht="15.95" customHeight="1" thickBot="1">
      <c r="A2" s="690" t="s">
        <v>144</v>
      </c>
      <c r="B2" s="690"/>
      <c r="C2" s="99" t="s">
        <v>597</v>
      </c>
      <c r="D2" s="99" t="s">
        <v>597</v>
      </c>
    </row>
    <row r="3" spans="1:4" ht="38.1" customHeight="1" thickBot="1">
      <c r="A3" s="100" t="s">
        <v>66</v>
      </c>
      <c r="B3" s="101" t="s">
        <v>15</v>
      </c>
      <c r="C3" s="43" t="s">
        <v>613</v>
      </c>
      <c r="D3" s="43" t="s">
        <v>709</v>
      </c>
    </row>
    <row r="4" spans="1:4" s="105" customFormat="1" ht="12" customHeight="1" thickBot="1">
      <c r="A4" s="102" t="s">
        <v>487</v>
      </c>
      <c r="B4" s="103" t="s">
        <v>488</v>
      </c>
      <c r="C4" s="104" t="s">
        <v>489</v>
      </c>
      <c r="D4" s="104" t="s">
        <v>489</v>
      </c>
    </row>
    <row r="5" spans="1:4" s="109" customFormat="1" ht="12" customHeight="1" thickBot="1">
      <c r="A5" s="106" t="s">
        <v>16</v>
      </c>
      <c r="B5" s="107" t="s">
        <v>245</v>
      </c>
      <c r="C5" s="108">
        <f>+C6+C7+C8+C9+C10+C11</f>
        <v>214106236</v>
      </c>
      <c r="D5" s="108">
        <f>+D6+D7+D8+D9+D10+D11</f>
        <v>215080283</v>
      </c>
    </row>
    <row r="6" spans="1:4" s="109" customFormat="1" ht="12" customHeight="1">
      <c r="A6" s="110" t="s">
        <v>95</v>
      </c>
      <c r="B6" s="111" t="s">
        <v>246</v>
      </c>
      <c r="C6" s="112">
        <v>116822015</v>
      </c>
      <c r="D6" s="112">
        <v>116822015</v>
      </c>
    </row>
    <row r="7" spans="1:4" s="109" customFormat="1" ht="12" customHeight="1">
      <c r="A7" s="113" t="s">
        <v>96</v>
      </c>
      <c r="B7" s="114" t="s">
        <v>247</v>
      </c>
      <c r="C7" s="115">
        <v>54429080</v>
      </c>
      <c r="D7" s="115">
        <v>54429080</v>
      </c>
    </row>
    <row r="8" spans="1:4" s="109" customFormat="1" ht="12" customHeight="1">
      <c r="A8" s="113" t="s">
        <v>97</v>
      </c>
      <c r="B8" s="114" t="s">
        <v>248</v>
      </c>
      <c r="C8" s="115">
        <v>40034781</v>
      </c>
      <c r="D8" s="115">
        <v>40034781</v>
      </c>
    </row>
    <row r="9" spans="1:4" s="109" customFormat="1" ht="12" customHeight="1">
      <c r="A9" s="113" t="s">
        <v>98</v>
      </c>
      <c r="B9" s="114" t="s">
        <v>249</v>
      </c>
      <c r="C9" s="115">
        <v>2820360</v>
      </c>
      <c r="D9" s="115">
        <v>3099983</v>
      </c>
    </row>
    <row r="10" spans="1:4" s="109" customFormat="1" ht="12" customHeight="1">
      <c r="A10" s="113" t="s">
        <v>141</v>
      </c>
      <c r="B10" s="116" t="s">
        <v>430</v>
      </c>
      <c r="C10" s="115"/>
      <c r="D10" s="115">
        <v>694424</v>
      </c>
    </row>
    <row r="11" spans="1:4" s="109" customFormat="1" ht="12" customHeight="1" thickBot="1">
      <c r="A11" s="117" t="s">
        <v>99</v>
      </c>
      <c r="B11" s="118" t="s">
        <v>431</v>
      </c>
      <c r="C11" s="115"/>
      <c r="D11" s="115"/>
    </row>
    <row r="12" spans="1:4" s="109" customFormat="1" ht="12" customHeight="1" thickBot="1">
      <c r="A12" s="106" t="s">
        <v>17</v>
      </c>
      <c r="B12" s="119" t="s">
        <v>250</v>
      </c>
      <c r="C12" s="108">
        <f>+C13+C14+C15+C16+C17</f>
        <v>55885159</v>
      </c>
      <c r="D12" s="108">
        <f>+D13+D14+D15+D16+D17</f>
        <v>65203807</v>
      </c>
    </row>
    <row r="13" spans="1:4" s="109" customFormat="1" ht="12" customHeight="1">
      <c r="A13" s="110" t="s">
        <v>101</v>
      </c>
      <c r="B13" s="111" t="s">
        <v>251</v>
      </c>
      <c r="C13" s="112"/>
      <c r="D13" s="112"/>
    </row>
    <row r="14" spans="1:4" s="109" customFormat="1" ht="12" customHeight="1">
      <c r="A14" s="113" t="s">
        <v>102</v>
      </c>
      <c r="B14" s="114" t="s">
        <v>252</v>
      </c>
      <c r="C14" s="115"/>
      <c r="D14" s="115"/>
    </row>
    <row r="15" spans="1:4" s="109" customFormat="1" ht="12" customHeight="1">
      <c r="A15" s="113" t="s">
        <v>103</v>
      </c>
      <c r="B15" s="114" t="s">
        <v>420</v>
      </c>
      <c r="C15" s="115"/>
      <c r="D15" s="115"/>
    </row>
    <row r="16" spans="1:4" s="109" customFormat="1" ht="12" customHeight="1">
      <c r="A16" s="113" t="s">
        <v>104</v>
      </c>
      <c r="B16" s="114" t="s">
        <v>421</v>
      </c>
      <c r="C16" s="115"/>
      <c r="D16" s="115"/>
    </row>
    <row r="17" spans="1:4" s="109" customFormat="1" ht="12" customHeight="1">
      <c r="A17" s="113" t="s">
        <v>105</v>
      </c>
      <c r="B17" s="114" t="s">
        <v>253</v>
      </c>
      <c r="C17" s="115">
        <f>55885159</f>
        <v>55885159</v>
      </c>
      <c r="D17" s="115">
        <f>65203807</f>
        <v>65203807</v>
      </c>
    </row>
    <row r="18" spans="1:4" s="109" customFormat="1" ht="12" customHeight="1" thickBot="1">
      <c r="A18" s="117" t="s">
        <v>114</v>
      </c>
      <c r="B18" s="118" t="s">
        <v>254</v>
      </c>
      <c r="C18" s="120"/>
      <c r="D18" s="120"/>
    </row>
    <row r="19" spans="1:4" s="109" customFormat="1" ht="12" customHeight="1" thickBot="1">
      <c r="A19" s="106" t="s">
        <v>18</v>
      </c>
      <c r="B19" s="107" t="s">
        <v>255</v>
      </c>
      <c r="C19" s="108">
        <f>+C20+C21+C22+C23+C24</f>
        <v>0</v>
      </c>
      <c r="D19" s="108">
        <f>+D20+D21+D22+D23+D24</f>
        <v>0</v>
      </c>
    </row>
    <row r="20" spans="1:4" s="109" customFormat="1" ht="12" customHeight="1">
      <c r="A20" s="110" t="s">
        <v>84</v>
      </c>
      <c r="B20" s="111" t="s">
        <v>256</v>
      </c>
      <c r="C20" s="112"/>
      <c r="D20" s="112"/>
    </row>
    <row r="21" spans="1:4" s="109" customFormat="1" ht="12" customHeight="1">
      <c r="A21" s="113" t="s">
        <v>85</v>
      </c>
      <c r="B21" s="114" t="s">
        <v>257</v>
      </c>
      <c r="C21" s="115"/>
      <c r="D21" s="115"/>
    </row>
    <row r="22" spans="1:4" s="109" customFormat="1" ht="12" customHeight="1">
      <c r="A22" s="113" t="s">
        <v>86</v>
      </c>
      <c r="B22" s="114" t="s">
        <v>422</v>
      </c>
      <c r="C22" s="115"/>
      <c r="D22" s="115"/>
    </row>
    <row r="23" spans="1:4" s="109" customFormat="1" ht="12" customHeight="1">
      <c r="A23" s="113" t="s">
        <v>87</v>
      </c>
      <c r="B23" s="114" t="s">
        <v>423</v>
      </c>
      <c r="C23" s="115"/>
      <c r="D23" s="115"/>
    </row>
    <row r="24" spans="1:4" s="109" customFormat="1" ht="12" customHeight="1">
      <c r="A24" s="113" t="s">
        <v>162</v>
      </c>
      <c r="B24" s="114" t="s">
        <v>258</v>
      </c>
      <c r="C24" s="115"/>
      <c r="D24" s="115"/>
    </row>
    <row r="25" spans="1:4" s="109" customFormat="1" ht="12" customHeight="1" thickBot="1">
      <c r="A25" s="117" t="s">
        <v>163</v>
      </c>
      <c r="B25" s="121" t="s">
        <v>259</v>
      </c>
      <c r="C25" s="120"/>
      <c r="D25" s="120"/>
    </row>
    <row r="26" spans="1:4" s="109" customFormat="1" ht="12" customHeight="1" thickBot="1">
      <c r="A26" s="106" t="s">
        <v>164</v>
      </c>
      <c r="B26" s="107" t="s">
        <v>260</v>
      </c>
      <c r="C26" s="122">
        <f>+C27+C31+C32+C33</f>
        <v>75947245</v>
      </c>
      <c r="D26" s="122">
        <f>+D27+D31+D32+D33</f>
        <v>67157998</v>
      </c>
    </row>
    <row r="27" spans="1:4" s="109" customFormat="1" ht="12" customHeight="1">
      <c r="A27" s="110" t="s">
        <v>261</v>
      </c>
      <c r="B27" s="187" t="s">
        <v>437</v>
      </c>
      <c r="C27" s="123">
        <f>+C28+C29+C30</f>
        <v>41417245</v>
      </c>
      <c r="D27" s="123">
        <f>+D28+D29+D30</f>
        <v>32627998</v>
      </c>
    </row>
    <row r="28" spans="1:4" s="109" customFormat="1" ht="12" customHeight="1">
      <c r="A28" s="113" t="s">
        <v>262</v>
      </c>
      <c r="B28" s="188" t="s">
        <v>630</v>
      </c>
      <c r="C28" s="115">
        <v>6417245</v>
      </c>
      <c r="D28" s="115">
        <f>611067+20000</f>
        <v>631067</v>
      </c>
    </row>
    <row r="29" spans="1:4" s="109" customFormat="1" ht="12" customHeight="1">
      <c r="A29" s="113" t="s">
        <v>263</v>
      </c>
      <c r="B29" s="188" t="s">
        <v>631</v>
      </c>
      <c r="C29" s="115"/>
      <c r="D29" s="115"/>
    </row>
    <row r="30" spans="1:4" s="109" customFormat="1" ht="12" customHeight="1">
      <c r="A30" s="113" t="s">
        <v>435</v>
      </c>
      <c r="B30" s="189" t="s">
        <v>436</v>
      </c>
      <c r="C30" s="115">
        <f>35000000</f>
        <v>35000000</v>
      </c>
      <c r="D30" s="115">
        <v>31996931</v>
      </c>
    </row>
    <row r="31" spans="1:4" s="109" customFormat="1" ht="12" customHeight="1">
      <c r="A31" s="113" t="s">
        <v>264</v>
      </c>
      <c r="B31" s="188" t="s">
        <v>269</v>
      </c>
      <c r="C31" s="115">
        <v>7400000</v>
      </c>
      <c r="D31" s="115">
        <v>7400000</v>
      </c>
    </row>
    <row r="32" spans="1:4" s="109" customFormat="1" ht="12" customHeight="1">
      <c r="A32" s="113" t="s">
        <v>265</v>
      </c>
      <c r="B32" s="188" t="s">
        <v>588</v>
      </c>
      <c r="C32" s="115">
        <v>27000000</v>
      </c>
      <c r="D32" s="115">
        <v>26500000</v>
      </c>
    </row>
    <row r="33" spans="1:4" s="109" customFormat="1" ht="12" customHeight="1" thickBot="1">
      <c r="A33" s="117" t="s">
        <v>266</v>
      </c>
      <c r="B33" s="190" t="s">
        <v>271</v>
      </c>
      <c r="C33" s="120">
        <v>130000</v>
      </c>
      <c r="D33" s="120">
        <v>630000</v>
      </c>
    </row>
    <row r="34" spans="1:4" s="109" customFormat="1" ht="12" customHeight="1" thickBot="1">
      <c r="A34" s="106" t="s">
        <v>20</v>
      </c>
      <c r="B34" s="107" t="s">
        <v>432</v>
      </c>
      <c r="C34" s="108">
        <f>SUM(C35:C45)</f>
        <v>5475890</v>
      </c>
      <c r="D34" s="108">
        <f>SUM(D35:D45)</f>
        <v>6057890</v>
      </c>
    </row>
    <row r="35" spans="1:4" s="109" customFormat="1" ht="12" customHeight="1">
      <c r="A35" s="110" t="s">
        <v>88</v>
      </c>
      <c r="B35" s="111" t="s">
        <v>274</v>
      </c>
      <c r="C35" s="112"/>
      <c r="D35" s="112"/>
    </row>
    <row r="36" spans="1:4" s="109" customFormat="1" ht="12" customHeight="1">
      <c r="A36" s="113" t="s">
        <v>89</v>
      </c>
      <c r="B36" s="114" t="s">
        <v>275</v>
      </c>
      <c r="C36" s="115">
        <f>2120000+1390650</f>
        <v>3510650</v>
      </c>
      <c r="D36" s="115">
        <f>1390650+2120000</f>
        <v>3510650</v>
      </c>
    </row>
    <row r="37" spans="1:4" s="109" customFormat="1" ht="12" customHeight="1">
      <c r="A37" s="113" t="s">
        <v>90</v>
      </c>
      <c r="B37" s="114" t="s">
        <v>276</v>
      </c>
      <c r="C37" s="115">
        <f>60000</f>
        <v>60000</v>
      </c>
      <c r="D37" s="115">
        <f>558000+60000</f>
        <v>618000</v>
      </c>
    </row>
    <row r="38" spans="1:4" s="109" customFormat="1" ht="12" customHeight="1">
      <c r="A38" s="113" t="s">
        <v>166</v>
      </c>
      <c r="B38" s="114" t="s">
        <v>277</v>
      </c>
      <c r="C38" s="115"/>
      <c r="D38" s="115"/>
    </row>
    <row r="39" spans="1:4" s="109" customFormat="1" ht="12" customHeight="1">
      <c r="A39" s="113" t="s">
        <v>167</v>
      </c>
      <c r="B39" s="114" t="s">
        <v>278</v>
      </c>
      <c r="C39" s="115">
        <f>1500000</f>
        <v>1500000</v>
      </c>
      <c r="D39" s="115">
        <f>1500000</f>
        <v>1500000</v>
      </c>
    </row>
    <row r="40" spans="1:4" s="109" customFormat="1" ht="12" customHeight="1">
      <c r="A40" s="113" t="s">
        <v>168</v>
      </c>
      <c r="B40" s="114" t="s">
        <v>279</v>
      </c>
      <c r="C40" s="115">
        <f>405000</f>
        <v>405000</v>
      </c>
      <c r="D40" s="115">
        <f>405000</f>
        <v>405000</v>
      </c>
    </row>
    <row r="41" spans="1:4" s="109" customFormat="1" ht="12" customHeight="1">
      <c r="A41" s="113" t="s">
        <v>169</v>
      </c>
      <c r="B41" s="114" t="s">
        <v>280</v>
      </c>
      <c r="C41" s="115"/>
      <c r="D41" s="115"/>
    </row>
    <row r="42" spans="1:4" s="109" customFormat="1" ht="12" customHeight="1">
      <c r="A42" s="113" t="s">
        <v>170</v>
      </c>
      <c r="B42" s="114" t="s">
        <v>281</v>
      </c>
      <c r="C42" s="115">
        <f>100+140</f>
        <v>240</v>
      </c>
      <c r="D42" s="115">
        <f>140+100</f>
        <v>240</v>
      </c>
    </row>
    <row r="43" spans="1:4" s="109" customFormat="1" ht="12" customHeight="1">
      <c r="A43" s="113" t="s">
        <v>272</v>
      </c>
      <c r="B43" s="114" t="s">
        <v>282</v>
      </c>
      <c r="C43" s="125"/>
      <c r="D43" s="125"/>
    </row>
    <row r="44" spans="1:4" s="109" customFormat="1" ht="12" customHeight="1">
      <c r="A44" s="117" t="s">
        <v>273</v>
      </c>
      <c r="B44" s="121" t="s">
        <v>434</v>
      </c>
      <c r="C44" s="126"/>
      <c r="D44" s="126"/>
    </row>
    <row r="45" spans="1:4" s="109" customFormat="1" ht="12" customHeight="1" thickBot="1">
      <c r="A45" s="117" t="s">
        <v>433</v>
      </c>
      <c r="B45" s="118" t="s">
        <v>283</v>
      </c>
      <c r="C45" s="126"/>
      <c r="D45" s="126">
        <v>24000</v>
      </c>
    </row>
    <row r="46" spans="1:4" s="109" customFormat="1" ht="12" customHeight="1" thickBot="1">
      <c r="A46" s="106" t="s">
        <v>21</v>
      </c>
      <c r="B46" s="107" t="s">
        <v>284</v>
      </c>
      <c r="C46" s="108">
        <f>SUM(C47:C51)</f>
        <v>0</v>
      </c>
      <c r="D46" s="108">
        <f>SUM(D47:D51)</f>
        <v>0</v>
      </c>
    </row>
    <row r="47" spans="1:4" s="109" customFormat="1" ht="12" customHeight="1">
      <c r="A47" s="110" t="s">
        <v>91</v>
      </c>
      <c r="B47" s="111" t="s">
        <v>288</v>
      </c>
      <c r="C47" s="127"/>
      <c r="D47" s="127"/>
    </row>
    <row r="48" spans="1:4" s="109" customFormat="1" ht="12" customHeight="1">
      <c r="A48" s="113" t="s">
        <v>92</v>
      </c>
      <c r="B48" s="114" t="s">
        <v>289</v>
      </c>
      <c r="C48" s="125"/>
      <c r="D48" s="125"/>
    </row>
    <row r="49" spans="1:4" s="109" customFormat="1" ht="12" customHeight="1">
      <c r="A49" s="113" t="s">
        <v>285</v>
      </c>
      <c r="B49" s="114" t="s">
        <v>290</v>
      </c>
      <c r="C49" s="125"/>
      <c r="D49" s="125"/>
    </row>
    <row r="50" spans="1:4" s="109" customFormat="1" ht="12" customHeight="1">
      <c r="A50" s="113" t="s">
        <v>286</v>
      </c>
      <c r="B50" s="114" t="s">
        <v>291</v>
      </c>
      <c r="C50" s="125"/>
      <c r="D50" s="125"/>
    </row>
    <row r="51" spans="1:4" s="109" customFormat="1" ht="12" customHeight="1" thickBot="1">
      <c r="A51" s="117" t="s">
        <v>287</v>
      </c>
      <c r="B51" s="118" t="s">
        <v>292</v>
      </c>
      <c r="C51" s="126"/>
      <c r="D51" s="126"/>
    </row>
    <row r="52" spans="1:4" s="109" customFormat="1" ht="12" customHeight="1" thickBot="1">
      <c r="A52" s="106" t="s">
        <v>171</v>
      </c>
      <c r="B52" s="107" t="s">
        <v>293</v>
      </c>
      <c r="C52" s="108">
        <f>SUM(C53:C55)</f>
        <v>293300</v>
      </c>
      <c r="D52" s="108">
        <f>SUM(D53:D55)</f>
        <v>293300</v>
      </c>
    </row>
    <row r="53" spans="1:4" s="109" customFormat="1" ht="12" customHeight="1">
      <c r="A53" s="110" t="s">
        <v>93</v>
      </c>
      <c r="B53" s="111" t="s">
        <v>294</v>
      </c>
      <c r="C53" s="112"/>
      <c r="D53" s="112"/>
    </row>
    <row r="54" spans="1:4" s="109" customFormat="1" ht="12" customHeight="1">
      <c r="A54" s="113" t="s">
        <v>94</v>
      </c>
      <c r="B54" s="114" t="s">
        <v>424</v>
      </c>
      <c r="C54" s="115"/>
      <c r="D54" s="115"/>
    </row>
    <row r="55" spans="1:4" s="109" customFormat="1" ht="12" customHeight="1">
      <c r="A55" s="113" t="s">
        <v>297</v>
      </c>
      <c r="B55" s="114" t="s">
        <v>295</v>
      </c>
      <c r="C55" s="115">
        <v>293300</v>
      </c>
      <c r="D55" s="115">
        <v>293300</v>
      </c>
    </row>
    <row r="56" spans="1:4" s="109" customFormat="1" ht="12" customHeight="1" thickBot="1">
      <c r="A56" s="117" t="s">
        <v>298</v>
      </c>
      <c r="B56" s="118" t="s">
        <v>296</v>
      </c>
      <c r="C56" s="120"/>
      <c r="D56" s="120"/>
    </row>
    <row r="57" spans="1:4" s="109" customFormat="1" ht="12" customHeight="1" thickBot="1">
      <c r="A57" s="106" t="s">
        <v>23</v>
      </c>
      <c r="B57" s="119" t="s">
        <v>299</v>
      </c>
      <c r="C57" s="108">
        <f>SUM(C58:C60)</f>
        <v>0</v>
      </c>
      <c r="D57" s="108">
        <f>SUM(D58:D60)</f>
        <v>0</v>
      </c>
    </row>
    <row r="58" spans="1:4" s="109" customFormat="1" ht="12" customHeight="1">
      <c r="A58" s="110" t="s">
        <v>172</v>
      </c>
      <c r="B58" s="111" t="s">
        <v>301</v>
      </c>
      <c r="C58" s="125"/>
      <c r="D58" s="125"/>
    </row>
    <row r="59" spans="1:4" s="109" customFormat="1" ht="12" customHeight="1">
      <c r="A59" s="113" t="s">
        <v>173</v>
      </c>
      <c r="B59" s="114" t="s">
        <v>425</v>
      </c>
      <c r="C59" s="125"/>
      <c r="D59" s="125"/>
    </row>
    <row r="60" spans="1:4" s="109" customFormat="1" ht="12" customHeight="1">
      <c r="A60" s="113" t="s">
        <v>221</v>
      </c>
      <c r="B60" s="114" t="s">
        <v>302</v>
      </c>
      <c r="C60" s="125"/>
      <c r="D60" s="125"/>
    </row>
    <row r="61" spans="1:4" s="109" customFormat="1" ht="12" customHeight="1" thickBot="1">
      <c r="A61" s="117" t="s">
        <v>300</v>
      </c>
      <c r="B61" s="118" t="s">
        <v>303</v>
      </c>
      <c r="C61" s="125"/>
      <c r="D61" s="125"/>
    </row>
    <row r="62" spans="1:4" s="109" customFormat="1" ht="12" customHeight="1" thickBot="1">
      <c r="A62" s="128" t="s">
        <v>476</v>
      </c>
      <c r="B62" s="107" t="s">
        <v>304</v>
      </c>
      <c r="C62" s="122">
        <f>+C5+C12+C19+C26+C34+C46+C52+C57</f>
        <v>351707830</v>
      </c>
      <c r="D62" s="122">
        <f>+D5+D12+D19+D26+D34+D46+D52+D57</f>
        <v>353793278</v>
      </c>
    </row>
    <row r="63" spans="1:4" s="109" customFormat="1" ht="12" customHeight="1" thickBot="1">
      <c r="A63" s="129" t="s">
        <v>305</v>
      </c>
      <c r="B63" s="119" t="s">
        <v>306</v>
      </c>
      <c r="C63" s="108">
        <f>SUM(C64:C66)</f>
        <v>0</v>
      </c>
      <c r="D63" s="108">
        <f>SUM(D64:D66)</f>
        <v>0</v>
      </c>
    </row>
    <row r="64" spans="1:4" s="109" customFormat="1" ht="12" customHeight="1">
      <c r="A64" s="110" t="s">
        <v>337</v>
      </c>
      <c r="B64" s="111" t="s">
        <v>307</v>
      </c>
      <c r="C64" s="125"/>
      <c r="D64" s="125"/>
    </row>
    <row r="65" spans="1:4" s="109" customFormat="1" ht="12" customHeight="1">
      <c r="A65" s="113" t="s">
        <v>346</v>
      </c>
      <c r="B65" s="114" t="s">
        <v>308</v>
      </c>
      <c r="C65" s="125"/>
      <c r="D65" s="125"/>
    </row>
    <row r="66" spans="1:4" s="109" customFormat="1" ht="12" customHeight="1" thickBot="1">
      <c r="A66" s="117" t="s">
        <v>347</v>
      </c>
      <c r="B66" s="130" t="s">
        <v>461</v>
      </c>
      <c r="C66" s="125"/>
      <c r="D66" s="125"/>
    </row>
    <row r="67" spans="1:4" s="109" customFormat="1" ht="12" customHeight="1" thickBot="1">
      <c r="A67" s="129" t="s">
        <v>310</v>
      </c>
      <c r="B67" s="119" t="s">
        <v>311</v>
      </c>
      <c r="C67" s="108">
        <f>SUM(C68:C71)</f>
        <v>0</v>
      </c>
      <c r="D67" s="108">
        <f>SUM(D68:D71)</f>
        <v>0</v>
      </c>
    </row>
    <row r="68" spans="1:4" s="109" customFormat="1" ht="12" customHeight="1">
      <c r="A68" s="110" t="s">
        <v>142</v>
      </c>
      <c r="B68" s="111" t="s">
        <v>312</v>
      </c>
      <c r="C68" s="125"/>
      <c r="D68" s="125"/>
    </row>
    <row r="69" spans="1:4" s="109" customFormat="1" ht="12" customHeight="1">
      <c r="A69" s="113" t="s">
        <v>143</v>
      </c>
      <c r="B69" s="114" t="s">
        <v>313</v>
      </c>
      <c r="C69" s="125"/>
      <c r="D69" s="125"/>
    </row>
    <row r="70" spans="1:4" s="109" customFormat="1" ht="12" customHeight="1">
      <c r="A70" s="113" t="s">
        <v>338</v>
      </c>
      <c r="B70" s="114" t="s">
        <v>314</v>
      </c>
      <c r="C70" s="125"/>
      <c r="D70" s="125"/>
    </row>
    <row r="71" spans="1:4" s="109" customFormat="1" ht="12" customHeight="1" thickBot="1">
      <c r="A71" s="117" t="s">
        <v>339</v>
      </c>
      <c r="B71" s="118" t="s">
        <v>315</v>
      </c>
      <c r="C71" s="125"/>
      <c r="D71" s="125"/>
    </row>
    <row r="72" spans="1:4" s="109" customFormat="1" ht="12" customHeight="1" thickBot="1">
      <c r="A72" s="129" t="s">
        <v>316</v>
      </c>
      <c r="B72" s="119" t="s">
        <v>317</v>
      </c>
      <c r="C72" s="108">
        <f>SUM(C73:C74)</f>
        <v>210964229</v>
      </c>
      <c r="D72" s="108">
        <f>SUM(D73:D74)</f>
        <v>223686425</v>
      </c>
    </row>
    <row r="73" spans="1:4" s="109" customFormat="1" ht="12" customHeight="1">
      <c r="A73" s="110" t="s">
        <v>340</v>
      </c>
      <c r="B73" s="111" t="s">
        <v>318</v>
      </c>
      <c r="C73" s="125">
        <f>50627+440774+210472828</f>
        <v>210964229</v>
      </c>
      <c r="D73" s="125">
        <f>222974509+661289+50627</f>
        <v>223686425</v>
      </c>
    </row>
    <row r="74" spans="1:4" s="109" customFormat="1" ht="12" customHeight="1" thickBot="1">
      <c r="A74" s="117" t="s">
        <v>341</v>
      </c>
      <c r="B74" s="118" t="s">
        <v>319</v>
      </c>
      <c r="C74" s="125"/>
      <c r="D74" s="125"/>
    </row>
    <row r="75" spans="1:4" s="109" customFormat="1" ht="12" customHeight="1" thickBot="1">
      <c r="A75" s="129" t="s">
        <v>320</v>
      </c>
      <c r="B75" s="119" t="s">
        <v>321</v>
      </c>
      <c r="C75" s="108">
        <f>SUM(C76:C78)</f>
        <v>0</v>
      </c>
      <c r="D75" s="108">
        <f>SUM(D76:D78)</f>
        <v>0</v>
      </c>
    </row>
    <row r="76" spans="1:4" s="109" customFormat="1" ht="12" customHeight="1">
      <c r="A76" s="110" t="s">
        <v>342</v>
      </c>
      <c r="B76" s="111" t="s">
        <v>322</v>
      </c>
      <c r="C76" s="125"/>
      <c r="D76" s="125"/>
    </row>
    <row r="77" spans="1:4" s="109" customFormat="1" ht="12" customHeight="1">
      <c r="A77" s="113" t="s">
        <v>343</v>
      </c>
      <c r="B77" s="114" t="s">
        <v>323</v>
      </c>
      <c r="C77" s="125"/>
      <c r="D77" s="125"/>
    </row>
    <row r="78" spans="1:4" s="109" customFormat="1" ht="12" customHeight="1" thickBot="1">
      <c r="A78" s="117" t="s">
        <v>344</v>
      </c>
      <c r="B78" s="118" t="s">
        <v>324</v>
      </c>
      <c r="C78" s="125"/>
      <c r="D78" s="125"/>
    </row>
    <row r="79" spans="1:4" s="109" customFormat="1" ht="12" customHeight="1" thickBot="1">
      <c r="A79" s="129" t="s">
        <v>325</v>
      </c>
      <c r="B79" s="119" t="s">
        <v>345</v>
      </c>
      <c r="C79" s="108">
        <f>SUM(C80:C83)</f>
        <v>0</v>
      </c>
      <c r="D79" s="108">
        <f>SUM(D80:D83)</f>
        <v>0</v>
      </c>
    </row>
    <row r="80" spans="1:4" s="109" customFormat="1" ht="12" customHeight="1">
      <c r="A80" s="131" t="s">
        <v>326</v>
      </c>
      <c r="B80" s="111" t="s">
        <v>327</v>
      </c>
      <c r="C80" s="125"/>
      <c r="D80" s="125"/>
    </row>
    <row r="81" spans="1:4" s="109" customFormat="1" ht="12" customHeight="1">
      <c r="A81" s="132" t="s">
        <v>328</v>
      </c>
      <c r="B81" s="114" t="s">
        <v>329</v>
      </c>
      <c r="C81" s="125"/>
      <c r="D81" s="125"/>
    </row>
    <row r="82" spans="1:4" s="109" customFormat="1" ht="12" customHeight="1">
      <c r="A82" s="132" t="s">
        <v>330</v>
      </c>
      <c r="B82" s="114" t="s">
        <v>331</v>
      </c>
      <c r="C82" s="125"/>
      <c r="D82" s="125"/>
    </row>
    <row r="83" spans="1:4" s="109" customFormat="1" ht="12" customHeight="1" thickBot="1">
      <c r="A83" s="133" t="s">
        <v>332</v>
      </c>
      <c r="B83" s="118" t="s">
        <v>333</v>
      </c>
      <c r="C83" s="125"/>
      <c r="D83" s="125"/>
    </row>
    <row r="84" spans="1:4" s="109" customFormat="1" ht="12" customHeight="1" thickBot="1">
      <c r="A84" s="129" t="s">
        <v>334</v>
      </c>
      <c r="B84" s="119" t="s">
        <v>475</v>
      </c>
      <c r="C84" s="134"/>
      <c r="D84" s="134"/>
    </row>
    <row r="85" spans="1:4" s="109" customFormat="1" ht="13.5" customHeight="1" thickBot="1">
      <c r="A85" s="129" t="s">
        <v>336</v>
      </c>
      <c r="B85" s="119" t="s">
        <v>335</v>
      </c>
      <c r="C85" s="134"/>
      <c r="D85" s="134"/>
    </row>
    <row r="86" spans="1:4" s="109" customFormat="1" ht="15.75" customHeight="1" thickBot="1">
      <c r="A86" s="129" t="s">
        <v>348</v>
      </c>
      <c r="B86" s="135" t="s">
        <v>478</v>
      </c>
      <c r="C86" s="122">
        <f>+C63+C67+C72+C75+C79+C85+C84</f>
        <v>210964229</v>
      </c>
      <c r="D86" s="122">
        <f>+D63+D67+D72+D75+D79+D85+D84</f>
        <v>223686425</v>
      </c>
    </row>
    <row r="87" spans="1:4" s="109" customFormat="1" ht="16.5" customHeight="1" thickBot="1">
      <c r="A87" s="136" t="s">
        <v>477</v>
      </c>
      <c r="B87" s="137" t="s">
        <v>479</v>
      </c>
      <c r="C87" s="122">
        <f>+C62+C86</f>
        <v>562672059</v>
      </c>
      <c r="D87" s="122">
        <f>+D62+D86</f>
        <v>577479703</v>
      </c>
    </row>
    <row r="88" spans="1:4" s="109" customFormat="1" ht="83.25" customHeight="1">
      <c r="A88" s="138"/>
      <c r="B88" s="139"/>
      <c r="C88" s="140"/>
      <c r="D88" s="140"/>
    </row>
    <row r="89" spans="1:4" ht="16.5" customHeight="1">
      <c r="A89" s="691" t="s">
        <v>44</v>
      </c>
      <c r="B89" s="691"/>
      <c r="C89" s="98"/>
      <c r="D89" s="98"/>
    </row>
    <row r="90" spans="1:4" s="142" customFormat="1" ht="16.5" customHeight="1" thickBot="1">
      <c r="A90" s="692" t="s">
        <v>145</v>
      </c>
      <c r="B90" s="692"/>
      <c r="C90" s="141"/>
      <c r="D90" s="141"/>
    </row>
    <row r="91" spans="1:4" ht="38.1" customHeight="1" thickBot="1">
      <c r="A91" s="100" t="s">
        <v>66</v>
      </c>
      <c r="B91" s="101" t="s">
        <v>45</v>
      </c>
      <c r="C91" s="43" t="str">
        <f>+C3</f>
        <v>Eredeti előirányzat (2017.01)</v>
      </c>
      <c r="D91" s="43" t="str">
        <f>+D3</f>
        <v>Módosított előirányzat (2017.05)</v>
      </c>
    </row>
    <row r="92" spans="1:4" s="105" customFormat="1" ht="12" customHeight="1" thickBot="1">
      <c r="A92" s="143" t="s">
        <v>487</v>
      </c>
      <c r="B92" s="144" t="s">
        <v>488</v>
      </c>
      <c r="C92" s="145" t="s">
        <v>489</v>
      </c>
      <c r="D92" s="145" t="s">
        <v>489</v>
      </c>
    </row>
    <row r="93" spans="1:4" ht="12" customHeight="1" thickBot="1">
      <c r="A93" s="146" t="s">
        <v>16</v>
      </c>
      <c r="B93" s="147" t="s">
        <v>710</v>
      </c>
      <c r="C93" s="148">
        <f>C94+C95+C96+C97+C98+C111</f>
        <v>446412464</v>
      </c>
      <c r="D93" s="148">
        <f>D94+D95+D96+D97+D98+D111</f>
        <v>452926249</v>
      </c>
    </row>
    <row r="94" spans="1:4" ht="12" customHeight="1">
      <c r="A94" s="149" t="s">
        <v>95</v>
      </c>
      <c r="B94" s="56" t="s">
        <v>46</v>
      </c>
      <c r="C94" s="150">
        <f>13504770+72692781+38660177</f>
        <v>124857728</v>
      </c>
      <c r="D94" s="150">
        <f>41272631+73303643+13507770</f>
        <v>128084044</v>
      </c>
    </row>
    <row r="95" spans="1:4" ht="12" customHeight="1">
      <c r="A95" s="113" t="s">
        <v>96</v>
      </c>
      <c r="B95" s="59" t="s">
        <v>174</v>
      </c>
      <c r="C95" s="115">
        <f>3529618+16986003+11068908</f>
        <v>31584529</v>
      </c>
      <c r="D95" s="115">
        <f>11255805+17210855+3526618</f>
        <v>31993278</v>
      </c>
    </row>
    <row r="96" spans="1:4" ht="12" customHeight="1">
      <c r="A96" s="113" t="s">
        <v>97</v>
      </c>
      <c r="B96" s="59" t="s">
        <v>133</v>
      </c>
      <c r="C96" s="120">
        <f>28340228+26416621+106153492</f>
        <v>160910341</v>
      </c>
      <c r="D96" s="120">
        <f>106327950+27327259+28340228</f>
        <v>161995437</v>
      </c>
    </row>
    <row r="97" spans="1:4" ht="12" customHeight="1">
      <c r="A97" s="113" t="s">
        <v>98</v>
      </c>
      <c r="B97" s="151" t="s">
        <v>175</v>
      </c>
      <c r="C97" s="120">
        <v>13067373</v>
      </c>
      <c r="D97" s="120">
        <f>13067373</f>
        <v>13067373</v>
      </c>
    </row>
    <row r="98" spans="1:4" ht="12" customHeight="1">
      <c r="A98" s="113" t="s">
        <v>109</v>
      </c>
      <c r="B98" s="152" t="s">
        <v>176</v>
      </c>
      <c r="C98" s="120">
        <f>C99+C100+C101+C102+C103+C104+C105+C106+C107+C108+C109+C110</f>
        <v>115992493</v>
      </c>
      <c r="D98" s="120">
        <f>D99+D100+D101+D102+D103+D104+D105+D106+D107+D108+D109+D110</f>
        <v>117786117</v>
      </c>
    </row>
    <row r="99" spans="1:4" ht="12" customHeight="1">
      <c r="A99" s="113" t="s">
        <v>99</v>
      </c>
      <c r="B99" s="59" t="s">
        <v>442</v>
      </c>
      <c r="C99" s="120"/>
      <c r="D99" s="120"/>
    </row>
    <row r="100" spans="1:4" ht="12" customHeight="1">
      <c r="A100" s="113" t="s">
        <v>100</v>
      </c>
      <c r="B100" s="153" t="s">
        <v>441</v>
      </c>
      <c r="C100" s="120"/>
      <c r="D100" s="120"/>
    </row>
    <row r="101" spans="1:4" ht="12" customHeight="1">
      <c r="A101" s="113" t="s">
        <v>110</v>
      </c>
      <c r="B101" s="153" t="s">
        <v>440</v>
      </c>
      <c r="C101" s="120">
        <v>572567</v>
      </c>
      <c r="D101" s="120">
        <v>572567</v>
      </c>
    </row>
    <row r="102" spans="1:4" ht="12" customHeight="1">
      <c r="A102" s="113" t="s">
        <v>111</v>
      </c>
      <c r="B102" s="154" t="s">
        <v>351</v>
      </c>
      <c r="C102" s="120"/>
      <c r="D102" s="120"/>
    </row>
    <row r="103" spans="1:4" ht="12" customHeight="1">
      <c r="A103" s="113" t="s">
        <v>112</v>
      </c>
      <c r="B103" s="155" t="s">
        <v>352</v>
      </c>
      <c r="C103" s="120"/>
      <c r="D103" s="120"/>
    </row>
    <row r="104" spans="1:4" ht="12" customHeight="1">
      <c r="A104" s="113" t="s">
        <v>113</v>
      </c>
      <c r="B104" s="155" t="s">
        <v>353</v>
      </c>
      <c r="C104" s="120"/>
      <c r="D104" s="120"/>
    </row>
    <row r="105" spans="1:4" ht="12" customHeight="1">
      <c r="A105" s="113" t="s">
        <v>115</v>
      </c>
      <c r="B105" s="154" t="s">
        <v>354</v>
      </c>
      <c r="C105" s="120">
        <v>113979926</v>
      </c>
      <c r="D105" s="120">
        <f>115753550+20000</f>
        <v>115773550</v>
      </c>
    </row>
    <row r="106" spans="1:4" ht="12" customHeight="1">
      <c r="A106" s="113" t="s">
        <v>177</v>
      </c>
      <c r="B106" s="154" t="s">
        <v>355</v>
      </c>
      <c r="C106" s="120"/>
      <c r="D106" s="120"/>
    </row>
    <row r="107" spans="1:4" ht="12" customHeight="1">
      <c r="A107" s="113" t="s">
        <v>349</v>
      </c>
      <c r="B107" s="155" t="s">
        <v>356</v>
      </c>
      <c r="C107" s="120"/>
      <c r="D107" s="120"/>
    </row>
    <row r="108" spans="1:4" ht="12" customHeight="1">
      <c r="A108" s="156" t="s">
        <v>350</v>
      </c>
      <c r="B108" s="153" t="s">
        <v>357</v>
      </c>
      <c r="C108" s="120"/>
      <c r="D108" s="120"/>
    </row>
    <row r="109" spans="1:4" ht="12" customHeight="1">
      <c r="A109" s="113" t="s">
        <v>438</v>
      </c>
      <c r="B109" s="153" t="s">
        <v>358</v>
      </c>
      <c r="C109" s="120"/>
      <c r="D109" s="120"/>
    </row>
    <row r="110" spans="1:4" ht="12" customHeight="1">
      <c r="A110" s="117" t="s">
        <v>439</v>
      </c>
      <c r="B110" s="153" t="s">
        <v>359</v>
      </c>
      <c r="C110" s="120">
        <f>1440000</f>
        <v>1440000</v>
      </c>
      <c r="D110" s="120">
        <f>1440000</f>
        <v>1440000</v>
      </c>
    </row>
    <row r="111" spans="1:4" ht="12" customHeight="1">
      <c r="A111" s="113" t="s">
        <v>443</v>
      </c>
      <c r="B111" s="151" t="s">
        <v>47</v>
      </c>
      <c r="C111" s="115"/>
      <c r="D111" s="115"/>
    </row>
    <row r="112" spans="1:4" ht="12" customHeight="1">
      <c r="A112" s="113" t="s">
        <v>444</v>
      </c>
      <c r="B112" s="59" t="s">
        <v>446</v>
      </c>
      <c r="C112" s="115"/>
      <c r="D112" s="115"/>
    </row>
    <row r="113" spans="1:4" ht="12" customHeight="1" thickBot="1">
      <c r="A113" s="157" t="s">
        <v>445</v>
      </c>
      <c r="B113" s="158" t="s">
        <v>447</v>
      </c>
      <c r="C113" s="159"/>
      <c r="D113" s="159"/>
    </row>
    <row r="114" spans="1:4" ht="12" customHeight="1" thickBot="1">
      <c r="A114" s="160" t="s">
        <v>17</v>
      </c>
      <c r="B114" s="161" t="s">
        <v>711</v>
      </c>
      <c r="C114" s="162">
        <f>+C115+C117+C119</f>
        <v>108482389</v>
      </c>
      <c r="D114" s="162">
        <f>+D115+D117+D119</f>
        <v>116776248</v>
      </c>
    </row>
    <row r="115" spans="1:4" ht="12" customHeight="1">
      <c r="A115" s="110" t="s">
        <v>101</v>
      </c>
      <c r="B115" s="59" t="s">
        <v>219</v>
      </c>
      <c r="C115" s="112">
        <f>1657256+62505349</f>
        <v>64162605</v>
      </c>
      <c r="D115" s="112">
        <f>77479207+127000+1657256</f>
        <v>79263463</v>
      </c>
    </row>
    <row r="116" spans="1:4" ht="12" customHeight="1">
      <c r="A116" s="110" t="s">
        <v>102</v>
      </c>
      <c r="B116" s="163" t="s">
        <v>363</v>
      </c>
      <c r="C116" s="112"/>
      <c r="D116" s="112"/>
    </row>
    <row r="117" spans="1:4" ht="12" customHeight="1">
      <c r="A117" s="110" t="s">
        <v>103</v>
      </c>
      <c r="B117" s="163" t="s">
        <v>178</v>
      </c>
      <c r="C117" s="115">
        <f>44319784</f>
        <v>44319784</v>
      </c>
      <c r="D117" s="115">
        <f>37512785</f>
        <v>37512785</v>
      </c>
    </row>
    <row r="118" spans="1:4" ht="12" customHeight="1">
      <c r="A118" s="110" t="s">
        <v>104</v>
      </c>
      <c r="B118" s="163" t="s">
        <v>364</v>
      </c>
      <c r="C118" s="164"/>
      <c r="D118" s="164"/>
    </row>
    <row r="119" spans="1:4" ht="12" customHeight="1">
      <c r="A119" s="110" t="s">
        <v>105</v>
      </c>
      <c r="B119" s="118" t="s">
        <v>222</v>
      </c>
      <c r="C119" s="164">
        <f>C120+C121+C122+C123+C124+C125+C126+C127</f>
        <v>0</v>
      </c>
      <c r="D119" s="164">
        <f>D120+D121+D122+D123+D124+D125+D126+D127</f>
        <v>0</v>
      </c>
    </row>
    <row r="120" spans="1:4" ht="12" customHeight="1">
      <c r="A120" s="110" t="s">
        <v>114</v>
      </c>
      <c r="B120" s="116" t="s">
        <v>426</v>
      </c>
      <c r="C120" s="164"/>
      <c r="D120" s="164"/>
    </row>
    <row r="121" spans="1:4" ht="12" customHeight="1">
      <c r="A121" s="110" t="s">
        <v>116</v>
      </c>
      <c r="B121" s="165" t="s">
        <v>369</v>
      </c>
      <c r="C121" s="164"/>
      <c r="D121" s="164"/>
    </row>
    <row r="122" spans="1:4">
      <c r="A122" s="110" t="s">
        <v>179</v>
      </c>
      <c r="B122" s="155" t="s">
        <v>353</v>
      </c>
      <c r="C122" s="164"/>
      <c r="D122" s="164"/>
    </row>
    <row r="123" spans="1:4" ht="12" customHeight="1">
      <c r="A123" s="110" t="s">
        <v>180</v>
      </c>
      <c r="B123" s="155" t="s">
        <v>368</v>
      </c>
      <c r="C123" s="164"/>
      <c r="D123" s="164"/>
    </row>
    <row r="124" spans="1:4" ht="12" customHeight="1">
      <c r="A124" s="110" t="s">
        <v>181</v>
      </c>
      <c r="B124" s="155" t="s">
        <v>367</v>
      </c>
      <c r="C124" s="164"/>
      <c r="D124" s="164"/>
    </row>
    <row r="125" spans="1:4" ht="12" customHeight="1">
      <c r="A125" s="110" t="s">
        <v>360</v>
      </c>
      <c r="B125" s="155" t="s">
        <v>356</v>
      </c>
      <c r="C125" s="164"/>
      <c r="D125" s="164"/>
    </row>
    <row r="126" spans="1:4" ht="12" customHeight="1">
      <c r="A126" s="110" t="s">
        <v>361</v>
      </c>
      <c r="B126" s="155" t="s">
        <v>366</v>
      </c>
      <c r="C126" s="164"/>
      <c r="D126" s="164"/>
    </row>
    <row r="127" spans="1:4" ht="16.5" thickBot="1">
      <c r="A127" s="156" t="s">
        <v>362</v>
      </c>
      <c r="B127" s="155" t="s">
        <v>365</v>
      </c>
      <c r="C127" s="166"/>
      <c r="D127" s="166"/>
    </row>
    <row r="128" spans="1:4" ht="12" customHeight="1" thickBot="1">
      <c r="A128" s="106" t="s">
        <v>18</v>
      </c>
      <c r="B128" s="67" t="s">
        <v>448</v>
      </c>
      <c r="C128" s="108">
        <f>C93+C114</f>
        <v>554894853</v>
      </c>
      <c r="D128" s="108">
        <f>D93+D114</f>
        <v>569702497</v>
      </c>
    </row>
    <row r="129" spans="1:4" ht="12" customHeight="1" thickBot="1">
      <c r="A129" s="106" t="s">
        <v>19</v>
      </c>
      <c r="B129" s="67" t="s">
        <v>449</v>
      </c>
      <c r="C129" s="108">
        <f>+C130+C131+C132</f>
        <v>0</v>
      </c>
      <c r="D129" s="108">
        <f>+D130+D131+D132</f>
        <v>0</v>
      </c>
    </row>
    <row r="130" spans="1:4" ht="12" customHeight="1">
      <c r="A130" s="110" t="s">
        <v>261</v>
      </c>
      <c r="B130" s="163" t="s">
        <v>456</v>
      </c>
      <c r="C130" s="164"/>
      <c r="D130" s="164"/>
    </row>
    <row r="131" spans="1:4" ht="12" customHeight="1">
      <c r="A131" s="110" t="s">
        <v>264</v>
      </c>
      <c r="B131" s="163" t="s">
        <v>457</v>
      </c>
      <c r="C131" s="164"/>
      <c r="D131" s="164"/>
    </row>
    <row r="132" spans="1:4" ht="12" customHeight="1" thickBot="1">
      <c r="A132" s="156" t="s">
        <v>265</v>
      </c>
      <c r="B132" s="163" t="s">
        <v>458</v>
      </c>
      <c r="C132" s="164"/>
      <c r="D132" s="164"/>
    </row>
    <row r="133" spans="1:4" ht="12" customHeight="1" thickBot="1">
      <c r="A133" s="106" t="s">
        <v>20</v>
      </c>
      <c r="B133" s="67" t="s">
        <v>450</v>
      </c>
      <c r="C133" s="108">
        <f>SUM(C134:C139)</f>
        <v>0</v>
      </c>
      <c r="D133" s="108">
        <f>SUM(D134:D139)</f>
        <v>0</v>
      </c>
    </row>
    <row r="134" spans="1:4" ht="12" customHeight="1">
      <c r="A134" s="110" t="s">
        <v>88</v>
      </c>
      <c r="B134" s="65" t="s">
        <v>459</v>
      </c>
      <c r="C134" s="164"/>
      <c r="D134" s="164"/>
    </row>
    <row r="135" spans="1:4" ht="12" customHeight="1">
      <c r="A135" s="110" t="s">
        <v>89</v>
      </c>
      <c r="B135" s="65" t="s">
        <v>451</v>
      </c>
      <c r="C135" s="164"/>
      <c r="D135" s="164"/>
    </row>
    <row r="136" spans="1:4" ht="12" customHeight="1">
      <c r="A136" s="110" t="s">
        <v>90</v>
      </c>
      <c r="B136" s="65" t="s">
        <v>452</v>
      </c>
      <c r="C136" s="164"/>
      <c r="D136" s="164"/>
    </row>
    <row r="137" spans="1:4" ht="12" customHeight="1">
      <c r="A137" s="110" t="s">
        <v>166</v>
      </c>
      <c r="B137" s="65" t="s">
        <v>453</v>
      </c>
      <c r="C137" s="164"/>
      <c r="D137" s="164"/>
    </row>
    <row r="138" spans="1:4" ht="12" customHeight="1">
      <c r="A138" s="110" t="s">
        <v>167</v>
      </c>
      <c r="B138" s="65" t="s">
        <v>454</v>
      </c>
      <c r="C138" s="164"/>
      <c r="D138" s="164"/>
    </row>
    <row r="139" spans="1:4" ht="12" customHeight="1" thickBot="1">
      <c r="A139" s="156" t="s">
        <v>168</v>
      </c>
      <c r="B139" s="65" t="s">
        <v>455</v>
      </c>
      <c r="C139" s="164"/>
      <c r="D139" s="164"/>
    </row>
    <row r="140" spans="1:4" ht="12" customHeight="1" thickBot="1">
      <c r="A140" s="106" t="s">
        <v>21</v>
      </c>
      <c r="B140" s="67" t="s">
        <v>463</v>
      </c>
      <c r="C140" s="122">
        <f>+C141+C142+C143+C144</f>
        <v>7777206</v>
      </c>
      <c r="D140" s="122">
        <f>+D141+D142+D143+D144</f>
        <v>7777206</v>
      </c>
    </row>
    <row r="141" spans="1:4" ht="12" customHeight="1">
      <c r="A141" s="110" t="s">
        <v>91</v>
      </c>
      <c r="B141" s="65" t="s">
        <v>370</v>
      </c>
      <c r="C141" s="164"/>
      <c r="D141" s="164"/>
    </row>
    <row r="142" spans="1:4" ht="12" customHeight="1">
      <c r="A142" s="110" t="s">
        <v>92</v>
      </c>
      <c r="B142" s="65" t="s">
        <v>371</v>
      </c>
      <c r="C142" s="164">
        <v>7777206</v>
      </c>
      <c r="D142" s="164">
        <v>7777206</v>
      </c>
    </row>
    <row r="143" spans="1:4" ht="12" customHeight="1">
      <c r="A143" s="110" t="s">
        <v>285</v>
      </c>
      <c r="B143" s="65" t="s">
        <v>464</v>
      </c>
      <c r="C143" s="164"/>
      <c r="D143" s="164"/>
    </row>
    <row r="144" spans="1:4" ht="12" customHeight="1" thickBot="1">
      <c r="A144" s="156" t="s">
        <v>286</v>
      </c>
      <c r="B144" s="61" t="s">
        <v>390</v>
      </c>
      <c r="C144" s="164"/>
      <c r="D144" s="164"/>
    </row>
    <row r="145" spans="1:4" ht="12" customHeight="1" thickBot="1">
      <c r="A145" s="106" t="s">
        <v>22</v>
      </c>
      <c r="B145" s="67" t="s">
        <v>465</v>
      </c>
      <c r="C145" s="167">
        <f>SUM(C146:C150)</f>
        <v>0</v>
      </c>
      <c r="D145" s="167">
        <f>SUM(D146:D150)</f>
        <v>0</v>
      </c>
    </row>
    <row r="146" spans="1:4" ht="12" customHeight="1">
      <c r="A146" s="110" t="s">
        <v>93</v>
      </c>
      <c r="B146" s="65" t="s">
        <v>460</v>
      </c>
      <c r="C146" s="164"/>
      <c r="D146" s="164"/>
    </row>
    <row r="147" spans="1:4" ht="12" customHeight="1">
      <c r="A147" s="110" t="s">
        <v>94</v>
      </c>
      <c r="B147" s="65" t="s">
        <v>467</v>
      </c>
      <c r="C147" s="164"/>
      <c r="D147" s="164"/>
    </row>
    <row r="148" spans="1:4" ht="12" customHeight="1">
      <c r="A148" s="110" t="s">
        <v>297</v>
      </c>
      <c r="B148" s="65" t="s">
        <v>462</v>
      </c>
      <c r="C148" s="164"/>
      <c r="D148" s="164"/>
    </row>
    <row r="149" spans="1:4" ht="12" customHeight="1">
      <c r="A149" s="110" t="s">
        <v>298</v>
      </c>
      <c r="B149" s="65" t="s">
        <v>468</v>
      </c>
      <c r="C149" s="164"/>
      <c r="D149" s="164"/>
    </row>
    <row r="150" spans="1:4" ht="12" customHeight="1" thickBot="1">
      <c r="A150" s="110" t="s">
        <v>466</v>
      </c>
      <c r="B150" s="65" t="s">
        <v>469</v>
      </c>
      <c r="C150" s="164"/>
      <c r="D150" s="164"/>
    </row>
    <row r="151" spans="1:4" ht="12" customHeight="1" thickBot="1">
      <c r="A151" s="106" t="s">
        <v>23</v>
      </c>
      <c r="B151" s="67" t="s">
        <v>470</v>
      </c>
      <c r="C151" s="168"/>
      <c r="D151" s="168"/>
    </row>
    <row r="152" spans="1:4" ht="12" customHeight="1" thickBot="1">
      <c r="A152" s="106" t="s">
        <v>24</v>
      </c>
      <c r="B152" s="67" t="s">
        <v>545</v>
      </c>
      <c r="C152" s="168"/>
      <c r="D152" s="168"/>
    </row>
    <row r="153" spans="1:4" ht="15" customHeight="1" thickBot="1">
      <c r="A153" s="106" t="s">
        <v>25</v>
      </c>
      <c r="B153" s="67" t="s">
        <v>473</v>
      </c>
      <c r="C153" s="169">
        <f>+C129+C133+C140+C145+C151+C152</f>
        <v>7777206</v>
      </c>
      <c r="D153" s="169">
        <f>+D129+D133+D140+D145+D151+D152</f>
        <v>7777206</v>
      </c>
    </row>
    <row r="154" spans="1:4" s="109" customFormat="1" ht="12.95" customHeight="1" thickBot="1">
      <c r="A154" s="171" t="s">
        <v>26</v>
      </c>
      <c r="B154" s="172" t="s">
        <v>472</v>
      </c>
      <c r="C154" s="169">
        <f>+C128+C153</f>
        <v>562672059</v>
      </c>
      <c r="D154" s="169">
        <f>+D128+D153</f>
        <v>577479703</v>
      </c>
    </row>
    <row r="155" spans="1:4" ht="7.5" customHeight="1"/>
    <row r="156" spans="1:4">
      <c r="A156" s="693" t="s">
        <v>372</v>
      </c>
      <c r="B156" s="693"/>
      <c r="C156" s="98"/>
      <c r="D156" s="98"/>
    </row>
    <row r="157" spans="1:4" ht="15" customHeight="1" thickBot="1">
      <c r="A157" s="690" t="s">
        <v>146</v>
      </c>
      <c r="B157" s="690"/>
      <c r="C157" s="99" t="s">
        <v>220</v>
      </c>
      <c r="D157" s="99" t="s">
        <v>220</v>
      </c>
    </row>
    <row r="158" spans="1:4" ht="13.5" customHeight="1" thickBot="1">
      <c r="A158" s="106">
        <v>1</v>
      </c>
      <c r="B158" s="174" t="s">
        <v>474</v>
      </c>
      <c r="C158" s="108">
        <f>+C62-C128</f>
        <v>-203187023</v>
      </c>
      <c r="D158" s="108">
        <f>+D62-D128</f>
        <v>-215909219</v>
      </c>
    </row>
    <row r="159" spans="1:4" ht="27.75" customHeight="1" thickBot="1">
      <c r="A159" s="106" t="s">
        <v>17</v>
      </c>
      <c r="B159" s="174" t="s">
        <v>480</v>
      </c>
      <c r="C159" s="108">
        <f>+C86-C153</f>
        <v>203187023</v>
      </c>
      <c r="D159" s="108">
        <f>+D86-D153</f>
        <v>215909219</v>
      </c>
    </row>
  </sheetData>
  <mergeCells count="6">
    <mergeCell ref="A156:B156"/>
    <mergeCell ref="A157:B157"/>
    <mergeCell ref="A1:B1"/>
    <mergeCell ref="A2:B2"/>
    <mergeCell ref="A89:B89"/>
    <mergeCell ref="A90:B90"/>
  </mergeCells>
  <phoneticPr fontId="6" type="noConversion"/>
  <printOptions horizontalCentered="1"/>
  <pageMargins left="0.19685039370078741" right="0.19685039370078741" top="0.19685039370078741" bottom="0.19685039370078741" header="0.78740157480314965" footer="0.59055118110236227"/>
  <pageSetup paperSize="9" scale="70" orientation="portrait" r:id="rId1"/>
  <headerFooter alignWithMargins="0">
    <oddHeader>&amp;C&amp;"Times New Roman CE,Félkövér"&amp;12
Vonyarcvashegy Nagyközség Önkormányzata
2017. ÉVI KÖLTSÉGVETÉS
KÖTELEZŐ FELADATAINAK MÉRLEGE &amp;R&amp;"Times New Roman CE,Félkövér dőlt"&amp;11 1.2. melléklet a 7/2017. (V.26.) önkormányzati rendelethez</oddHeader>
    <oddFooter>&amp;P. oldal, összesen: &amp;N</oddFooter>
  </headerFooter>
  <rowBreaks count="1" manualBreakCount="1">
    <brk id="88" max="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indexed="48"/>
  </sheetPr>
  <dimension ref="A1:D61"/>
  <sheetViews>
    <sheetView zoomScaleNormal="100" workbookViewId="0">
      <selection activeCell="B1" sqref="B1"/>
    </sheetView>
  </sheetViews>
  <sheetFormatPr defaultRowHeight="12.75"/>
  <cols>
    <col min="1" max="1" width="13.83203125" style="93" customWidth="1"/>
    <col min="2" max="2" width="79.1640625" style="44" customWidth="1"/>
    <col min="3" max="4" width="25" style="44" customWidth="1"/>
    <col min="5" max="16384" width="9.33203125" style="44"/>
  </cols>
  <sheetData>
    <row r="1" spans="1:4" s="30" customFormat="1" ht="21" customHeight="1" thickBot="1">
      <c r="A1" s="28"/>
      <c r="B1" s="29" t="s">
        <v>736</v>
      </c>
      <c r="C1" s="29"/>
      <c r="D1" s="29"/>
    </row>
    <row r="2" spans="1:4" s="34" customFormat="1" ht="33" customHeight="1">
      <c r="A2" s="31" t="s">
        <v>194</v>
      </c>
      <c r="B2" s="32" t="s">
        <v>541</v>
      </c>
      <c r="C2" s="33" t="s">
        <v>56</v>
      </c>
      <c r="D2" s="33" t="s">
        <v>56</v>
      </c>
    </row>
    <row r="3" spans="1:4" s="34" customFormat="1" ht="24.75" thickBot="1">
      <c r="A3" s="35" t="s">
        <v>193</v>
      </c>
      <c r="B3" s="36" t="s">
        <v>417</v>
      </c>
      <c r="C3" s="37" t="s">
        <v>56</v>
      </c>
      <c r="D3" s="37" t="s">
        <v>56</v>
      </c>
    </row>
    <row r="4" spans="1:4" s="40" customFormat="1" ht="15.95" customHeight="1" thickBot="1">
      <c r="A4" s="38"/>
      <c r="B4" s="38"/>
      <c r="C4" s="39" t="s">
        <v>597</v>
      </c>
      <c r="D4" s="39" t="s">
        <v>597</v>
      </c>
    </row>
    <row r="5" spans="1:4" ht="24.75" thickBot="1">
      <c r="A5" s="41" t="s">
        <v>195</v>
      </c>
      <c r="B5" s="42" t="s">
        <v>52</v>
      </c>
      <c r="C5" s="43" t="s">
        <v>613</v>
      </c>
      <c r="D5" s="43" t="s">
        <v>709</v>
      </c>
    </row>
    <row r="6" spans="1:4" s="48" customFormat="1" ht="12.95" customHeight="1" thickBot="1">
      <c r="A6" s="45" t="s">
        <v>487</v>
      </c>
      <c r="B6" s="46" t="s">
        <v>488</v>
      </c>
      <c r="C6" s="47" t="s">
        <v>489</v>
      </c>
      <c r="D6" s="47" t="s">
        <v>489</v>
      </c>
    </row>
    <row r="7" spans="1:4" s="48" customFormat="1" ht="15.95" customHeight="1" thickBot="1">
      <c r="A7" s="49"/>
      <c r="B7" s="50" t="s">
        <v>53</v>
      </c>
      <c r="C7" s="51"/>
      <c r="D7" s="51"/>
    </row>
    <row r="8" spans="1:4" s="54" customFormat="1" ht="12" customHeight="1" thickBot="1">
      <c r="A8" s="45" t="s">
        <v>16</v>
      </c>
      <c r="B8" s="52" t="s">
        <v>515</v>
      </c>
      <c r="C8" s="53">
        <f>SUM(C9:C19)</f>
        <v>1390790</v>
      </c>
      <c r="D8" s="53">
        <f>SUM(D9:D19)</f>
        <v>1948790</v>
      </c>
    </row>
    <row r="9" spans="1:4" s="54" customFormat="1" ht="12" customHeight="1">
      <c r="A9" s="55" t="s">
        <v>95</v>
      </c>
      <c r="B9" s="56" t="s">
        <v>274</v>
      </c>
      <c r="C9" s="57"/>
      <c r="D9" s="57"/>
    </row>
    <row r="10" spans="1:4" s="54" customFormat="1" ht="12" customHeight="1">
      <c r="A10" s="58" t="s">
        <v>96</v>
      </c>
      <c r="B10" s="59" t="s">
        <v>275</v>
      </c>
      <c r="C10" s="60">
        <v>1390650</v>
      </c>
      <c r="D10" s="60">
        <v>1390650</v>
      </c>
    </row>
    <row r="11" spans="1:4" s="54" customFormat="1" ht="12" customHeight="1">
      <c r="A11" s="58" t="s">
        <v>97</v>
      </c>
      <c r="B11" s="59" t="s">
        <v>276</v>
      </c>
      <c r="C11" s="60"/>
      <c r="D11" s="60">
        <v>558000</v>
      </c>
    </row>
    <row r="12" spans="1:4" s="54" customFormat="1" ht="12" customHeight="1">
      <c r="A12" s="58" t="s">
        <v>98</v>
      </c>
      <c r="B12" s="59" t="s">
        <v>277</v>
      </c>
      <c r="C12" s="60"/>
      <c r="D12" s="60"/>
    </row>
    <row r="13" spans="1:4" s="54" customFormat="1" ht="12" customHeight="1">
      <c r="A13" s="58" t="s">
        <v>141</v>
      </c>
      <c r="B13" s="59" t="s">
        <v>278</v>
      </c>
      <c r="C13" s="60"/>
      <c r="D13" s="60"/>
    </row>
    <row r="14" spans="1:4" s="54" customFormat="1" ht="12" customHeight="1">
      <c r="A14" s="58" t="s">
        <v>99</v>
      </c>
      <c r="B14" s="59" t="s">
        <v>399</v>
      </c>
      <c r="C14" s="60"/>
      <c r="D14" s="60"/>
    </row>
    <row r="15" spans="1:4" s="54" customFormat="1" ht="12" customHeight="1">
      <c r="A15" s="58" t="s">
        <v>100</v>
      </c>
      <c r="B15" s="61" t="s">
        <v>400</v>
      </c>
      <c r="C15" s="60"/>
      <c r="D15" s="60"/>
    </row>
    <row r="16" spans="1:4" s="54" customFormat="1" ht="12" customHeight="1">
      <c r="A16" s="58" t="s">
        <v>110</v>
      </c>
      <c r="B16" s="59" t="s">
        <v>281</v>
      </c>
      <c r="C16" s="62">
        <v>140</v>
      </c>
      <c r="D16" s="62">
        <v>140</v>
      </c>
    </row>
    <row r="17" spans="1:4" s="63" customFormat="1" ht="12" customHeight="1">
      <c r="A17" s="58" t="s">
        <v>111</v>
      </c>
      <c r="B17" s="59" t="s">
        <v>282</v>
      </c>
      <c r="C17" s="60"/>
      <c r="D17" s="60"/>
    </row>
    <row r="18" spans="1:4" s="63" customFormat="1" ht="12" customHeight="1">
      <c r="A18" s="58" t="s">
        <v>112</v>
      </c>
      <c r="B18" s="59" t="s">
        <v>434</v>
      </c>
      <c r="C18" s="64"/>
      <c r="D18" s="64"/>
    </row>
    <row r="19" spans="1:4" s="63" customFormat="1" ht="12" customHeight="1" thickBot="1">
      <c r="A19" s="58" t="s">
        <v>113</v>
      </c>
      <c r="B19" s="61" t="s">
        <v>283</v>
      </c>
      <c r="C19" s="64"/>
      <c r="D19" s="64"/>
    </row>
    <row r="20" spans="1:4" s="54" customFormat="1" ht="12" customHeight="1" thickBot="1">
      <c r="A20" s="45" t="s">
        <v>17</v>
      </c>
      <c r="B20" s="52" t="s">
        <v>401</v>
      </c>
      <c r="C20" s="53">
        <f>SUM(C21:C23)</f>
        <v>0</v>
      </c>
      <c r="D20" s="53">
        <f>SUM(D21:D23)</f>
        <v>0</v>
      </c>
    </row>
    <row r="21" spans="1:4" s="63" customFormat="1" ht="12" customHeight="1">
      <c r="A21" s="58" t="s">
        <v>101</v>
      </c>
      <c r="B21" s="65" t="s">
        <v>251</v>
      </c>
      <c r="C21" s="60"/>
      <c r="D21" s="60"/>
    </row>
    <row r="22" spans="1:4" s="63" customFormat="1" ht="12" customHeight="1">
      <c r="A22" s="58" t="s">
        <v>102</v>
      </c>
      <c r="B22" s="59" t="s">
        <v>402</v>
      </c>
      <c r="C22" s="60"/>
      <c r="D22" s="60"/>
    </row>
    <row r="23" spans="1:4" s="63" customFormat="1" ht="12" customHeight="1">
      <c r="A23" s="58" t="s">
        <v>103</v>
      </c>
      <c r="B23" s="59" t="s">
        <v>403</v>
      </c>
      <c r="C23" s="60"/>
      <c r="D23" s="60"/>
    </row>
    <row r="24" spans="1:4" s="63" customFormat="1" ht="12" customHeight="1" thickBot="1">
      <c r="A24" s="58" t="s">
        <v>104</v>
      </c>
      <c r="B24" s="59" t="s">
        <v>516</v>
      </c>
      <c r="C24" s="60"/>
      <c r="D24" s="60"/>
    </row>
    <row r="25" spans="1:4" s="63" customFormat="1" ht="12" customHeight="1" thickBot="1">
      <c r="A25" s="66" t="s">
        <v>18</v>
      </c>
      <c r="B25" s="67" t="s">
        <v>165</v>
      </c>
      <c r="C25" s="68"/>
      <c r="D25" s="68"/>
    </row>
    <row r="26" spans="1:4" s="63" customFormat="1" ht="12" customHeight="1" thickBot="1">
      <c r="A26" s="66" t="s">
        <v>19</v>
      </c>
      <c r="B26" s="67" t="s">
        <v>517</v>
      </c>
      <c r="C26" s="53">
        <f>+C27+C28+C29</f>
        <v>0</v>
      </c>
      <c r="D26" s="53">
        <f>+D27+D28+D29</f>
        <v>0</v>
      </c>
    </row>
    <row r="27" spans="1:4" s="63" customFormat="1" ht="12" customHeight="1">
      <c r="A27" s="69" t="s">
        <v>261</v>
      </c>
      <c r="B27" s="70" t="s">
        <v>256</v>
      </c>
      <c r="C27" s="71"/>
      <c r="D27" s="71"/>
    </row>
    <row r="28" spans="1:4" s="63" customFormat="1" ht="12" customHeight="1">
      <c r="A28" s="69" t="s">
        <v>264</v>
      </c>
      <c r="B28" s="70" t="s">
        <v>402</v>
      </c>
      <c r="C28" s="60"/>
      <c r="D28" s="60"/>
    </row>
    <row r="29" spans="1:4" s="63" customFormat="1" ht="12" customHeight="1">
      <c r="A29" s="69" t="s">
        <v>265</v>
      </c>
      <c r="B29" s="72" t="s">
        <v>405</v>
      </c>
      <c r="C29" s="60"/>
      <c r="D29" s="60"/>
    </row>
    <row r="30" spans="1:4" s="63" customFormat="1" ht="12" customHeight="1" thickBot="1">
      <c r="A30" s="58" t="s">
        <v>266</v>
      </c>
      <c r="B30" s="74" t="s">
        <v>518</v>
      </c>
      <c r="C30" s="75"/>
      <c r="D30" s="75"/>
    </row>
    <row r="31" spans="1:4" s="63" customFormat="1" ht="12" customHeight="1" thickBot="1">
      <c r="A31" s="66" t="s">
        <v>20</v>
      </c>
      <c r="B31" s="67" t="s">
        <v>406</v>
      </c>
      <c r="C31" s="53">
        <f>+C32+C33+C34</f>
        <v>0</v>
      </c>
      <c r="D31" s="53">
        <f>+D32+D33+D34</f>
        <v>0</v>
      </c>
    </row>
    <row r="32" spans="1:4" s="63" customFormat="1" ht="12" customHeight="1">
      <c r="A32" s="69" t="s">
        <v>88</v>
      </c>
      <c r="B32" s="70" t="s">
        <v>288</v>
      </c>
      <c r="C32" s="71"/>
      <c r="D32" s="71"/>
    </row>
    <row r="33" spans="1:4" s="63" customFormat="1" ht="12" customHeight="1">
      <c r="A33" s="69" t="s">
        <v>89</v>
      </c>
      <c r="B33" s="72" t="s">
        <v>289</v>
      </c>
      <c r="C33" s="73"/>
      <c r="D33" s="73"/>
    </row>
    <row r="34" spans="1:4" s="63" customFormat="1" ht="12" customHeight="1" thickBot="1">
      <c r="A34" s="58" t="s">
        <v>90</v>
      </c>
      <c r="B34" s="74" t="s">
        <v>290</v>
      </c>
      <c r="C34" s="75"/>
      <c r="D34" s="75"/>
    </row>
    <row r="35" spans="1:4" s="54" customFormat="1" ht="12" customHeight="1" thickBot="1">
      <c r="A35" s="66" t="s">
        <v>21</v>
      </c>
      <c r="B35" s="67" t="s">
        <v>375</v>
      </c>
      <c r="C35" s="68"/>
      <c r="D35" s="68"/>
    </row>
    <row r="36" spans="1:4" s="54" customFormat="1" ht="12" customHeight="1" thickBot="1">
      <c r="A36" s="66" t="s">
        <v>22</v>
      </c>
      <c r="B36" s="67" t="s">
        <v>407</v>
      </c>
      <c r="C36" s="76"/>
      <c r="D36" s="76"/>
    </row>
    <row r="37" spans="1:4" s="54" customFormat="1" ht="12" customHeight="1" thickBot="1">
      <c r="A37" s="45" t="s">
        <v>23</v>
      </c>
      <c r="B37" s="67" t="s">
        <v>408</v>
      </c>
      <c r="C37" s="77">
        <f>+C8+C20+C25+C26+C31+C35+C36</f>
        <v>1390790</v>
      </c>
      <c r="D37" s="77">
        <f>+D8+D20+D25+D26+D31+D35+D36</f>
        <v>1948790</v>
      </c>
    </row>
    <row r="38" spans="1:4" s="54" customFormat="1" ht="12" customHeight="1" thickBot="1">
      <c r="A38" s="78" t="s">
        <v>24</v>
      </c>
      <c r="B38" s="67" t="s">
        <v>409</v>
      </c>
      <c r="C38" s="77">
        <f>+C39+C40+C41</f>
        <v>114704615</v>
      </c>
      <c r="D38" s="77">
        <f>+D39+D40+D41</f>
        <v>116019967</v>
      </c>
    </row>
    <row r="39" spans="1:4" s="54" customFormat="1" ht="12" customHeight="1">
      <c r="A39" s="69" t="s">
        <v>410</v>
      </c>
      <c r="B39" s="70" t="s">
        <v>229</v>
      </c>
      <c r="C39" s="71">
        <v>440774</v>
      </c>
      <c r="D39" s="71">
        <f>440774+220515</f>
        <v>661289</v>
      </c>
    </row>
    <row r="40" spans="1:4" s="54" customFormat="1" ht="12" customHeight="1">
      <c r="A40" s="69" t="s">
        <v>411</v>
      </c>
      <c r="B40" s="72" t="s">
        <v>2</v>
      </c>
      <c r="C40" s="73"/>
      <c r="D40" s="73"/>
    </row>
    <row r="41" spans="1:4" s="63" customFormat="1" ht="12" customHeight="1" thickBot="1">
      <c r="A41" s="58" t="s">
        <v>412</v>
      </c>
      <c r="B41" s="74" t="s">
        <v>413</v>
      </c>
      <c r="C41" s="75">
        <v>114263841</v>
      </c>
      <c r="D41" s="75">
        <f>114263841-220515+1307300+8052</f>
        <v>115358678</v>
      </c>
    </row>
    <row r="42" spans="1:4" s="63" customFormat="1" ht="15" customHeight="1" thickBot="1">
      <c r="A42" s="78" t="s">
        <v>25</v>
      </c>
      <c r="B42" s="79" t="s">
        <v>414</v>
      </c>
      <c r="C42" s="80">
        <f>C37+C38</f>
        <v>116095405</v>
      </c>
      <c r="D42" s="80">
        <f>D37+D38</f>
        <v>117968757</v>
      </c>
    </row>
    <row r="43" spans="1:4" s="63" customFormat="1" ht="15" customHeight="1">
      <c r="A43" s="81"/>
      <c r="B43" s="82"/>
      <c r="C43" s="83"/>
      <c r="D43" s="83"/>
    </row>
    <row r="44" spans="1:4" ht="13.5" thickBot="1">
      <c r="A44" s="84"/>
      <c r="B44" s="85"/>
      <c r="C44" s="86"/>
      <c r="D44" s="86"/>
    </row>
    <row r="45" spans="1:4" s="48" customFormat="1" ht="16.5" customHeight="1" thickBot="1">
      <c r="A45" s="87"/>
      <c r="B45" s="88" t="s">
        <v>54</v>
      </c>
      <c r="C45" s="80"/>
      <c r="D45" s="80"/>
    </row>
    <row r="46" spans="1:4" s="89" customFormat="1" ht="12" customHeight="1" thickBot="1">
      <c r="A46" s="66" t="s">
        <v>16</v>
      </c>
      <c r="B46" s="67" t="s">
        <v>415</v>
      </c>
      <c r="C46" s="53">
        <f>SUM(C47:C51)</f>
        <v>116095405</v>
      </c>
      <c r="D46" s="53">
        <f>SUM(D47:D51)</f>
        <v>117841757</v>
      </c>
    </row>
    <row r="47" spans="1:4" ht="12" customHeight="1">
      <c r="A47" s="58" t="s">
        <v>95</v>
      </c>
      <c r="B47" s="65" t="s">
        <v>46</v>
      </c>
      <c r="C47" s="71">
        <v>72692781</v>
      </c>
      <c r="D47" s="71">
        <f>72692781-479638+17000+1066900+6600</f>
        <v>73303643</v>
      </c>
    </row>
    <row r="48" spans="1:4" ht="12" customHeight="1">
      <c r="A48" s="58" t="s">
        <v>96</v>
      </c>
      <c r="B48" s="59" t="s">
        <v>174</v>
      </c>
      <c r="C48" s="90">
        <v>16986003</v>
      </c>
      <c r="D48" s="90">
        <f>16986003-17000+240400+1452</f>
        <v>17210855</v>
      </c>
    </row>
    <row r="49" spans="1:4" ht="12" customHeight="1">
      <c r="A49" s="58" t="s">
        <v>97</v>
      </c>
      <c r="B49" s="59" t="s">
        <v>133</v>
      </c>
      <c r="C49" s="90">
        <v>26416621</v>
      </c>
      <c r="D49" s="90">
        <f>26416621-127000+479638+558000</f>
        <v>27327259</v>
      </c>
    </row>
    <row r="50" spans="1:4" ht="12" customHeight="1">
      <c r="A50" s="58" t="s">
        <v>98</v>
      </c>
      <c r="B50" s="59" t="s">
        <v>175</v>
      </c>
      <c r="C50" s="90"/>
      <c r="D50" s="90"/>
    </row>
    <row r="51" spans="1:4" ht="12" customHeight="1" thickBot="1">
      <c r="A51" s="58" t="s">
        <v>141</v>
      </c>
      <c r="B51" s="59" t="s">
        <v>176</v>
      </c>
      <c r="C51" s="90"/>
      <c r="D51" s="90"/>
    </row>
    <row r="52" spans="1:4" ht="12" customHeight="1" thickBot="1">
      <c r="A52" s="66" t="s">
        <v>17</v>
      </c>
      <c r="B52" s="67" t="s">
        <v>416</v>
      </c>
      <c r="C52" s="53">
        <f>SUM(C53:C55)</f>
        <v>0</v>
      </c>
      <c r="D52" s="53">
        <f>SUM(D53:D55)</f>
        <v>127000</v>
      </c>
    </row>
    <row r="53" spans="1:4" s="89" customFormat="1" ht="12" customHeight="1">
      <c r="A53" s="58" t="s">
        <v>101</v>
      </c>
      <c r="B53" s="65" t="s">
        <v>219</v>
      </c>
      <c r="C53" s="71"/>
      <c r="D53" s="71">
        <f>127000</f>
        <v>127000</v>
      </c>
    </row>
    <row r="54" spans="1:4" ht="12" customHeight="1">
      <c r="A54" s="58" t="s">
        <v>102</v>
      </c>
      <c r="B54" s="59" t="s">
        <v>178</v>
      </c>
      <c r="C54" s="90"/>
      <c r="D54" s="90"/>
    </row>
    <row r="55" spans="1:4" ht="12" customHeight="1">
      <c r="A55" s="58" t="s">
        <v>103</v>
      </c>
      <c r="B55" s="59" t="s">
        <v>55</v>
      </c>
      <c r="C55" s="90"/>
      <c r="D55" s="90"/>
    </row>
    <row r="56" spans="1:4" ht="12" customHeight="1" thickBot="1">
      <c r="A56" s="58" t="s">
        <v>104</v>
      </c>
      <c r="B56" s="59" t="s">
        <v>519</v>
      </c>
      <c r="C56" s="90"/>
      <c r="D56" s="90"/>
    </row>
    <row r="57" spans="1:4" ht="15" customHeight="1" thickBot="1">
      <c r="A57" s="66" t="s">
        <v>18</v>
      </c>
      <c r="B57" s="67" t="s">
        <v>12</v>
      </c>
      <c r="C57" s="68"/>
      <c r="D57" s="68"/>
    </row>
    <row r="58" spans="1:4" ht="13.5" thickBot="1">
      <c r="A58" s="66" t="s">
        <v>19</v>
      </c>
      <c r="B58" s="91" t="s">
        <v>524</v>
      </c>
      <c r="C58" s="92">
        <f>+C46+C52+C57</f>
        <v>116095405</v>
      </c>
      <c r="D58" s="92">
        <f>+D46+D52+D57</f>
        <v>117968757</v>
      </c>
    </row>
    <row r="59" spans="1:4" ht="15" customHeight="1" thickBot="1">
      <c r="C59" s="94"/>
      <c r="D59" s="94"/>
    </row>
    <row r="60" spans="1:4" ht="14.25" customHeight="1" thickBot="1">
      <c r="A60" s="95" t="s">
        <v>514</v>
      </c>
      <c r="B60" s="96"/>
      <c r="C60" s="97">
        <v>20</v>
      </c>
      <c r="D60" s="97">
        <v>20</v>
      </c>
    </row>
    <row r="61" spans="1:4" ht="13.5" thickBot="1">
      <c r="A61" s="95" t="s">
        <v>196</v>
      </c>
      <c r="B61" s="96"/>
      <c r="C61" s="97"/>
      <c r="D61" s="9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49" orientation="portrait" verticalDpi="300" r:id="rId1"/>
  <headerFooter alignWithMargins="0">
    <oddFooter>&amp;P. oldal, összesen: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indexed="48"/>
  </sheetPr>
  <dimension ref="A1:D61"/>
  <sheetViews>
    <sheetView zoomScaleNormal="100" workbookViewId="0">
      <selection activeCell="B1" sqref="B1"/>
    </sheetView>
  </sheetViews>
  <sheetFormatPr defaultRowHeight="12.75"/>
  <cols>
    <col min="1" max="1" width="13.83203125" style="93" customWidth="1"/>
    <col min="2" max="2" width="79.1640625" style="44" customWidth="1"/>
    <col min="3" max="4" width="25" style="44" customWidth="1"/>
    <col min="5" max="16384" width="9.33203125" style="44"/>
  </cols>
  <sheetData>
    <row r="1" spans="1:4" s="30" customFormat="1" ht="21" customHeight="1" thickBot="1">
      <c r="A1" s="28"/>
      <c r="B1" s="29" t="s">
        <v>737</v>
      </c>
      <c r="C1" s="29"/>
      <c r="D1" s="29"/>
    </row>
    <row r="2" spans="1:4" s="34" customFormat="1" ht="25.5" customHeight="1">
      <c r="A2" s="31" t="s">
        <v>194</v>
      </c>
      <c r="B2" s="32" t="s">
        <v>541</v>
      </c>
      <c r="C2" s="33" t="s">
        <v>56</v>
      </c>
      <c r="D2" s="33" t="s">
        <v>56</v>
      </c>
    </row>
    <row r="3" spans="1:4" s="34" customFormat="1" ht="24.75" thickBot="1">
      <c r="A3" s="35" t="s">
        <v>193</v>
      </c>
      <c r="B3" s="36" t="s">
        <v>418</v>
      </c>
      <c r="C3" s="37" t="s">
        <v>57</v>
      </c>
      <c r="D3" s="37" t="s">
        <v>57</v>
      </c>
    </row>
    <row r="4" spans="1:4" s="40" customFormat="1" ht="15.95" customHeight="1" thickBot="1">
      <c r="A4" s="38"/>
      <c r="B4" s="38"/>
      <c r="C4" s="39" t="s">
        <v>597</v>
      </c>
      <c r="D4" s="39" t="s">
        <v>597</v>
      </c>
    </row>
    <row r="5" spans="1:4" ht="24.75" thickBot="1">
      <c r="A5" s="41" t="s">
        <v>195</v>
      </c>
      <c r="B5" s="42" t="s">
        <v>52</v>
      </c>
      <c r="C5" s="43" t="s">
        <v>613</v>
      </c>
      <c r="D5" s="43" t="s">
        <v>709</v>
      </c>
    </row>
    <row r="6" spans="1:4" s="48" customFormat="1" ht="12.95" customHeight="1" thickBot="1">
      <c r="A6" s="45" t="s">
        <v>487</v>
      </c>
      <c r="B6" s="46" t="s">
        <v>488</v>
      </c>
      <c r="C6" s="47" t="s">
        <v>489</v>
      </c>
      <c r="D6" s="47" t="s">
        <v>489</v>
      </c>
    </row>
    <row r="7" spans="1:4" s="48" customFormat="1" ht="15.95" customHeight="1" thickBot="1">
      <c r="A7" s="49"/>
      <c r="B7" s="50" t="s">
        <v>53</v>
      </c>
      <c r="C7" s="51"/>
      <c r="D7" s="51"/>
    </row>
    <row r="8" spans="1:4" s="54" customFormat="1" ht="12" customHeight="1" thickBot="1">
      <c r="A8" s="45" t="s">
        <v>16</v>
      </c>
      <c r="B8" s="52" t="s">
        <v>515</v>
      </c>
      <c r="C8" s="53">
        <f>SUM(C9:C19)</f>
        <v>0</v>
      </c>
      <c r="D8" s="53">
        <f>SUM(D9:D19)</f>
        <v>0</v>
      </c>
    </row>
    <row r="9" spans="1:4" s="54" customFormat="1" ht="12" customHeight="1">
      <c r="A9" s="55" t="s">
        <v>95</v>
      </c>
      <c r="B9" s="56" t="s">
        <v>274</v>
      </c>
      <c r="C9" s="57"/>
      <c r="D9" s="57"/>
    </row>
    <row r="10" spans="1:4" s="54" customFormat="1" ht="12" customHeight="1">
      <c r="A10" s="58" t="s">
        <v>96</v>
      </c>
      <c r="B10" s="59" t="s">
        <v>275</v>
      </c>
      <c r="C10" s="60"/>
      <c r="D10" s="60"/>
    </row>
    <row r="11" spans="1:4" s="54" customFormat="1" ht="12" customHeight="1">
      <c r="A11" s="58" t="s">
        <v>97</v>
      </c>
      <c r="B11" s="59" t="s">
        <v>276</v>
      </c>
      <c r="C11" s="60"/>
      <c r="D11" s="60"/>
    </row>
    <row r="12" spans="1:4" s="54" customFormat="1" ht="12" customHeight="1">
      <c r="A12" s="58" t="s">
        <v>98</v>
      </c>
      <c r="B12" s="59" t="s">
        <v>277</v>
      </c>
      <c r="C12" s="60"/>
      <c r="D12" s="60"/>
    </row>
    <row r="13" spans="1:4" s="54" customFormat="1" ht="12" customHeight="1">
      <c r="A13" s="58" t="s">
        <v>141</v>
      </c>
      <c r="B13" s="59" t="s">
        <v>278</v>
      </c>
      <c r="C13" s="60"/>
      <c r="D13" s="60"/>
    </row>
    <row r="14" spans="1:4" s="54" customFormat="1" ht="12" customHeight="1">
      <c r="A14" s="58" t="s">
        <v>99</v>
      </c>
      <c r="B14" s="59" t="s">
        <v>399</v>
      </c>
      <c r="C14" s="60"/>
      <c r="D14" s="60"/>
    </row>
    <row r="15" spans="1:4" s="54" customFormat="1" ht="12" customHeight="1">
      <c r="A15" s="58" t="s">
        <v>100</v>
      </c>
      <c r="B15" s="61" t="s">
        <v>400</v>
      </c>
      <c r="C15" s="60"/>
      <c r="D15" s="60"/>
    </row>
    <row r="16" spans="1:4" s="54" customFormat="1" ht="12" customHeight="1">
      <c r="A16" s="58" t="s">
        <v>110</v>
      </c>
      <c r="B16" s="59" t="s">
        <v>281</v>
      </c>
      <c r="C16" s="62"/>
      <c r="D16" s="62"/>
    </row>
    <row r="17" spans="1:4" s="63" customFormat="1" ht="12" customHeight="1">
      <c r="A17" s="58" t="s">
        <v>111</v>
      </c>
      <c r="B17" s="59" t="s">
        <v>282</v>
      </c>
      <c r="C17" s="60"/>
      <c r="D17" s="60"/>
    </row>
    <row r="18" spans="1:4" s="63" customFormat="1" ht="12" customHeight="1">
      <c r="A18" s="58" t="s">
        <v>112</v>
      </c>
      <c r="B18" s="59" t="s">
        <v>434</v>
      </c>
      <c r="C18" s="64"/>
      <c r="D18" s="64"/>
    </row>
    <row r="19" spans="1:4" s="63" customFormat="1" ht="12" customHeight="1" thickBot="1">
      <c r="A19" s="58" t="s">
        <v>113</v>
      </c>
      <c r="B19" s="61" t="s">
        <v>283</v>
      </c>
      <c r="C19" s="64"/>
      <c r="D19" s="64"/>
    </row>
    <row r="20" spans="1:4" s="54" customFormat="1" ht="12" customHeight="1" thickBot="1">
      <c r="A20" s="45" t="s">
        <v>17</v>
      </c>
      <c r="B20" s="52" t="s">
        <v>401</v>
      </c>
      <c r="C20" s="53">
        <f>SUM(C21:C23)</f>
        <v>0</v>
      </c>
      <c r="D20" s="53">
        <f>SUM(D21:D23)</f>
        <v>0</v>
      </c>
    </row>
    <row r="21" spans="1:4" s="63" customFormat="1" ht="12" customHeight="1">
      <c r="A21" s="58" t="s">
        <v>101</v>
      </c>
      <c r="B21" s="65" t="s">
        <v>251</v>
      </c>
      <c r="C21" s="60"/>
      <c r="D21" s="60"/>
    </row>
    <row r="22" spans="1:4" s="63" customFormat="1" ht="12" customHeight="1">
      <c r="A22" s="58" t="s">
        <v>102</v>
      </c>
      <c r="B22" s="59" t="s">
        <v>402</v>
      </c>
      <c r="C22" s="60"/>
      <c r="D22" s="60"/>
    </row>
    <row r="23" spans="1:4" s="63" customFormat="1" ht="12" customHeight="1">
      <c r="A23" s="58" t="s">
        <v>103</v>
      </c>
      <c r="B23" s="59" t="s">
        <v>403</v>
      </c>
      <c r="C23" s="60"/>
      <c r="D23" s="60"/>
    </row>
    <row r="24" spans="1:4" s="63" customFormat="1" ht="12" customHeight="1" thickBot="1">
      <c r="A24" s="58" t="s">
        <v>104</v>
      </c>
      <c r="B24" s="59" t="s">
        <v>516</v>
      </c>
      <c r="C24" s="60"/>
      <c r="D24" s="60"/>
    </row>
    <row r="25" spans="1:4" s="63" customFormat="1" ht="12" customHeight="1" thickBot="1">
      <c r="A25" s="66" t="s">
        <v>18</v>
      </c>
      <c r="B25" s="67" t="s">
        <v>165</v>
      </c>
      <c r="C25" s="68"/>
      <c r="D25" s="68"/>
    </row>
    <row r="26" spans="1:4" s="63" customFormat="1" ht="12" customHeight="1" thickBot="1">
      <c r="A26" s="66" t="s">
        <v>19</v>
      </c>
      <c r="B26" s="67" t="s">
        <v>517</v>
      </c>
      <c r="C26" s="53">
        <f>+C27+C28+C29</f>
        <v>0</v>
      </c>
      <c r="D26" s="53">
        <f>+D27+D28+D29</f>
        <v>0</v>
      </c>
    </row>
    <row r="27" spans="1:4" s="63" customFormat="1" ht="12" customHeight="1">
      <c r="A27" s="69" t="s">
        <v>261</v>
      </c>
      <c r="B27" s="70" t="s">
        <v>256</v>
      </c>
      <c r="C27" s="71"/>
      <c r="D27" s="71"/>
    </row>
    <row r="28" spans="1:4" s="63" customFormat="1" ht="12" customHeight="1">
      <c r="A28" s="69" t="s">
        <v>264</v>
      </c>
      <c r="B28" s="70" t="s">
        <v>402</v>
      </c>
      <c r="C28" s="60"/>
      <c r="D28" s="60"/>
    </row>
    <row r="29" spans="1:4" s="63" customFormat="1" ht="12" customHeight="1">
      <c r="A29" s="69" t="s">
        <v>265</v>
      </c>
      <c r="B29" s="72" t="s">
        <v>405</v>
      </c>
      <c r="C29" s="60"/>
      <c r="D29" s="60"/>
    </row>
    <row r="30" spans="1:4" s="63" customFormat="1" ht="12" customHeight="1" thickBot="1">
      <c r="A30" s="58" t="s">
        <v>266</v>
      </c>
      <c r="B30" s="74" t="s">
        <v>518</v>
      </c>
      <c r="C30" s="75"/>
      <c r="D30" s="75"/>
    </row>
    <row r="31" spans="1:4" s="63" customFormat="1" ht="12" customHeight="1" thickBot="1">
      <c r="A31" s="66" t="s">
        <v>20</v>
      </c>
      <c r="B31" s="67" t="s">
        <v>406</v>
      </c>
      <c r="C31" s="53">
        <f>+C32+C33+C34</f>
        <v>0</v>
      </c>
      <c r="D31" s="53">
        <f>+D32+D33+D34</f>
        <v>0</v>
      </c>
    </row>
    <row r="32" spans="1:4" s="63" customFormat="1" ht="12" customHeight="1">
      <c r="A32" s="69" t="s">
        <v>88</v>
      </c>
      <c r="B32" s="70" t="s">
        <v>288</v>
      </c>
      <c r="C32" s="71"/>
      <c r="D32" s="71"/>
    </row>
    <row r="33" spans="1:4" s="63" customFormat="1" ht="12" customHeight="1">
      <c r="A33" s="69" t="s">
        <v>89</v>
      </c>
      <c r="B33" s="72" t="s">
        <v>289</v>
      </c>
      <c r="C33" s="73"/>
      <c r="D33" s="73"/>
    </row>
    <row r="34" spans="1:4" s="63" customFormat="1" ht="12" customHeight="1" thickBot="1">
      <c r="A34" s="58" t="s">
        <v>90</v>
      </c>
      <c r="B34" s="74" t="s">
        <v>290</v>
      </c>
      <c r="C34" s="75"/>
      <c r="D34" s="75"/>
    </row>
    <row r="35" spans="1:4" s="54" customFormat="1" ht="12" customHeight="1" thickBot="1">
      <c r="A35" s="66" t="s">
        <v>21</v>
      </c>
      <c r="B35" s="67" t="s">
        <v>375</v>
      </c>
      <c r="C35" s="68"/>
      <c r="D35" s="68"/>
    </row>
    <row r="36" spans="1:4" s="54" customFormat="1" ht="12" customHeight="1" thickBot="1">
      <c r="A36" s="66" t="s">
        <v>22</v>
      </c>
      <c r="B36" s="67" t="s">
        <v>407</v>
      </c>
      <c r="C36" s="76"/>
      <c r="D36" s="76"/>
    </row>
    <row r="37" spans="1:4" s="54" customFormat="1" ht="12" customHeight="1" thickBot="1">
      <c r="A37" s="45" t="s">
        <v>23</v>
      </c>
      <c r="B37" s="67" t="s">
        <v>408</v>
      </c>
      <c r="C37" s="77">
        <f>+C8+C20+C25+C26+C31+C35+C36</f>
        <v>0</v>
      </c>
      <c r="D37" s="77">
        <f>+D8+D20+D25+D26+D31+D35+D36</f>
        <v>0</v>
      </c>
    </row>
    <row r="38" spans="1:4" s="54" customFormat="1" ht="12" customHeight="1" thickBot="1">
      <c r="A38" s="78" t="s">
        <v>24</v>
      </c>
      <c r="B38" s="67" t="s">
        <v>409</v>
      </c>
      <c r="C38" s="77">
        <f>+C39+C40+C41</f>
        <v>0</v>
      </c>
      <c r="D38" s="77">
        <f>+D39+D40+D41</f>
        <v>0</v>
      </c>
    </row>
    <row r="39" spans="1:4" s="54" customFormat="1" ht="12" customHeight="1">
      <c r="A39" s="69" t="s">
        <v>410</v>
      </c>
      <c r="B39" s="70" t="s">
        <v>229</v>
      </c>
      <c r="C39" s="71"/>
      <c r="D39" s="71"/>
    </row>
    <row r="40" spans="1:4" s="54" customFormat="1" ht="12" customHeight="1">
      <c r="A40" s="69" t="s">
        <v>411</v>
      </c>
      <c r="B40" s="72" t="s">
        <v>2</v>
      </c>
      <c r="C40" s="73"/>
      <c r="D40" s="73"/>
    </row>
    <row r="41" spans="1:4" s="63" customFormat="1" ht="12" customHeight="1" thickBot="1">
      <c r="A41" s="58" t="s">
        <v>412</v>
      </c>
      <c r="B41" s="74" t="s">
        <v>413</v>
      </c>
      <c r="C41" s="75"/>
      <c r="D41" s="75"/>
    </row>
    <row r="42" spans="1:4" s="63" customFormat="1" ht="15" customHeight="1" thickBot="1">
      <c r="A42" s="78" t="s">
        <v>25</v>
      </c>
      <c r="B42" s="79" t="s">
        <v>414</v>
      </c>
      <c r="C42" s="80">
        <f>+C37+C38</f>
        <v>0</v>
      </c>
      <c r="D42" s="80">
        <f>+D37+D38</f>
        <v>0</v>
      </c>
    </row>
    <row r="43" spans="1:4" s="63" customFormat="1" ht="15" customHeight="1">
      <c r="A43" s="81"/>
      <c r="B43" s="82"/>
      <c r="C43" s="83"/>
      <c r="D43" s="83"/>
    </row>
    <row r="44" spans="1:4" ht="13.5" thickBot="1">
      <c r="A44" s="84"/>
      <c r="B44" s="85"/>
      <c r="C44" s="86"/>
      <c r="D44" s="86"/>
    </row>
    <row r="45" spans="1:4" s="48" customFormat="1" ht="16.5" customHeight="1" thickBot="1">
      <c r="A45" s="87"/>
      <c r="B45" s="88" t="s">
        <v>54</v>
      </c>
      <c r="C45" s="80"/>
      <c r="D45" s="80"/>
    </row>
    <row r="46" spans="1:4" s="89" customFormat="1" ht="12" customHeight="1" thickBot="1">
      <c r="A46" s="66" t="s">
        <v>16</v>
      </c>
      <c r="B46" s="67" t="s">
        <v>415</v>
      </c>
      <c r="C46" s="53">
        <f>SUM(C47:C51)</f>
        <v>0</v>
      </c>
      <c r="D46" s="53">
        <f>SUM(D47:D51)</f>
        <v>0</v>
      </c>
    </row>
    <row r="47" spans="1:4" ht="12" customHeight="1">
      <c r="A47" s="58" t="s">
        <v>95</v>
      </c>
      <c r="B47" s="65" t="s">
        <v>46</v>
      </c>
      <c r="C47" s="71"/>
      <c r="D47" s="71"/>
    </row>
    <row r="48" spans="1:4" ht="12" customHeight="1">
      <c r="A48" s="58" t="s">
        <v>96</v>
      </c>
      <c r="B48" s="59" t="s">
        <v>174</v>
      </c>
      <c r="C48" s="90"/>
      <c r="D48" s="90"/>
    </row>
    <row r="49" spans="1:4" ht="12" customHeight="1">
      <c r="A49" s="58" t="s">
        <v>97</v>
      </c>
      <c r="B49" s="59" t="s">
        <v>133</v>
      </c>
      <c r="C49" s="90"/>
      <c r="D49" s="90"/>
    </row>
    <row r="50" spans="1:4" ht="12" customHeight="1">
      <c r="A50" s="58" t="s">
        <v>98</v>
      </c>
      <c r="B50" s="59" t="s">
        <v>175</v>
      </c>
      <c r="C50" s="90"/>
      <c r="D50" s="90"/>
    </row>
    <row r="51" spans="1:4" ht="12" customHeight="1" thickBot="1">
      <c r="A51" s="58" t="s">
        <v>141</v>
      </c>
      <c r="B51" s="59" t="s">
        <v>176</v>
      </c>
      <c r="C51" s="90"/>
      <c r="D51" s="90"/>
    </row>
    <row r="52" spans="1:4" ht="12" customHeight="1" thickBot="1">
      <c r="A52" s="66" t="s">
        <v>17</v>
      </c>
      <c r="B52" s="67" t="s">
        <v>416</v>
      </c>
      <c r="C52" s="53">
        <f>SUM(C53:C55)</f>
        <v>0</v>
      </c>
      <c r="D52" s="53">
        <f>SUM(D53:D55)</f>
        <v>0</v>
      </c>
    </row>
    <row r="53" spans="1:4" s="89" customFormat="1" ht="12" customHeight="1">
      <c r="A53" s="58" t="s">
        <v>101</v>
      </c>
      <c r="B53" s="65" t="s">
        <v>219</v>
      </c>
      <c r="C53" s="71"/>
      <c r="D53" s="71"/>
    </row>
    <row r="54" spans="1:4" ht="12" customHeight="1">
      <c r="A54" s="58" t="s">
        <v>102</v>
      </c>
      <c r="B54" s="59" t="s">
        <v>178</v>
      </c>
      <c r="C54" s="90"/>
      <c r="D54" s="90"/>
    </row>
    <row r="55" spans="1:4" ht="12" customHeight="1">
      <c r="A55" s="58" t="s">
        <v>103</v>
      </c>
      <c r="B55" s="59" t="s">
        <v>55</v>
      </c>
      <c r="C55" s="90"/>
      <c r="D55" s="90"/>
    </row>
    <row r="56" spans="1:4" ht="12" customHeight="1" thickBot="1">
      <c r="A56" s="58" t="s">
        <v>104</v>
      </c>
      <c r="B56" s="59" t="s">
        <v>519</v>
      </c>
      <c r="C56" s="90"/>
      <c r="D56" s="90"/>
    </row>
    <row r="57" spans="1:4" ht="15" customHeight="1" thickBot="1">
      <c r="A57" s="66" t="s">
        <v>18</v>
      </c>
      <c r="B57" s="67" t="s">
        <v>12</v>
      </c>
      <c r="C57" s="68"/>
      <c r="D57" s="68"/>
    </row>
    <row r="58" spans="1:4" ht="13.5" thickBot="1">
      <c r="A58" s="66" t="s">
        <v>19</v>
      </c>
      <c r="B58" s="91" t="s">
        <v>524</v>
      </c>
      <c r="C58" s="92">
        <f>+C46+C52+C57</f>
        <v>0</v>
      </c>
      <c r="D58" s="92">
        <f>+D46+D52+D57</f>
        <v>0</v>
      </c>
    </row>
    <row r="59" spans="1:4" ht="15" customHeight="1" thickBot="1">
      <c r="C59" s="94"/>
      <c r="D59" s="94"/>
    </row>
    <row r="60" spans="1:4" ht="14.25" customHeight="1" thickBot="1">
      <c r="A60" s="95" t="s">
        <v>514</v>
      </c>
      <c r="B60" s="96"/>
      <c r="C60" s="97"/>
      <c r="D60" s="97"/>
    </row>
    <row r="61" spans="1:4" ht="13.5" thickBot="1">
      <c r="A61" s="95" t="s">
        <v>196</v>
      </c>
      <c r="B61" s="96"/>
      <c r="C61" s="97"/>
      <c r="D61" s="9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49" orientation="portrait" verticalDpi="300" r:id="rId1"/>
  <headerFooter alignWithMargins="0">
    <oddFooter>&amp;P. oldal, összesen: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indexed="48"/>
  </sheetPr>
  <dimension ref="A1:D61"/>
  <sheetViews>
    <sheetView zoomScaleNormal="100" workbookViewId="0">
      <selection activeCell="B1" sqref="B1"/>
    </sheetView>
  </sheetViews>
  <sheetFormatPr defaultRowHeight="12.75"/>
  <cols>
    <col min="1" max="1" width="13.83203125" style="93" customWidth="1"/>
    <col min="2" max="2" width="79.1640625" style="44" customWidth="1"/>
    <col min="3" max="4" width="25" style="44" customWidth="1"/>
    <col min="5" max="16384" width="9.33203125" style="44"/>
  </cols>
  <sheetData>
    <row r="1" spans="1:4" s="30" customFormat="1" ht="21" customHeight="1" thickBot="1">
      <c r="A1" s="28"/>
      <c r="B1" s="29" t="s">
        <v>738</v>
      </c>
      <c r="C1" s="29"/>
      <c r="D1" s="29"/>
    </row>
    <row r="2" spans="1:4" s="34" customFormat="1" ht="33" customHeight="1">
      <c r="A2" s="31" t="s">
        <v>194</v>
      </c>
      <c r="B2" s="32" t="s">
        <v>541</v>
      </c>
      <c r="C2" s="33" t="s">
        <v>56</v>
      </c>
      <c r="D2" s="33" t="s">
        <v>56</v>
      </c>
    </row>
    <row r="3" spans="1:4" s="34" customFormat="1" ht="24.75" thickBot="1">
      <c r="A3" s="35" t="s">
        <v>193</v>
      </c>
      <c r="B3" s="36" t="s">
        <v>525</v>
      </c>
      <c r="C3" s="37" t="s">
        <v>429</v>
      </c>
      <c r="D3" s="37" t="s">
        <v>429</v>
      </c>
    </row>
    <row r="4" spans="1:4" s="40" customFormat="1" ht="15.95" customHeight="1" thickBot="1">
      <c r="A4" s="38"/>
      <c r="B4" s="38"/>
      <c r="C4" s="39" t="s">
        <v>597</v>
      </c>
      <c r="D4" s="39" t="s">
        <v>597</v>
      </c>
    </row>
    <row r="5" spans="1:4" ht="24.75" thickBot="1">
      <c r="A5" s="41" t="s">
        <v>195</v>
      </c>
      <c r="B5" s="42" t="s">
        <v>52</v>
      </c>
      <c r="C5" s="43" t="s">
        <v>613</v>
      </c>
      <c r="D5" s="43" t="s">
        <v>709</v>
      </c>
    </row>
    <row r="6" spans="1:4" s="48" customFormat="1" ht="12.95" customHeight="1" thickBot="1">
      <c r="A6" s="45" t="s">
        <v>487</v>
      </c>
      <c r="B6" s="46" t="s">
        <v>488</v>
      </c>
      <c r="C6" s="47" t="s">
        <v>489</v>
      </c>
      <c r="D6" s="47" t="s">
        <v>489</v>
      </c>
    </row>
    <row r="7" spans="1:4" s="48" customFormat="1" ht="15.95" customHeight="1" thickBot="1">
      <c r="A7" s="49"/>
      <c r="B7" s="50" t="s">
        <v>53</v>
      </c>
      <c r="C7" s="51"/>
      <c r="D7" s="51"/>
    </row>
    <row r="8" spans="1:4" s="54" customFormat="1" ht="12" customHeight="1" thickBot="1">
      <c r="A8" s="45" t="s">
        <v>16</v>
      </c>
      <c r="B8" s="52" t="s">
        <v>515</v>
      </c>
      <c r="C8" s="53">
        <f>SUM(C9:C19)</f>
        <v>0</v>
      </c>
      <c r="D8" s="53">
        <f>SUM(D9:D19)</f>
        <v>0</v>
      </c>
    </row>
    <row r="9" spans="1:4" s="54" customFormat="1" ht="12" customHeight="1">
      <c r="A9" s="55" t="s">
        <v>95</v>
      </c>
      <c r="B9" s="56" t="s">
        <v>274</v>
      </c>
      <c r="C9" s="57"/>
      <c r="D9" s="57"/>
    </row>
    <row r="10" spans="1:4" s="54" customFormat="1" ht="12" customHeight="1">
      <c r="A10" s="58" t="s">
        <v>96</v>
      </c>
      <c r="B10" s="59" t="s">
        <v>275</v>
      </c>
      <c r="C10" s="60"/>
      <c r="D10" s="60"/>
    </row>
    <row r="11" spans="1:4" s="54" customFormat="1" ht="12" customHeight="1">
      <c r="A11" s="58" t="s">
        <v>97</v>
      </c>
      <c r="B11" s="59" t="s">
        <v>276</v>
      </c>
      <c r="C11" s="60"/>
      <c r="D11" s="60"/>
    </row>
    <row r="12" spans="1:4" s="54" customFormat="1" ht="12" customHeight="1">
      <c r="A12" s="58" t="s">
        <v>98</v>
      </c>
      <c r="B12" s="59" t="s">
        <v>277</v>
      </c>
      <c r="C12" s="60"/>
      <c r="D12" s="60"/>
    </row>
    <row r="13" spans="1:4" s="54" customFormat="1" ht="12" customHeight="1">
      <c r="A13" s="58" t="s">
        <v>141</v>
      </c>
      <c r="B13" s="59" t="s">
        <v>278</v>
      </c>
      <c r="C13" s="60"/>
      <c r="D13" s="60"/>
    </row>
    <row r="14" spans="1:4" s="54" customFormat="1" ht="12" customHeight="1">
      <c r="A14" s="58" t="s">
        <v>99</v>
      </c>
      <c r="B14" s="59" t="s">
        <v>399</v>
      </c>
      <c r="C14" s="60"/>
      <c r="D14" s="60"/>
    </row>
    <row r="15" spans="1:4" s="54" customFormat="1" ht="12" customHeight="1">
      <c r="A15" s="58" t="s">
        <v>100</v>
      </c>
      <c r="B15" s="61" t="s">
        <v>400</v>
      </c>
      <c r="C15" s="60"/>
      <c r="D15" s="60"/>
    </row>
    <row r="16" spans="1:4" s="54" customFormat="1" ht="12" customHeight="1">
      <c r="A16" s="58" t="s">
        <v>110</v>
      </c>
      <c r="B16" s="59" t="s">
        <v>281</v>
      </c>
      <c r="C16" s="62"/>
      <c r="D16" s="62"/>
    </row>
    <row r="17" spans="1:4" s="63" customFormat="1" ht="12" customHeight="1">
      <c r="A17" s="58" t="s">
        <v>111</v>
      </c>
      <c r="B17" s="59" t="s">
        <v>282</v>
      </c>
      <c r="C17" s="60"/>
      <c r="D17" s="60"/>
    </row>
    <row r="18" spans="1:4" s="63" customFormat="1" ht="12" customHeight="1">
      <c r="A18" s="58" t="s">
        <v>112</v>
      </c>
      <c r="B18" s="59" t="s">
        <v>434</v>
      </c>
      <c r="C18" s="64"/>
      <c r="D18" s="64"/>
    </row>
    <row r="19" spans="1:4" s="63" customFormat="1" ht="12" customHeight="1" thickBot="1">
      <c r="A19" s="58" t="s">
        <v>113</v>
      </c>
      <c r="B19" s="61" t="s">
        <v>283</v>
      </c>
      <c r="C19" s="64"/>
      <c r="D19" s="64"/>
    </row>
    <row r="20" spans="1:4" s="54" customFormat="1" ht="12" customHeight="1" thickBot="1">
      <c r="A20" s="45" t="s">
        <v>17</v>
      </c>
      <c r="B20" s="52" t="s">
        <v>401</v>
      </c>
      <c r="C20" s="53">
        <f>SUM(C21:C23)</f>
        <v>0</v>
      </c>
      <c r="D20" s="53">
        <f>SUM(D21:D23)</f>
        <v>0</v>
      </c>
    </row>
    <row r="21" spans="1:4" s="63" customFormat="1" ht="12" customHeight="1">
      <c r="A21" s="58" t="s">
        <v>101</v>
      </c>
      <c r="B21" s="65" t="s">
        <v>251</v>
      </c>
      <c r="C21" s="60"/>
      <c r="D21" s="60"/>
    </row>
    <row r="22" spans="1:4" s="63" customFormat="1" ht="12" customHeight="1">
      <c r="A22" s="58" t="s">
        <v>102</v>
      </c>
      <c r="B22" s="59" t="s">
        <v>402</v>
      </c>
      <c r="C22" s="60"/>
      <c r="D22" s="60"/>
    </row>
    <row r="23" spans="1:4" s="63" customFormat="1" ht="12" customHeight="1">
      <c r="A23" s="58" t="s">
        <v>103</v>
      </c>
      <c r="B23" s="59" t="s">
        <v>403</v>
      </c>
      <c r="C23" s="60"/>
      <c r="D23" s="60"/>
    </row>
    <row r="24" spans="1:4" s="63" customFormat="1" ht="12" customHeight="1" thickBot="1">
      <c r="A24" s="58" t="s">
        <v>104</v>
      </c>
      <c r="B24" s="59" t="s">
        <v>516</v>
      </c>
      <c r="C24" s="60"/>
      <c r="D24" s="60"/>
    </row>
    <row r="25" spans="1:4" s="63" customFormat="1" ht="12" customHeight="1" thickBot="1">
      <c r="A25" s="66" t="s">
        <v>18</v>
      </c>
      <c r="B25" s="67" t="s">
        <v>165</v>
      </c>
      <c r="C25" s="68"/>
      <c r="D25" s="68"/>
    </row>
    <row r="26" spans="1:4" s="63" customFormat="1" ht="12" customHeight="1" thickBot="1">
      <c r="A26" s="66" t="s">
        <v>19</v>
      </c>
      <c r="B26" s="67" t="s">
        <v>517</v>
      </c>
      <c r="C26" s="53">
        <f>+C27+C28+C29</f>
        <v>0</v>
      </c>
      <c r="D26" s="53">
        <f>+D27+D28+D29</f>
        <v>0</v>
      </c>
    </row>
    <row r="27" spans="1:4" s="63" customFormat="1" ht="12" customHeight="1">
      <c r="A27" s="69" t="s">
        <v>261</v>
      </c>
      <c r="B27" s="70" t="s">
        <v>256</v>
      </c>
      <c r="C27" s="71"/>
      <c r="D27" s="71"/>
    </row>
    <row r="28" spans="1:4" s="63" customFormat="1" ht="12" customHeight="1">
      <c r="A28" s="69" t="s">
        <v>264</v>
      </c>
      <c r="B28" s="70" t="s">
        <v>402</v>
      </c>
      <c r="C28" s="60"/>
      <c r="D28" s="60"/>
    </row>
    <row r="29" spans="1:4" s="63" customFormat="1" ht="12" customHeight="1">
      <c r="A29" s="69" t="s">
        <v>265</v>
      </c>
      <c r="B29" s="72" t="s">
        <v>405</v>
      </c>
      <c r="C29" s="60"/>
      <c r="D29" s="60"/>
    </row>
    <row r="30" spans="1:4" s="63" customFormat="1" ht="12" customHeight="1" thickBot="1">
      <c r="A30" s="58" t="s">
        <v>266</v>
      </c>
      <c r="B30" s="74" t="s">
        <v>518</v>
      </c>
      <c r="C30" s="75"/>
      <c r="D30" s="75"/>
    </row>
    <row r="31" spans="1:4" s="63" customFormat="1" ht="12" customHeight="1" thickBot="1">
      <c r="A31" s="66" t="s">
        <v>20</v>
      </c>
      <c r="B31" s="67" t="s">
        <v>406</v>
      </c>
      <c r="C31" s="53">
        <f>+C32+C33+C34</f>
        <v>0</v>
      </c>
      <c r="D31" s="53">
        <f>+D32+D33+D34</f>
        <v>0</v>
      </c>
    </row>
    <row r="32" spans="1:4" s="63" customFormat="1" ht="12" customHeight="1">
      <c r="A32" s="69" t="s">
        <v>88</v>
      </c>
      <c r="B32" s="70" t="s">
        <v>288</v>
      </c>
      <c r="C32" s="71"/>
      <c r="D32" s="71"/>
    </row>
    <row r="33" spans="1:4" s="63" customFormat="1" ht="12" customHeight="1">
      <c r="A33" s="69" t="s">
        <v>89</v>
      </c>
      <c r="B33" s="72" t="s">
        <v>289</v>
      </c>
      <c r="C33" s="73"/>
      <c r="D33" s="73"/>
    </row>
    <row r="34" spans="1:4" s="63" customFormat="1" ht="12" customHeight="1" thickBot="1">
      <c r="A34" s="58" t="s">
        <v>90</v>
      </c>
      <c r="B34" s="74" t="s">
        <v>290</v>
      </c>
      <c r="C34" s="75"/>
      <c r="D34" s="75"/>
    </row>
    <row r="35" spans="1:4" s="54" customFormat="1" ht="12" customHeight="1" thickBot="1">
      <c r="A35" s="66" t="s">
        <v>21</v>
      </c>
      <c r="B35" s="67" t="s">
        <v>375</v>
      </c>
      <c r="C35" s="68"/>
      <c r="D35" s="68"/>
    </row>
    <row r="36" spans="1:4" s="54" customFormat="1" ht="12" customHeight="1" thickBot="1">
      <c r="A36" s="66" t="s">
        <v>22</v>
      </c>
      <c r="B36" s="67" t="s">
        <v>407</v>
      </c>
      <c r="C36" s="76"/>
      <c r="D36" s="76"/>
    </row>
    <row r="37" spans="1:4" s="54" customFormat="1" ht="12" customHeight="1" thickBot="1">
      <c r="A37" s="45" t="s">
        <v>23</v>
      </c>
      <c r="B37" s="67" t="s">
        <v>408</v>
      </c>
      <c r="C37" s="77">
        <f>+C8+C20+C25+C26+C31+C35+C36</f>
        <v>0</v>
      </c>
      <c r="D37" s="77">
        <f>+D8+D20+D25+D26+D31+D35+D36</f>
        <v>0</v>
      </c>
    </row>
    <row r="38" spans="1:4" s="54" customFormat="1" ht="12" customHeight="1" thickBot="1">
      <c r="A38" s="78" t="s">
        <v>24</v>
      </c>
      <c r="B38" s="67" t="s">
        <v>409</v>
      </c>
      <c r="C38" s="77">
        <f>+C39+C40+C41</f>
        <v>0</v>
      </c>
      <c r="D38" s="77">
        <f>+D39+D40+D41</f>
        <v>0</v>
      </c>
    </row>
    <row r="39" spans="1:4" s="54" customFormat="1" ht="12" customHeight="1">
      <c r="A39" s="69" t="s">
        <v>410</v>
      </c>
      <c r="B39" s="70" t="s">
        <v>229</v>
      </c>
      <c r="C39" s="71"/>
      <c r="D39" s="71"/>
    </row>
    <row r="40" spans="1:4" s="54" customFormat="1" ht="12" customHeight="1">
      <c r="A40" s="69" t="s">
        <v>411</v>
      </c>
      <c r="B40" s="72" t="s">
        <v>2</v>
      </c>
      <c r="C40" s="73"/>
      <c r="D40" s="73"/>
    </row>
    <row r="41" spans="1:4" s="63" customFormat="1" ht="12" customHeight="1" thickBot="1">
      <c r="A41" s="58" t="s">
        <v>412</v>
      </c>
      <c r="B41" s="74" t="s">
        <v>413</v>
      </c>
      <c r="C41" s="75"/>
      <c r="D41" s="75"/>
    </row>
    <row r="42" spans="1:4" s="63" customFormat="1" ht="15" customHeight="1" thickBot="1">
      <c r="A42" s="78" t="s">
        <v>25</v>
      </c>
      <c r="B42" s="79" t="s">
        <v>414</v>
      </c>
      <c r="C42" s="80">
        <f>+C37+C38</f>
        <v>0</v>
      </c>
      <c r="D42" s="80">
        <f>+D37+D38</f>
        <v>0</v>
      </c>
    </row>
    <row r="43" spans="1:4" s="63" customFormat="1" ht="15" customHeight="1">
      <c r="A43" s="81"/>
      <c r="B43" s="82"/>
      <c r="C43" s="83"/>
      <c r="D43" s="83"/>
    </row>
    <row r="44" spans="1:4" ht="13.5" thickBot="1">
      <c r="A44" s="84"/>
      <c r="B44" s="85"/>
      <c r="C44" s="86"/>
      <c r="D44" s="86"/>
    </row>
    <row r="45" spans="1:4" s="48" customFormat="1" ht="16.5" customHeight="1" thickBot="1">
      <c r="A45" s="87"/>
      <c r="B45" s="88" t="s">
        <v>54</v>
      </c>
      <c r="C45" s="80"/>
      <c r="D45" s="80"/>
    </row>
    <row r="46" spans="1:4" s="89" customFormat="1" ht="12" customHeight="1" thickBot="1">
      <c r="A46" s="66" t="s">
        <v>16</v>
      </c>
      <c r="B46" s="67" t="s">
        <v>415</v>
      </c>
      <c r="C46" s="53">
        <f>SUM(C47:C51)</f>
        <v>0</v>
      </c>
      <c r="D46" s="53">
        <f>SUM(D47:D51)</f>
        <v>0</v>
      </c>
    </row>
    <row r="47" spans="1:4" ht="12" customHeight="1">
      <c r="A47" s="58" t="s">
        <v>95</v>
      </c>
      <c r="B47" s="65" t="s">
        <v>46</v>
      </c>
      <c r="C47" s="71"/>
      <c r="D47" s="71"/>
    </row>
    <row r="48" spans="1:4" ht="12" customHeight="1">
      <c r="A48" s="58" t="s">
        <v>96</v>
      </c>
      <c r="B48" s="59" t="s">
        <v>174</v>
      </c>
      <c r="C48" s="90"/>
      <c r="D48" s="90"/>
    </row>
    <row r="49" spans="1:4" ht="12" customHeight="1">
      <c r="A49" s="58" t="s">
        <v>97</v>
      </c>
      <c r="B49" s="59" t="s">
        <v>133</v>
      </c>
      <c r="C49" s="90"/>
      <c r="D49" s="90"/>
    </row>
    <row r="50" spans="1:4" ht="12" customHeight="1">
      <c r="A50" s="58" t="s">
        <v>98</v>
      </c>
      <c r="B50" s="59" t="s">
        <v>175</v>
      </c>
      <c r="C50" s="90"/>
      <c r="D50" s="90"/>
    </row>
    <row r="51" spans="1:4" ht="12" customHeight="1" thickBot="1">
      <c r="A51" s="58" t="s">
        <v>141</v>
      </c>
      <c r="B51" s="59" t="s">
        <v>176</v>
      </c>
      <c r="C51" s="90"/>
      <c r="D51" s="90"/>
    </row>
    <row r="52" spans="1:4" ht="12" customHeight="1" thickBot="1">
      <c r="A52" s="66" t="s">
        <v>17</v>
      </c>
      <c r="B52" s="67" t="s">
        <v>416</v>
      </c>
      <c r="C52" s="53">
        <f>SUM(C53:C55)</f>
        <v>0</v>
      </c>
      <c r="D52" s="53">
        <f>SUM(D53:D55)</f>
        <v>0</v>
      </c>
    </row>
    <row r="53" spans="1:4" s="89" customFormat="1" ht="12" customHeight="1">
      <c r="A53" s="58" t="s">
        <v>101</v>
      </c>
      <c r="B53" s="65" t="s">
        <v>219</v>
      </c>
      <c r="C53" s="71"/>
      <c r="D53" s="71"/>
    </row>
    <row r="54" spans="1:4" ht="12" customHeight="1">
      <c r="A54" s="58" t="s">
        <v>102</v>
      </c>
      <c r="B54" s="59" t="s">
        <v>178</v>
      </c>
      <c r="C54" s="90"/>
      <c r="D54" s="90"/>
    </row>
    <row r="55" spans="1:4" ht="12" customHeight="1">
      <c r="A55" s="58" t="s">
        <v>103</v>
      </c>
      <c r="B55" s="59" t="s">
        <v>55</v>
      </c>
      <c r="C55" s="90"/>
      <c r="D55" s="90"/>
    </row>
    <row r="56" spans="1:4" ht="12" customHeight="1" thickBot="1">
      <c r="A56" s="58" t="s">
        <v>104</v>
      </c>
      <c r="B56" s="59" t="s">
        <v>519</v>
      </c>
      <c r="C56" s="90"/>
      <c r="D56" s="90"/>
    </row>
    <row r="57" spans="1:4" ht="15" customHeight="1" thickBot="1">
      <c r="A57" s="66" t="s">
        <v>18</v>
      </c>
      <c r="B57" s="67" t="s">
        <v>12</v>
      </c>
      <c r="C57" s="68"/>
      <c r="D57" s="68"/>
    </row>
    <row r="58" spans="1:4" ht="13.5" thickBot="1">
      <c r="A58" s="66" t="s">
        <v>19</v>
      </c>
      <c r="B58" s="91" t="s">
        <v>524</v>
      </c>
      <c r="C58" s="92">
        <f>+C46+C52+C57</f>
        <v>0</v>
      </c>
      <c r="D58" s="92">
        <f>+D46+D52+D57</f>
        <v>0</v>
      </c>
    </row>
    <row r="59" spans="1:4" ht="15" customHeight="1" thickBot="1">
      <c r="C59" s="94"/>
      <c r="D59" s="94"/>
    </row>
    <row r="60" spans="1:4" ht="14.25" customHeight="1" thickBot="1">
      <c r="A60" s="95" t="s">
        <v>514</v>
      </c>
      <c r="B60" s="96"/>
      <c r="C60" s="97"/>
      <c r="D60" s="97"/>
    </row>
    <row r="61" spans="1:4" ht="13.5" thickBot="1">
      <c r="A61" s="95" t="s">
        <v>196</v>
      </c>
      <c r="B61" s="96"/>
      <c r="C61" s="97"/>
      <c r="D61" s="9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49" orientation="portrait" verticalDpi="300" r:id="rId1"/>
  <headerFooter alignWithMargins="0">
    <oddFooter>&amp;P. oldal, összesen: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indexed="57"/>
  </sheetPr>
  <dimension ref="A1:D60"/>
  <sheetViews>
    <sheetView topLeftCell="B1" zoomScaleNormal="100" workbookViewId="0">
      <selection activeCell="B1" sqref="B1"/>
    </sheetView>
  </sheetViews>
  <sheetFormatPr defaultRowHeight="12.75"/>
  <cols>
    <col min="1" max="1" width="13.83203125" style="93" customWidth="1"/>
    <col min="2" max="2" width="79.1640625" style="44" customWidth="1"/>
    <col min="3" max="4" width="25" style="44" customWidth="1"/>
    <col min="5" max="16384" width="9.33203125" style="44"/>
  </cols>
  <sheetData>
    <row r="1" spans="1:4" s="30" customFormat="1" ht="21" customHeight="1" thickBot="1">
      <c r="A1" s="28"/>
      <c r="B1" s="29" t="e">
        <f>+CONCATENATE("9.3. melléklet a ……/",LEFT([1]ÖSSZEFÜGGÉSEK!E5,4),". (….) önkormányzati rendelethez")</f>
        <v>#REF!</v>
      </c>
      <c r="C1" s="29"/>
      <c r="D1" s="29"/>
    </row>
    <row r="2" spans="1:4" s="34" customFormat="1" ht="33.75" customHeight="1">
      <c r="A2" s="31" t="s">
        <v>194</v>
      </c>
      <c r="B2" s="32" t="s">
        <v>542</v>
      </c>
      <c r="C2" s="33" t="s">
        <v>57</v>
      </c>
      <c r="D2" s="33" t="s">
        <v>57</v>
      </c>
    </row>
    <row r="3" spans="1:4" s="34" customFormat="1" ht="24.75" thickBot="1">
      <c r="A3" s="35" t="s">
        <v>193</v>
      </c>
      <c r="B3" s="36" t="s">
        <v>398</v>
      </c>
      <c r="C3" s="37" t="s">
        <v>51</v>
      </c>
      <c r="D3" s="37" t="s">
        <v>51</v>
      </c>
    </row>
    <row r="4" spans="1:4" s="40" customFormat="1" ht="15.95" customHeight="1" thickBot="1">
      <c r="A4" s="38"/>
      <c r="B4" s="38"/>
      <c r="C4" s="39" t="s">
        <v>612</v>
      </c>
      <c r="D4" s="39" t="s">
        <v>612</v>
      </c>
    </row>
    <row r="5" spans="1:4" ht="24.75" thickBot="1">
      <c r="A5" s="41" t="s">
        <v>195</v>
      </c>
      <c r="B5" s="42" t="s">
        <v>52</v>
      </c>
      <c r="C5" s="43" t="s">
        <v>613</v>
      </c>
      <c r="D5" s="43" t="s">
        <v>709</v>
      </c>
    </row>
    <row r="6" spans="1:4" s="48" customFormat="1" ht="12.95" customHeight="1" thickBot="1">
      <c r="A6" s="45" t="s">
        <v>487</v>
      </c>
      <c r="B6" s="46" t="s">
        <v>488</v>
      </c>
      <c r="C6" s="47" t="s">
        <v>489</v>
      </c>
      <c r="D6" s="47" t="s">
        <v>489</v>
      </c>
    </row>
    <row r="7" spans="1:4" s="48" customFormat="1" ht="15.95" customHeight="1" thickBot="1">
      <c r="A7" s="49"/>
      <c r="B7" s="50" t="s">
        <v>53</v>
      </c>
      <c r="C7" s="51"/>
      <c r="D7" s="51"/>
    </row>
    <row r="8" spans="1:4" s="54" customFormat="1" ht="12" customHeight="1" thickBot="1">
      <c r="A8" s="45" t="s">
        <v>16</v>
      </c>
      <c r="B8" s="52" t="s">
        <v>515</v>
      </c>
      <c r="C8" s="53">
        <f>SUM(C9:C19)</f>
        <v>2180100</v>
      </c>
      <c r="D8" s="53">
        <f>SUM(D9:D19)</f>
        <v>2180100</v>
      </c>
    </row>
    <row r="9" spans="1:4" s="54" customFormat="1" ht="12" customHeight="1">
      <c r="A9" s="55" t="s">
        <v>95</v>
      </c>
      <c r="B9" s="56" t="s">
        <v>274</v>
      </c>
      <c r="C9" s="57"/>
      <c r="D9" s="57"/>
    </row>
    <row r="10" spans="1:4" s="54" customFormat="1" ht="12" customHeight="1">
      <c r="A10" s="58" t="s">
        <v>96</v>
      </c>
      <c r="B10" s="59" t="s">
        <v>275</v>
      </c>
      <c r="C10" s="60">
        <v>2120000</v>
      </c>
      <c r="D10" s="60">
        <v>2120000</v>
      </c>
    </row>
    <row r="11" spans="1:4" s="54" customFormat="1" ht="12" customHeight="1">
      <c r="A11" s="58" t="s">
        <v>97</v>
      </c>
      <c r="B11" s="59" t="s">
        <v>276</v>
      </c>
      <c r="C11" s="60">
        <v>60000</v>
      </c>
      <c r="D11" s="60">
        <v>60000</v>
      </c>
    </row>
    <row r="12" spans="1:4" s="54" customFormat="1" ht="12" customHeight="1">
      <c r="A12" s="58" t="s">
        <v>98</v>
      </c>
      <c r="B12" s="59" t="s">
        <v>277</v>
      </c>
      <c r="C12" s="60"/>
      <c r="D12" s="60"/>
    </row>
    <row r="13" spans="1:4" s="54" customFormat="1" ht="12" customHeight="1">
      <c r="A13" s="58" t="s">
        <v>141</v>
      </c>
      <c r="B13" s="59" t="s">
        <v>278</v>
      </c>
      <c r="C13" s="60"/>
      <c r="D13" s="60"/>
    </row>
    <row r="14" spans="1:4" s="54" customFormat="1" ht="12" customHeight="1">
      <c r="A14" s="58" t="s">
        <v>99</v>
      </c>
      <c r="B14" s="59" t="s">
        <v>399</v>
      </c>
      <c r="C14" s="60"/>
      <c r="D14" s="60"/>
    </row>
    <row r="15" spans="1:4" s="54" customFormat="1" ht="12" customHeight="1">
      <c r="A15" s="58" t="s">
        <v>100</v>
      </c>
      <c r="B15" s="61" t="s">
        <v>400</v>
      </c>
      <c r="C15" s="60"/>
      <c r="D15" s="60"/>
    </row>
    <row r="16" spans="1:4" s="54" customFormat="1" ht="12" customHeight="1">
      <c r="A16" s="58" t="s">
        <v>110</v>
      </c>
      <c r="B16" s="59" t="s">
        <v>281</v>
      </c>
      <c r="C16" s="62">
        <v>100</v>
      </c>
      <c r="D16" s="62">
        <v>100</v>
      </c>
    </row>
    <row r="17" spans="1:4" s="63" customFormat="1" ht="12" customHeight="1">
      <c r="A17" s="58" t="s">
        <v>111</v>
      </c>
      <c r="B17" s="59" t="s">
        <v>282</v>
      </c>
      <c r="C17" s="60"/>
      <c r="D17" s="60"/>
    </row>
    <row r="18" spans="1:4" s="63" customFormat="1" ht="12" customHeight="1">
      <c r="A18" s="58" t="s">
        <v>112</v>
      </c>
      <c r="B18" s="59" t="s">
        <v>434</v>
      </c>
      <c r="C18" s="64"/>
      <c r="D18" s="64"/>
    </row>
    <row r="19" spans="1:4" s="63" customFormat="1" ht="12" customHeight="1" thickBot="1">
      <c r="A19" s="58" t="s">
        <v>113</v>
      </c>
      <c r="B19" s="61" t="s">
        <v>283</v>
      </c>
      <c r="C19" s="64"/>
      <c r="D19" s="64"/>
    </row>
    <row r="20" spans="1:4" s="54" customFormat="1" ht="12" customHeight="1" thickBot="1">
      <c r="A20" s="45" t="s">
        <v>17</v>
      </c>
      <c r="B20" s="52" t="s">
        <v>401</v>
      </c>
      <c r="C20" s="53">
        <f>SUM(C21:C23)</f>
        <v>0</v>
      </c>
      <c r="D20" s="53">
        <f>SUM(D21:D23)</f>
        <v>0</v>
      </c>
    </row>
    <row r="21" spans="1:4" s="63" customFormat="1" ht="12" customHeight="1">
      <c r="A21" s="58" t="s">
        <v>101</v>
      </c>
      <c r="B21" s="65" t="s">
        <v>251</v>
      </c>
      <c r="C21" s="60"/>
      <c r="D21" s="60"/>
    </row>
    <row r="22" spans="1:4" s="63" customFormat="1" ht="12" customHeight="1">
      <c r="A22" s="58" t="s">
        <v>102</v>
      </c>
      <c r="B22" s="59" t="s">
        <v>402</v>
      </c>
      <c r="C22" s="60"/>
      <c r="D22" s="60"/>
    </row>
    <row r="23" spans="1:4" s="63" customFormat="1" ht="12" customHeight="1">
      <c r="A23" s="58" t="s">
        <v>103</v>
      </c>
      <c r="B23" s="59" t="s">
        <v>403</v>
      </c>
      <c r="C23" s="60"/>
      <c r="D23" s="60"/>
    </row>
    <row r="24" spans="1:4" s="63" customFormat="1" ht="12" customHeight="1" thickBot="1">
      <c r="A24" s="58" t="s">
        <v>104</v>
      </c>
      <c r="B24" s="59" t="s">
        <v>520</v>
      </c>
      <c r="C24" s="60"/>
      <c r="D24" s="60"/>
    </row>
    <row r="25" spans="1:4" s="63" customFormat="1" ht="12" customHeight="1" thickBot="1">
      <c r="A25" s="66" t="s">
        <v>18</v>
      </c>
      <c r="B25" s="67" t="s">
        <v>165</v>
      </c>
      <c r="C25" s="68"/>
      <c r="D25" s="68"/>
    </row>
    <row r="26" spans="1:4" s="63" customFormat="1" ht="12" customHeight="1" thickBot="1">
      <c r="A26" s="66" t="s">
        <v>19</v>
      </c>
      <c r="B26" s="67" t="s">
        <v>404</v>
      </c>
      <c r="C26" s="53">
        <f>+C27+C28</f>
        <v>0</v>
      </c>
      <c r="D26" s="53">
        <f>+D27+D28</f>
        <v>0</v>
      </c>
    </row>
    <row r="27" spans="1:4" s="63" customFormat="1" ht="12" customHeight="1">
      <c r="A27" s="69" t="s">
        <v>261</v>
      </c>
      <c r="B27" s="70" t="s">
        <v>402</v>
      </c>
      <c r="C27" s="71"/>
      <c r="D27" s="71"/>
    </row>
    <row r="28" spans="1:4" s="63" customFormat="1" ht="12" customHeight="1">
      <c r="A28" s="69" t="s">
        <v>264</v>
      </c>
      <c r="B28" s="72" t="s">
        <v>405</v>
      </c>
      <c r="C28" s="73"/>
      <c r="D28" s="73"/>
    </row>
    <row r="29" spans="1:4" s="63" customFormat="1" ht="12" customHeight="1" thickBot="1">
      <c r="A29" s="58" t="s">
        <v>265</v>
      </c>
      <c r="B29" s="74" t="s">
        <v>521</v>
      </c>
      <c r="C29" s="75"/>
      <c r="D29" s="75"/>
    </row>
    <row r="30" spans="1:4" s="63" customFormat="1" ht="12" customHeight="1" thickBot="1">
      <c r="A30" s="66" t="s">
        <v>20</v>
      </c>
      <c r="B30" s="67" t="s">
        <v>406</v>
      </c>
      <c r="C30" s="53">
        <f>+C31+C32+C33</f>
        <v>0</v>
      </c>
      <c r="D30" s="53">
        <f>+D31+D32+D33</f>
        <v>0</v>
      </c>
    </row>
    <row r="31" spans="1:4" s="63" customFormat="1" ht="12" customHeight="1">
      <c r="A31" s="69" t="s">
        <v>88</v>
      </c>
      <c r="B31" s="70" t="s">
        <v>288</v>
      </c>
      <c r="C31" s="71"/>
      <c r="D31" s="71"/>
    </row>
    <row r="32" spans="1:4" s="63" customFormat="1" ht="12" customHeight="1">
      <c r="A32" s="69" t="s">
        <v>89</v>
      </c>
      <c r="B32" s="72" t="s">
        <v>289</v>
      </c>
      <c r="C32" s="73"/>
      <c r="D32" s="73"/>
    </row>
    <row r="33" spans="1:4" s="63" customFormat="1" ht="12" customHeight="1" thickBot="1">
      <c r="A33" s="58" t="s">
        <v>90</v>
      </c>
      <c r="B33" s="74" t="s">
        <v>290</v>
      </c>
      <c r="C33" s="75"/>
      <c r="D33" s="75"/>
    </row>
    <row r="34" spans="1:4" s="54" customFormat="1" ht="12" customHeight="1" thickBot="1">
      <c r="A34" s="66" t="s">
        <v>21</v>
      </c>
      <c r="B34" s="67" t="s">
        <v>375</v>
      </c>
      <c r="C34" s="68"/>
      <c r="D34" s="68"/>
    </row>
    <row r="35" spans="1:4" s="54" customFormat="1" ht="12" customHeight="1" thickBot="1">
      <c r="A35" s="66" t="s">
        <v>22</v>
      </c>
      <c r="B35" s="67" t="s">
        <v>407</v>
      </c>
      <c r="C35" s="76"/>
      <c r="D35" s="76"/>
    </row>
    <row r="36" spans="1:4" s="54" customFormat="1" ht="12" customHeight="1" thickBot="1">
      <c r="A36" s="45" t="s">
        <v>23</v>
      </c>
      <c r="B36" s="67" t="s">
        <v>522</v>
      </c>
      <c r="C36" s="77">
        <f>+C8+C20+C25+C26+C30+C34+C35</f>
        <v>2180100</v>
      </c>
      <c r="D36" s="77">
        <f>+D8+D20+D25+D26+D30+D34+D35</f>
        <v>2180100</v>
      </c>
    </row>
    <row r="37" spans="1:4" s="54" customFormat="1" ht="12" customHeight="1" thickBot="1">
      <c r="A37" s="78" t="s">
        <v>24</v>
      </c>
      <c r="B37" s="67" t="s">
        <v>409</v>
      </c>
      <c r="C37" s="77">
        <f>+C38+C39+C40</f>
        <v>44851772</v>
      </c>
      <c r="D37" s="77">
        <f>+D38+D39+D40</f>
        <v>44851772</v>
      </c>
    </row>
    <row r="38" spans="1:4" s="54" customFormat="1" ht="12" customHeight="1">
      <c r="A38" s="69" t="s">
        <v>410</v>
      </c>
      <c r="B38" s="70" t="s">
        <v>229</v>
      </c>
      <c r="C38" s="71">
        <v>50627</v>
      </c>
      <c r="D38" s="71">
        <v>50627</v>
      </c>
    </row>
    <row r="39" spans="1:4" s="54" customFormat="1" ht="12" customHeight="1">
      <c r="A39" s="69" t="s">
        <v>411</v>
      </c>
      <c r="B39" s="72" t="s">
        <v>2</v>
      </c>
      <c r="C39" s="73"/>
      <c r="D39" s="73"/>
    </row>
    <row r="40" spans="1:4" s="63" customFormat="1" ht="12" customHeight="1" thickBot="1">
      <c r="A40" s="58" t="s">
        <v>412</v>
      </c>
      <c r="B40" s="74" t="s">
        <v>413</v>
      </c>
      <c r="C40" s="75">
        <v>44801145</v>
      </c>
      <c r="D40" s="75">
        <v>44801145</v>
      </c>
    </row>
    <row r="41" spans="1:4" s="63" customFormat="1" ht="15" customHeight="1" thickBot="1">
      <c r="A41" s="78" t="s">
        <v>25</v>
      </c>
      <c r="B41" s="79" t="s">
        <v>414</v>
      </c>
      <c r="C41" s="80">
        <f>+C36+C37</f>
        <v>47031872</v>
      </c>
      <c r="D41" s="80">
        <f>+D36+D37</f>
        <v>47031872</v>
      </c>
    </row>
    <row r="42" spans="1:4" s="63" customFormat="1" ht="15" customHeight="1">
      <c r="A42" s="81"/>
      <c r="B42" s="82"/>
      <c r="C42" s="83"/>
      <c r="D42" s="83"/>
    </row>
    <row r="43" spans="1:4" ht="13.5" thickBot="1">
      <c r="A43" s="84"/>
      <c r="B43" s="85"/>
      <c r="C43" s="86"/>
      <c r="D43" s="86"/>
    </row>
    <row r="44" spans="1:4" s="48" customFormat="1" ht="16.5" customHeight="1" thickBot="1">
      <c r="A44" s="87"/>
      <c r="B44" s="88" t="s">
        <v>54</v>
      </c>
      <c r="C44" s="80"/>
      <c r="D44" s="80"/>
    </row>
    <row r="45" spans="1:4" s="89" customFormat="1" ht="12" customHeight="1" thickBot="1">
      <c r="A45" s="66" t="s">
        <v>16</v>
      </c>
      <c r="B45" s="67" t="s">
        <v>415</v>
      </c>
      <c r="C45" s="53">
        <f>SUM(C46:C50)</f>
        <v>45374616</v>
      </c>
      <c r="D45" s="53">
        <f>SUM(D46:D50)</f>
        <v>45374616</v>
      </c>
    </row>
    <row r="46" spans="1:4" ht="12" customHeight="1">
      <c r="A46" s="58" t="s">
        <v>95</v>
      </c>
      <c r="B46" s="65" t="s">
        <v>46</v>
      </c>
      <c r="C46" s="71">
        <v>13504770</v>
      </c>
      <c r="D46" s="71">
        <v>13507770</v>
      </c>
    </row>
    <row r="47" spans="1:4" ht="12" customHeight="1">
      <c r="A47" s="58" t="s">
        <v>96</v>
      </c>
      <c r="B47" s="59" t="s">
        <v>174</v>
      </c>
      <c r="C47" s="90">
        <v>3529618</v>
      </c>
      <c r="D47" s="90">
        <v>3526618</v>
      </c>
    </row>
    <row r="48" spans="1:4" ht="12" customHeight="1">
      <c r="A48" s="58" t="s">
        <v>97</v>
      </c>
      <c r="B48" s="59" t="s">
        <v>133</v>
      </c>
      <c r="C48" s="90">
        <v>28340228</v>
      </c>
      <c r="D48" s="90">
        <v>28340228</v>
      </c>
    </row>
    <row r="49" spans="1:4" ht="12" customHeight="1">
      <c r="A49" s="58" t="s">
        <v>98</v>
      </c>
      <c r="B49" s="59" t="s">
        <v>175</v>
      </c>
      <c r="C49" s="90"/>
      <c r="D49" s="90"/>
    </row>
    <row r="50" spans="1:4" ht="12" customHeight="1" thickBot="1">
      <c r="A50" s="58" t="s">
        <v>141</v>
      </c>
      <c r="B50" s="59" t="s">
        <v>176</v>
      </c>
      <c r="C50" s="90"/>
      <c r="D50" s="90"/>
    </row>
    <row r="51" spans="1:4" ht="12" customHeight="1" thickBot="1">
      <c r="A51" s="66" t="s">
        <v>17</v>
      </c>
      <c r="B51" s="67" t="s">
        <v>416</v>
      </c>
      <c r="C51" s="53">
        <f>SUM(C52:C54)</f>
        <v>1657256</v>
      </c>
      <c r="D51" s="53">
        <f>SUM(D52:D54)</f>
        <v>1657256</v>
      </c>
    </row>
    <row r="52" spans="1:4" s="89" customFormat="1" ht="12" customHeight="1">
      <c r="A52" s="58" t="s">
        <v>101</v>
      </c>
      <c r="B52" s="65" t="s">
        <v>219</v>
      </c>
      <c r="C52" s="71">
        <v>1657256</v>
      </c>
      <c r="D52" s="71">
        <v>1657256</v>
      </c>
    </row>
    <row r="53" spans="1:4" ht="12" customHeight="1">
      <c r="A53" s="58" t="s">
        <v>102</v>
      </c>
      <c r="B53" s="59" t="s">
        <v>178</v>
      </c>
      <c r="C53" s="90"/>
      <c r="D53" s="90"/>
    </row>
    <row r="54" spans="1:4" ht="12" customHeight="1">
      <c r="A54" s="58" t="s">
        <v>103</v>
      </c>
      <c r="B54" s="59" t="s">
        <v>55</v>
      </c>
      <c r="C54" s="90"/>
      <c r="D54" s="90"/>
    </row>
    <row r="55" spans="1:4" ht="12" customHeight="1" thickBot="1">
      <c r="A55" s="58" t="s">
        <v>104</v>
      </c>
      <c r="B55" s="59" t="s">
        <v>519</v>
      </c>
      <c r="C55" s="90"/>
      <c r="D55" s="90"/>
    </row>
    <row r="56" spans="1:4" ht="15" customHeight="1" thickBot="1">
      <c r="A56" s="66" t="s">
        <v>18</v>
      </c>
      <c r="B56" s="67" t="s">
        <v>12</v>
      </c>
      <c r="C56" s="68"/>
      <c r="D56" s="68"/>
    </row>
    <row r="57" spans="1:4" ht="13.5" thickBot="1">
      <c r="A57" s="66" t="s">
        <v>19</v>
      </c>
      <c r="B57" s="91" t="s">
        <v>524</v>
      </c>
      <c r="C57" s="92">
        <f>+C45+C51+C56</f>
        <v>47031872</v>
      </c>
      <c r="D57" s="92">
        <f>+D45+D51+D56</f>
        <v>47031872</v>
      </c>
    </row>
    <row r="58" spans="1:4" ht="15" customHeight="1" thickBot="1">
      <c r="C58" s="94"/>
      <c r="D58" s="94"/>
    </row>
    <row r="59" spans="1:4" ht="14.25" customHeight="1" thickBot="1">
      <c r="A59" s="95" t="s">
        <v>514</v>
      </c>
      <c r="B59" s="96"/>
      <c r="C59" s="97">
        <v>3.25</v>
      </c>
      <c r="D59" s="97">
        <v>3.25</v>
      </c>
    </row>
    <row r="60" spans="1:4" ht="13.5" thickBot="1">
      <c r="A60" s="95" t="s">
        <v>196</v>
      </c>
      <c r="B60" s="96"/>
      <c r="C60" s="97"/>
      <c r="D60" s="9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43" orientation="portrait" verticalDpi="300" r:id="rId1"/>
  <headerFooter alignWithMargins="0">
    <oddFooter>&amp;P. oldal, összesen: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indexed="57"/>
  </sheetPr>
  <dimension ref="A1:D60"/>
  <sheetViews>
    <sheetView topLeftCell="B1" zoomScaleNormal="100" workbookViewId="0">
      <selection activeCell="B1" sqref="B1"/>
    </sheetView>
  </sheetViews>
  <sheetFormatPr defaultRowHeight="12.75"/>
  <cols>
    <col min="1" max="1" width="13.83203125" style="93" customWidth="1"/>
    <col min="2" max="2" width="79.1640625" style="44" customWidth="1"/>
    <col min="3" max="4" width="25" style="44" customWidth="1"/>
    <col min="5" max="16384" width="9.33203125" style="44"/>
  </cols>
  <sheetData>
    <row r="1" spans="1:4" s="30" customFormat="1" ht="21" customHeight="1" thickBot="1">
      <c r="A1" s="28"/>
      <c r="B1" s="29" t="e">
        <f>+CONCATENATE("9.3.1. melléklet a ……/",LEFT([1]ÖSSZEFÜGGÉSEK!E5,4),". (….) önkormányzati rendelethez")</f>
        <v>#REF!</v>
      </c>
      <c r="C1" s="29"/>
      <c r="D1" s="29"/>
    </row>
    <row r="2" spans="1:4" s="34" customFormat="1" ht="36" customHeight="1">
      <c r="A2" s="31" t="s">
        <v>194</v>
      </c>
      <c r="B2" s="32" t="s">
        <v>542</v>
      </c>
      <c r="C2" s="33" t="s">
        <v>57</v>
      </c>
      <c r="D2" s="33" t="s">
        <v>57</v>
      </c>
    </row>
    <row r="3" spans="1:4" s="34" customFormat="1" ht="24.75" thickBot="1">
      <c r="A3" s="35" t="s">
        <v>193</v>
      </c>
      <c r="B3" s="36" t="s">
        <v>417</v>
      </c>
      <c r="C3" s="37" t="s">
        <v>51</v>
      </c>
      <c r="D3" s="37" t="s">
        <v>51</v>
      </c>
    </row>
    <row r="4" spans="1:4" s="40" customFormat="1" ht="15.95" customHeight="1" thickBot="1">
      <c r="A4" s="38"/>
      <c r="B4" s="38"/>
      <c r="C4" s="39" t="s">
        <v>612</v>
      </c>
      <c r="D4" s="39" t="s">
        <v>612</v>
      </c>
    </row>
    <row r="5" spans="1:4" ht="24.75" thickBot="1">
      <c r="A5" s="41" t="s">
        <v>195</v>
      </c>
      <c r="B5" s="42" t="s">
        <v>52</v>
      </c>
      <c r="C5" s="43" t="s">
        <v>613</v>
      </c>
      <c r="D5" s="43" t="s">
        <v>709</v>
      </c>
    </row>
    <row r="6" spans="1:4" s="48" customFormat="1" ht="12.95" customHeight="1" thickBot="1">
      <c r="A6" s="45" t="s">
        <v>487</v>
      </c>
      <c r="B6" s="46" t="s">
        <v>488</v>
      </c>
      <c r="C6" s="47" t="s">
        <v>489</v>
      </c>
      <c r="D6" s="47" t="s">
        <v>489</v>
      </c>
    </row>
    <row r="7" spans="1:4" s="48" customFormat="1" ht="15.95" customHeight="1" thickBot="1">
      <c r="A7" s="49"/>
      <c r="B7" s="50" t="s">
        <v>53</v>
      </c>
      <c r="C7" s="51"/>
      <c r="D7" s="51"/>
    </row>
    <row r="8" spans="1:4" s="54" customFormat="1" ht="12" customHeight="1" thickBot="1">
      <c r="A8" s="45" t="s">
        <v>16</v>
      </c>
      <c r="B8" s="52" t="s">
        <v>515</v>
      </c>
      <c r="C8" s="53">
        <f>SUM(C9:C19)</f>
        <v>2180100</v>
      </c>
      <c r="D8" s="53">
        <f>SUM(D9:D19)</f>
        <v>2180100</v>
      </c>
    </row>
    <row r="9" spans="1:4" s="54" customFormat="1" ht="12" customHeight="1">
      <c r="A9" s="55" t="s">
        <v>95</v>
      </c>
      <c r="B9" s="56" t="s">
        <v>274</v>
      </c>
      <c r="C9" s="57"/>
      <c r="D9" s="57"/>
    </row>
    <row r="10" spans="1:4" s="54" customFormat="1" ht="12" customHeight="1">
      <c r="A10" s="58" t="s">
        <v>96</v>
      </c>
      <c r="B10" s="59" t="s">
        <v>275</v>
      </c>
      <c r="C10" s="60">
        <v>2120000</v>
      </c>
      <c r="D10" s="60">
        <v>2120000</v>
      </c>
    </row>
    <row r="11" spans="1:4" s="54" customFormat="1" ht="12" customHeight="1">
      <c r="A11" s="58" t="s">
        <v>97</v>
      </c>
      <c r="B11" s="59" t="s">
        <v>276</v>
      </c>
      <c r="C11" s="60">
        <v>60000</v>
      </c>
      <c r="D11" s="60">
        <v>60000</v>
      </c>
    </row>
    <row r="12" spans="1:4" s="54" customFormat="1" ht="12" customHeight="1">
      <c r="A12" s="58" t="s">
        <v>98</v>
      </c>
      <c r="B12" s="59" t="s">
        <v>277</v>
      </c>
      <c r="C12" s="60"/>
      <c r="D12" s="60"/>
    </row>
    <row r="13" spans="1:4" s="54" customFormat="1" ht="12" customHeight="1">
      <c r="A13" s="58" t="s">
        <v>141</v>
      </c>
      <c r="B13" s="59" t="s">
        <v>278</v>
      </c>
      <c r="C13" s="60"/>
      <c r="D13" s="60"/>
    </row>
    <row r="14" spans="1:4" s="54" customFormat="1" ht="12" customHeight="1">
      <c r="A14" s="58" t="s">
        <v>99</v>
      </c>
      <c r="B14" s="59" t="s">
        <v>399</v>
      </c>
      <c r="C14" s="60"/>
      <c r="D14" s="60"/>
    </row>
    <row r="15" spans="1:4" s="54" customFormat="1" ht="12" customHeight="1">
      <c r="A15" s="58" t="s">
        <v>100</v>
      </c>
      <c r="B15" s="61" t="s">
        <v>400</v>
      </c>
      <c r="C15" s="60"/>
      <c r="D15" s="60"/>
    </row>
    <row r="16" spans="1:4" s="54" customFormat="1" ht="12" customHeight="1">
      <c r="A16" s="58" t="s">
        <v>110</v>
      </c>
      <c r="B16" s="59" t="s">
        <v>281</v>
      </c>
      <c r="C16" s="62">
        <v>100</v>
      </c>
      <c r="D16" s="62">
        <v>100</v>
      </c>
    </row>
    <row r="17" spans="1:4" s="63" customFormat="1" ht="12" customHeight="1">
      <c r="A17" s="58" t="s">
        <v>111</v>
      </c>
      <c r="B17" s="59" t="s">
        <v>282</v>
      </c>
      <c r="C17" s="60"/>
      <c r="D17" s="60"/>
    </row>
    <row r="18" spans="1:4" s="63" customFormat="1" ht="12" customHeight="1">
      <c r="A18" s="58" t="s">
        <v>112</v>
      </c>
      <c r="B18" s="59" t="s">
        <v>434</v>
      </c>
      <c r="C18" s="64"/>
      <c r="D18" s="64"/>
    </row>
    <row r="19" spans="1:4" s="63" customFormat="1" ht="12" customHeight="1" thickBot="1">
      <c r="A19" s="58" t="s">
        <v>113</v>
      </c>
      <c r="B19" s="61" t="s">
        <v>283</v>
      </c>
      <c r="C19" s="64"/>
      <c r="D19" s="64"/>
    </row>
    <row r="20" spans="1:4" s="54" customFormat="1" ht="12" customHeight="1" thickBot="1">
      <c r="A20" s="45" t="s">
        <v>17</v>
      </c>
      <c r="B20" s="52" t="s">
        <v>401</v>
      </c>
      <c r="C20" s="53">
        <f>SUM(C21:C23)</f>
        <v>0</v>
      </c>
      <c r="D20" s="53">
        <f>SUM(D21:D23)</f>
        <v>0</v>
      </c>
    </row>
    <row r="21" spans="1:4" s="63" customFormat="1" ht="12" customHeight="1">
      <c r="A21" s="58" t="s">
        <v>101</v>
      </c>
      <c r="B21" s="65" t="s">
        <v>251</v>
      </c>
      <c r="C21" s="60"/>
      <c r="D21" s="60"/>
    </row>
    <row r="22" spans="1:4" s="63" customFormat="1" ht="12" customHeight="1">
      <c r="A22" s="58" t="s">
        <v>102</v>
      </c>
      <c r="B22" s="59" t="s">
        <v>402</v>
      </c>
      <c r="C22" s="60"/>
      <c r="D22" s="60"/>
    </row>
    <row r="23" spans="1:4" s="63" customFormat="1" ht="12" customHeight="1">
      <c r="A23" s="58" t="s">
        <v>103</v>
      </c>
      <c r="B23" s="59" t="s">
        <v>403</v>
      </c>
      <c r="C23" s="60"/>
      <c r="D23" s="60"/>
    </row>
    <row r="24" spans="1:4" s="63" customFormat="1" ht="12" customHeight="1" thickBot="1">
      <c r="A24" s="58" t="s">
        <v>104</v>
      </c>
      <c r="B24" s="59" t="s">
        <v>520</v>
      </c>
      <c r="C24" s="60"/>
      <c r="D24" s="60"/>
    </row>
    <row r="25" spans="1:4" s="63" customFormat="1" ht="12" customHeight="1" thickBot="1">
      <c r="A25" s="66" t="s">
        <v>18</v>
      </c>
      <c r="B25" s="67" t="s">
        <v>165</v>
      </c>
      <c r="C25" s="68"/>
      <c r="D25" s="68"/>
    </row>
    <row r="26" spans="1:4" s="63" customFormat="1" ht="12" customHeight="1" thickBot="1">
      <c r="A26" s="66" t="s">
        <v>19</v>
      </c>
      <c r="B26" s="67" t="s">
        <v>404</v>
      </c>
      <c r="C26" s="53">
        <f>+C27+C28</f>
        <v>0</v>
      </c>
      <c r="D26" s="53">
        <f>+D27+D28</f>
        <v>0</v>
      </c>
    </row>
    <row r="27" spans="1:4" s="63" customFormat="1" ht="12" customHeight="1">
      <c r="A27" s="69" t="s">
        <v>261</v>
      </c>
      <c r="B27" s="70" t="s">
        <v>402</v>
      </c>
      <c r="C27" s="71"/>
      <c r="D27" s="71"/>
    </row>
    <row r="28" spans="1:4" s="63" customFormat="1" ht="12" customHeight="1">
      <c r="A28" s="69" t="s">
        <v>264</v>
      </c>
      <c r="B28" s="72" t="s">
        <v>405</v>
      </c>
      <c r="C28" s="73"/>
      <c r="D28" s="73"/>
    </row>
    <row r="29" spans="1:4" s="63" customFormat="1" ht="12" customHeight="1" thickBot="1">
      <c r="A29" s="58" t="s">
        <v>265</v>
      </c>
      <c r="B29" s="74" t="s">
        <v>521</v>
      </c>
      <c r="C29" s="75"/>
      <c r="D29" s="75"/>
    </row>
    <row r="30" spans="1:4" s="63" customFormat="1" ht="12" customHeight="1" thickBot="1">
      <c r="A30" s="66" t="s">
        <v>20</v>
      </c>
      <c r="B30" s="67" t="s">
        <v>406</v>
      </c>
      <c r="C30" s="53">
        <f>+C31+C32+C33</f>
        <v>0</v>
      </c>
      <c r="D30" s="53">
        <f>+D31+D32+D33</f>
        <v>0</v>
      </c>
    </row>
    <row r="31" spans="1:4" s="63" customFormat="1" ht="12" customHeight="1">
      <c r="A31" s="69" t="s">
        <v>88</v>
      </c>
      <c r="B31" s="70" t="s">
        <v>288</v>
      </c>
      <c r="C31" s="71"/>
      <c r="D31" s="71"/>
    </row>
    <row r="32" spans="1:4" s="63" customFormat="1" ht="12" customHeight="1">
      <c r="A32" s="69" t="s">
        <v>89</v>
      </c>
      <c r="B32" s="72" t="s">
        <v>289</v>
      </c>
      <c r="C32" s="73"/>
      <c r="D32" s="73"/>
    </row>
    <row r="33" spans="1:4" s="63" customFormat="1" ht="12" customHeight="1" thickBot="1">
      <c r="A33" s="58" t="s">
        <v>90</v>
      </c>
      <c r="B33" s="74" t="s">
        <v>290</v>
      </c>
      <c r="C33" s="75"/>
      <c r="D33" s="75"/>
    </row>
    <row r="34" spans="1:4" s="54" customFormat="1" ht="12" customHeight="1" thickBot="1">
      <c r="A34" s="66" t="s">
        <v>21</v>
      </c>
      <c r="B34" s="67" t="s">
        <v>375</v>
      </c>
      <c r="C34" s="68"/>
      <c r="D34" s="68"/>
    </row>
    <row r="35" spans="1:4" s="54" customFormat="1" ht="12" customHeight="1" thickBot="1">
      <c r="A35" s="66" t="s">
        <v>22</v>
      </c>
      <c r="B35" s="67" t="s">
        <v>407</v>
      </c>
      <c r="C35" s="76"/>
      <c r="D35" s="76"/>
    </row>
    <row r="36" spans="1:4" s="54" customFormat="1" ht="12" customHeight="1" thickBot="1">
      <c r="A36" s="45" t="s">
        <v>23</v>
      </c>
      <c r="B36" s="67" t="s">
        <v>522</v>
      </c>
      <c r="C36" s="77">
        <f>+C8+C20+C25+C26+C30+C34+C35</f>
        <v>2180100</v>
      </c>
      <c r="D36" s="77">
        <f>+D8+D20+D25+D26+D30+D34+D35</f>
        <v>2180100</v>
      </c>
    </row>
    <row r="37" spans="1:4" s="54" customFormat="1" ht="12" customHeight="1" thickBot="1">
      <c r="A37" s="78" t="s">
        <v>24</v>
      </c>
      <c r="B37" s="67" t="s">
        <v>409</v>
      </c>
      <c r="C37" s="77">
        <f>+C38+C39+C40</f>
        <v>44851772</v>
      </c>
      <c r="D37" s="77">
        <f>+D38+D39+D40</f>
        <v>44851772</v>
      </c>
    </row>
    <row r="38" spans="1:4" s="54" customFormat="1" ht="12" customHeight="1">
      <c r="A38" s="69" t="s">
        <v>410</v>
      </c>
      <c r="B38" s="70" t="s">
        <v>229</v>
      </c>
      <c r="C38" s="71">
        <v>50627</v>
      </c>
      <c r="D38" s="71">
        <v>50627</v>
      </c>
    </row>
    <row r="39" spans="1:4" s="54" customFormat="1" ht="12" customHeight="1">
      <c r="A39" s="69" t="s">
        <v>411</v>
      </c>
      <c r="B39" s="72" t="s">
        <v>2</v>
      </c>
      <c r="C39" s="73"/>
      <c r="D39" s="73"/>
    </row>
    <row r="40" spans="1:4" s="63" customFormat="1" ht="12" customHeight="1" thickBot="1">
      <c r="A40" s="58" t="s">
        <v>412</v>
      </c>
      <c r="B40" s="74" t="s">
        <v>413</v>
      </c>
      <c r="C40" s="75">
        <v>44801145</v>
      </c>
      <c r="D40" s="75">
        <v>44801145</v>
      </c>
    </row>
    <row r="41" spans="1:4" s="63" customFormat="1" ht="15" customHeight="1" thickBot="1">
      <c r="A41" s="78" t="s">
        <v>25</v>
      </c>
      <c r="B41" s="79" t="s">
        <v>414</v>
      </c>
      <c r="C41" s="80">
        <f>+C36+C37</f>
        <v>47031872</v>
      </c>
      <c r="D41" s="80">
        <f>+D36+D37</f>
        <v>47031872</v>
      </c>
    </row>
    <row r="42" spans="1:4" s="63" customFormat="1" ht="15" customHeight="1">
      <c r="A42" s="81"/>
      <c r="B42" s="82"/>
      <c r="C42" s="83"/>
      <c r="D42" s="83"/>
    </row>
    <row r="43" spans="1:4" ht="13.5" thickBot="1">
      <c r="A43" s="84"/>
      <c r="B43" s="85"/>
      <c r="C43" s="86"/>
      <c r="D43" s="86"/>
    </row>
    <row r="44" spans="1:4" s="48" customFormat="1" ht="16.5" customHeight="1" thickBot="1">
      <c r="A44" s="87"/>
      <c r="B44" s="88" t="s">
        <v>54</v>
      </c>
      <c r="C44" s="80"/>
      <c r="D44" s="80"/>
    </row>
    <row r="45" spans="1:4" s="89" customFormat="1" ht="12" customHeight="1" thickBot="1">
      <c r="A45" s="66" t="s">
        <v>16</v>
      </c>
      <c r="B45" s="67" t="s">
        <v>415</v>
      </c>
      <c r="C45" s="53">
        <f>SUM(C46:C50)</f>
        <v>45374616</v>
      </c>
      <c r="D45" s="53">
        <f>SUM(D46:D50)</f>
        <v>45374616</v>
      </c>
    </row>
    <row r="46" spans="1:4" ht="12" customHeight="1">
      <c r="A46" s="58" t="s">
        <v>95</v>
      </c>
      <c r="B46" s="65" t="s">
        <v>46</v>
      </c>
      <c r="C46" s="71">
        <v>13504770</v>
      </c>
      <c r="D46" s="71">
        <v>13507770</v>
      </c>
    </row>
    <row r="47" spans="1:4" ht="12" customHeight="1">
      <c r="A47" s="58" t="s">
        <v>96</v>
      </c>
      <c r="B47" s="59" t="s">
        <v>174</v>
      </c>
      <c r="C47" s="90">
        <v>3529618</v>
      </c>
      <c r="D47" s="90">
        <v>3526618</v>
      </c>
    </row>
    <row r="48" spans="1:4" ht="12" customHeight="1">
      <c r="A48" s="58" t="s">
        <v>97</v>
      </c>
      <c r="B48" s="59" t="s">
        <v>133</v>
      </c>
      <c r="C48" s="90">
        <v>28340228</v>
      </c>
      <c r="D48" s="90">
        <v>28340228</v>
      </c>
    </row>
    <row r="49" spans="1:4" ht="12" customHeight="1">
      <c r="A49" s="58" t="s">
        <v>98</v>
      </c>
      <c r="B49" s="59" t="s">
        <v>175</v>
      </c>
      <c r="C49" s="90"/>
      <c r="D49" s="90"/>
    </row>
    <row r="50" spans="1:4" ht="12" customHeight="1" thickBot="1">
      <c r="A50" s="58" t="s">
        <v>141</v>
      </c>
      <c r="B50" s="59" t="s">
        <v>176</v>
      </c>
      <c r="C50" s="90"/>
      <c r="D50" s="90"/>
    </row>
    <row r="51" spans="1:4" ht="12" customHeight="1" thickBot="1">
      <c r="A51" s="66" t="s">
        <v>17</v>
      </c>
      <c r="B51" s="67" t="s">
        <v>416</v>
      </c>
      <c r="C51" s="53">
        <f>SUM(C52:C54)</f>
        <v>1657256</v>
      </c>
      <c r="D51" s="53">
        <f>SUM(D52:D54)</f>
        <v>1657256</v>
      </c>
    </row>
    <row r="52" spans="1:4" s="89" customFormat="1" ht="12" customHeight="1">
      <c r="A52" s="58" t="s">
        <v>101</v>
      </c>
      <c r="B52" s="65" t="s">
        <v>219</v>
      </c>
      <c r="C52" s="71">
        <v>1657256</v>
      </c>
      <c r="D52" s="71">
        <v>1657256</v>
      </c>
    </row>
    <row r="53" spans="1:4" ht="12" customHeight="1">
      <c r="A53" s="58" t="s">
        <v>102</v>
      </c>
      <c r="B53" s="59" t="s">
        <v>178</v>
      </c>
      <c r="C53" s="90"/>
      <c r="D53" s="90"/>
    </row>
    <row r="54" spans="1:4" ht="12" customHeight="1">
      <c r="A54" s="58" t="s">
        <v>103</v>
      </c>
      <c r="B54" s="59" t="s">
        <v>55</v>
      </c>
      <c r="C54" s="90"/>
      <c r="D54" s="90"/>
    </row>
    <row r="55" spans="1:4" ht="12" customHeight="1" thickBot="1">
      <c r="A55" s="58" t="s">
        <v>104</v>
      </c>
      <c r="B55" s="59" t="s">
        <v>519</v>
      </c>
      <c r="C55" s="90"/>
      <c r="D55" s="90"/>
    </row>
    <row r="56" spans="1:4" ht="15" customHeight="1" thickBot="1">
      <c r="A56" s="66" t="s">
        <v>18</v>
      </c>
      <c r="B56" s="67" t="s">
        <v>12</v>
      </c>
      <c r="C56" s="68"/>
      <c r="D56" s="68"/>
    </row>
    <row r="57" spans="1:4" ht="13.5" thickBot="1">
      <c r="A57" s="66" t="s">
        <v>19</v>
      </c>
      <c r="B57" s="91" t="s">
        <v>524</v>
      </c>
      <c r="C57" s="92">
        <f>+C45+C51+C56</f>
        <v>47031872</v>
      </c>
      <c r="D57" s="92">
        <f>+D45+D51+D56</f>
        <v>47031872</v>
      </c>
    </row>
    <row r="58" spans="1:4" ht="15" customHeight="1" thickBot="1">
      <c r="C58" s="94"/>
      <c r="D58" s="94"/>
    </row>
    <row r="59" spans="1:4" ht="14.25" customHeight="1" thickBot="1">
      <c r="A59" s="95" t="s">
        <v>514</v>
      </c>
      <c r="B59" s="96"/>
      <c r="C59" s="97">
        <v>3.25</v>
      </c>
      <c r="D59" s="97">
        <v>3.25</v>
      </c>
    </row>
    <row r="60" spans="1:4" ht="13.5" thickBot="1">
      <c r="A60" s="95" t="s">
        <v>196</v>
      </c>
      <c r="B60" s="96"/>
      <c r="C60" s="97"/>
      <c r="D60" s="9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43" orientation="portrait" verticalDpi="300" r:id="rId1"/>
  <headerFooter alignWithMargins="0">
    <oddFooter>&amp;P. oldal, összesen: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indexed="57"/>
  </sheetPr>
  <dimension ref="A1:D60"/>
  <sheetViews>
    <sheetView topLeftCell="B1" zoomScaleNormal="100" workbookViewId="0">
      <selection activeCell="B11" sqref="B11"/>
    </sheetView>
  </sheetViews>
  <sheetFormatPr defaultRowHeight="12.75"/>
  <cols>
    <col min="1" max="1" width="13.83203125" style="93" customWidth="1"/>
    <col min="2" max="2" width="79.1640625" style="44" customWidth="1"/>
    <col min="3" max="4" width="25" style="44" customWidth="1"/>
    <col min="5" max="16384" width="9.33203125" style="44"/>
  </cols>
  <sheetData>
    <row r="1" spans="1:4" s="30" customFormat="1" ht="21" customHeight="1" thickBot="1">
      <c r="A1" s="28"/>
      <c r="B1" s="29" t="str">
        <f>+CONCATENATE("9.3.2. melléklet a ……/",LEFT([1]ÖSSZEFÜGGÉSEK!E5,4),". (….) önkormányzati rendelethez")</f>
        <v>9.3.2. melléklet a ……/. (….) önkormányzati rendelethez</v>
      </c>
      <c r="C1" s="29"/>
      <c r="D1" s="29"/>
    </row>
    <row r="2" spans="1:4" s="34" customFormat="1" ht="32.25" customHeight="1">
      <c r="A2" s="31" t="s">
        <v>194</v>
      </c>
      <c r="B2" s="32" t="s">
        <v>542</v>
      </c>
      <c r="C2" s="33" t="s">
        <v>57</v>
      </c>
      <c r="D2" s="33" t="s">
        <v>57</v>
      </c>
    </row>
    <row r="3" spans="1:4" s="34" customFormat="1" ht="24.75" thickBot="1">
      <c r="A3" s="35" t="s">
        <v>193</v>
      </c>
      <c r="B3" s="36" t="s">
        <v>418</v>
      </c>
      <c r="C3" s="37" t="s">
        <v>57</v>
      </c>
      <c r="D3" s="37" t="s">
        <v>57</v>
      </c>
    </row>
    <row r="4" spans="1:4" s="40" customFormat="1" ht="15.95" customHeight="1" thickBot="1">
      <c r="A4" s="38"/>
      <c r="B4" s="38"/>
      <c r="C4" s="39" t="s">
        <v>612</v>
      </c>
      <c r="D4" s="39" t="s">
        <v>612</v>
      </c>
    </row>
    <row r="5" spans="1:4" ht="24.75" thickBot="1">
      <c r="A5" s="41" t="s">
        <v>195</v>
      </c>
      <c r="B5" s="42" t="s">
        <v>52</v>
      </c>
      <c r="C5" s="43" t="s">
        <v>613</v>
      </c>
      <c r="D5" s="43" t="s">
        <v>709</v>
      </c>
    </row>
    <row r="6" spans="1:4" s="48" customFormat="1" ht="12.95" customHeight="1" thickBot="1">
      <c r="A6" s="45" t="s">
        <v>487</v>
      </c>
      <c r="B6" s="46" t="s">
        <v>488</v>
      </c>
      <c r="C6" s="47" t="s">
        <v>489</v>
      </c>
      <c r="D6" s="47" t="s">
        <v>489</v>
      </c>
    </row>
    <row r="7" spans="1:4" s="48" customFormat="1" ht="15.95" customHeight="1" thickBot="1">
      <c r="A7" s="49"/>
      <c r="B7" s="50" t="s">
        <v>53</v>
      </c>
      <c r="C7" s="51"/>
      <c r="D7" s="51"/>
    </row>
    <row r="8" spans="1:4" s="54" customFormat="1" ht="12" customHeight="1" thickBot="1">
      <c r="A8" s="45" t="s">
        <v>16</v>
      </c>
      <c r="B8" s="52" t="s">
        <v>515</v>
      </c>
      <c r="C8" s="53">
        <f>SUM(C9:C19)</f>
        <v>0</v>
      </c>
      <c r="D8" s="53">
        <f>SUM(D9:D19)</f>
        <v>0</v>
      </c>
    </row>
    <row r="9" spans="1:4" s="54" customFormat="1" ht="12" customHeight="1">
      <c r="A9" s="55" t="s">
        <v>95</v>
      </c>
      <c r="B9" s="56" t="s">
        <v>274</v>
      </c>
      <c r="C9" s="57"/>
      <c r="D9" s="57"/>
    </row>
    <row r="10" spans="1:4" s="54" customFormat="1" ht="12" customHeight="1">
      <c r="A10" s="58" t="s">
        <v>96</v>
      </c>
      <c r="B10" s="59" t="s">
        <v>275</v>
      </c>
      <c r="C10" s="60"/>
      <c r="D10" s="60"/>
    </row>
    <row r="11" spans="1:4" s="54" customFormat="1" ht="12" customHeight="1">
      <c r="A11" s="58" t="s">
        <v>97</v>
      </c>
      <c r="B11" s="59" t="s">
        <v>276</v>
      </c>
      <c r="C11" s="60"/>
      <c r="D11" s="60"/>
    </row>
    <row r="12" spans="1:4" s="54" customFormat="1" ht="12" customHeight="1">
      <c r="A12" s="58" t="s">
        <v>98</v>
      </c>
      <c r="B12" s="59" t="s">
        <v>277</v>
      </c>
      <c r="C12" s="60"/>
      <c r="D12" s="60"/>
    </row>
    <row r="13" spans="1:4" s="54" customFormat="1" ht="12" customHeight="1">
      <c r="A13" s="58" t="s">
        <v>141</v>
      </c>
      <c r="B13" s="59" t="s">
        <v>278</v>
      </c>
      <c r="C13" s="60"/>
      <c r="D13" s="60"/>
    </row>
    <row r="14" spans="1:4" s="54" customFormat="1" ht="12" customHeight="1">
      <c r="A14" s="58" t="s">
        <v>99</v>
      </c>
      <c r="B14" s="59" t="s">
        <v>399</v>
      </c>
      <c r="C14" s="60"/>
      <c r="D14" s="60"/>
    </row>
    <row r="15" spans="1:4" s="54" customFormat="1" ht="12" customHeight="1">
      <c r="A15" s="58" t="s">
        <v>100</v>
      </c>
      <c r="B15" s="61" t="s">
        <v>400</v>
      </c>
      <c r="C15" s="60"/>
      <c r="D15" s="60"/>
    </row>
    <row r="16" spans="1:4" s="54" customFormat="1" ht="12" customHeight="1">
      <c r="A16" s="58" t="s">
        <v>110</v>
      </c>
      <c r="B16" s="59" t="s">
        <v>281</v>
      </c>
      <c r="C16" s="62"/>
      <c r="D16" s="62"/>
    </row>
    <row r="17" spans="1:4" s="63" customFormat="1" ht="12" customHeight="1">
      <c r="A17" s="58" t="s">
        <v>111</v>
      </c>
      <c r="B17" s="59" t="s">
        <v>282</v>
      </c>
      <c r="C17" s="60"/>
      <c r="D17" s="60"/>
    </row>
    <row r="18" spans="1:4" s="63" customFormat="1" ht="12" customHeight="1">
      <c r="A18" s="58" t="s">
        <v>112</v>
      </c>
      <c r="B18" s="59" t="s">
        <v>434</v>
      </c>
      <c r="C18" s="64"/>
      <c r="D18" s="64"/>
    </row>
    <row r="19" spans="1:4" s="63" customFormat="1" ht="12" customHeight="1" thickBot="1">
      <c r="A19" s="58" t="s">
        <v>113</v>
      </c>
      <c r="B19" s="61" t="s">
        <v>283</v>
      </c>
      <c r="C19" s="64"/>
      <c r="D19" s="64"/>
    </row>
    <row r="20" spans="1:4" s="54" customFormat="1" ht="12" customHeight="1" thickBot="1">
      <c r="A20" s="45" t="s">
        <v>17</v>
      </c>
      <c r="B20" s="52" t="s">
        <v>401</v>
      </c>
      <c r="C20" s="53">
        <f>SUM(C21:C23)</f>
        <v>0</v>
      </c>
      <c r="D20" s="53">
        <f>SUM(D21:D23)</f>
        <v>0</v>
      </c>
    </row>
    <row r="21" spans="1:4" s="63" customFormat="1" ht="12" customHeight="1">
      <c r="A21" s="58" t="s">
        <v>101</v>
      </c>
      <c r="B21" s="65" t="s">
        <v>251</v>
      </c>
      <c r="C21" s="60"/>
      <c r="D21" s="60"/>
    </row>
    <row r="22" spans="1:4" s="63" customFormat="1" ht="12" customHeight="1">
      <c r="A22" s="58" t="s">
        <v>102</v>
      </c>
      <c r="B22" s="59" t="s">
        <v>402</v>
      </c>
      <c r="C22" s="60"/>
      <c r="D22" s="60"/>
    </row>
    <row r="23" spans="1:4" s="63" customFormat="1" ht="12" customHeight="1">
      <c r="A23" s="58" t="s">
        <v>103</v>
      </c>
      <c r="B23" s="59" t="s">
        <v>403</v>
      </c>
      <c r="C23" s="60"/>
      <c r="D23" s="60"/>
    </row>
    <row r="24" spans="1:4" s="63" customFormat="1" ht="12" customHeight="1" thickBot="1">
      <c r="A24" s="58" t="s">
        <v>104</v>
      </c>
      <c r="B24" s="59" t="s">
        <v>520</v>
      </c>
      <c r="C24" s="60"/>
      <c r="D24" s="60"/>
    </row>
    <row r="25" spans="1:4" s="63" customFormat="1" ht="12" customHeight="1" thickBot="1">
      <c r="A25" s="66" t="s">
        <v>18</v>
      </c>
      <c r="B25" s="67" t="s">
        <v>165</v>
      </c>
      <c r="C25" s="68"/>
      <c r="D25" s="68"/>
    </row>
    <row r="26" spans="1:4" s="63" customFormat="1" ht="12" customHeight="1" thickBot="1">
      <c r="A26" s="66" t="s">
        <v>19</v>
      </c>
      <c r="B26" s="67" t="s">
        <v>404</v>
      </c>
      <c r="C26" s="53">
        <f>+C27+C28</f>
        <v>0</v>
      </c>
      <c r="D26" s="53">
        <f>+D27+D28</f>
        <v>0</v>
      </c>
    </row>
    <row r="27" spans="1:4" s="63" customFormat="1" ht="12" customHeight="1">
      <c r="A27" s="69" t="s">
        <v>261</v>
      </c>
      <c r="B27" s="70" t="s">
        <v>402</v>
      </c>
      <c r="C27" s="71"/>
      <c r="D27" s="71"/>
    </row>
    <row r="28" spans="1:4" s="63" customFormat="1" ht="12" customHeight="1">
      <c r="A28" s="69" t="s">
        <v>264</v>
      </c>
      <c r="B28" s="72" t="s">
        <v>405</v>
      </c>
      <c r="C28" s="73"/>
      <c r="D28" s="73"/>
    </row>
    <row r="29" spans="1:4" s="63" customFormat="1" ht="12" customHeight="1" thickBot="1">
      <c r="A29" s="58" t="s">
        <v>265</v>
      </c>
      <c r="B29" s="74" t="s">
        <v>521</v>
      </c>
      <c r="C29" s="75"/>
      <c r="D29" s="75"/>
    </row>
    <row r="30" spans="1:4" s="63" customFormat="1" ht="12" customHeight="1" thickBot="1">
      <c r="A30" s="66" t="s">
        <v>20</v>
      </c>
      <c r="B30" s="67" t="s">
        <v>406</v>
      </c>
      <c r="C30" s="53">
        <f>+C31+C32+C33</f>
        <v>0</v>
      </c>
      <c r="D30" s="53">
        <f>+D31+D32+D33</f>
        <v>0</v>
      </c>
    </row>
    <row r="31" spans="1:4" s="63" customFormat="1" ht="12" customHeight="1">
      <c r="A31" s="69" t="s">
        <v>88</v>
      </c>
      <c r="B31" s="70" t="s">
        <v>288</v>
      </c>
      <c r="C31" s="71"/>
      <c r="D31" s="71"/>
    </row>
    <row r="32" spans="1:4" s="63" customFormat="1" ht="12" customHeight="1">
      <c r="A32" s="69" t="s">
        <v>89</v>
      </c>
      <c r="B32" s="72" t="s">
        <v>289</v>
      </c>
      <c r="C32" s="73"/>
      <c r="D32" s="73"/>
    </row>
    <row r="33" spans="1:4" s="63" customFormat="1" ht="12" customHeight="1" thickBot="1">
      <c r="A33" s="58" t="s">
        <v>90</v>
      </c>
      <c r="B33" s="74" t="s">
        <v>290</v>
      </c>
      <c r="C33" s="75"/>
      <c r="D33" s="75"/>
    </row>
    <row r="34" spans="1:4" s="54" customFormat="1" ht="12" customHeight="1" thickBot="1">
      <c r="A34" s="66" t="s">
        <v>21</v>
      </c>
      <c r="B34" s="67" t="s">
        <v>375</v>
      </c>
      <c r="C34" s="68"/>
      <c r="D34" s="68"/>
    </row>
    <row r="35" spans="1:4" s="54" customFormat="1" ht="12" customHeight="1" thickBot="1">
      <c r="A35" s="66" t="s">
        <v>22</v>
      </c>
      <c r="B35" s="67" t="s">
        <v>407</v>
      </c>
      <c r="C35" s="76"/>
      <c r="D35" s="76"/>
    </row>
    <row r="36" spans="1:4" s="54" customFormat="1" ht="12" customHeight="1" thickBot="1">
      <c r="A36" s="45" t="s">
        <v>23</v>
      </c>
      <c r="B36" s="67" t="s">
        <v>522</v>
      </c>
      <c r="C36" s="77">
        <f>+C8+C20+C25+C26+C30+C34+C35</f>
        <v>0</v>
      </c>
      <c r="D36" s="77">
        <f>+D8+D20+D25+D26+D30+D34+D35</f>
        <v>0</v>
      </c>
    </row>
    <row r="37" spans="1:4" s="54" customFormat="1" ht="12" customHeight="1" thickBot="1">
      <c r="A37" s="78" t="s">
        <v>24</v>
      </c>
      <c r="B37" s="67" t="s">
        <v>409</v>
      </c>
      <c r="C37" s="77">
        <f>+C38+C39+C40</f>
        <v>0</v>
      </c>
      <c r="D37" s="77">
        <f>+D38+D39+D40</f>
        <v>0</v>
      </c>
    </row>
    <row r="38" spans="1:4" s="54" customFormat="1" ht="12" customHeight="1">
      <c r="A38" s="69" t="s">
        <v>410</v>
      </c>
      <c r="B38" s="70" t="s">
        <v>229</v>
      </c>
      <c r="C38" s="71"/>
      <c r="D38" s="71"/>
    </row>
    <row r="39" spans="1:4" s="54" customFormat="1" ht="12" customHeight="1">
      <c r="A39" s="69" t="s">
        <v>411</v>
      </c>
      <c r="B39" s="72" t="s">
        <v>2</v>
      </c>
      <c r="C39" s="73"/>
      <c r="D39" s="73"/>
    </row>
    <row r="40" spans="1:4" s="63" customFormat="1" ht="12" customHeight="1" thickBot="1">
      <c r="A40" s="58" t="s">
        <v>412</v>
      </c>
      <c r="B40" s="74" t="s">
        <v>413</v>
      </c>
      <c r="C40" s="75"/>
      <c r="D40" s="75"/>
    </row>
    <row r="41" spans="1:4" s="63" customFormat="1" ht="15" customHeight="1" thickBot="1">
      <c r="A41" s="78" t="s">
        <v>25</v>
      </c>
      <c r="B41" s="79" t="s">
        <v>414</v>
      </c>
      <c r="C41" s="80">
        <f>+C36+C37</f>
        <v>0</v>
      </c>
      <c r="D41" s="80">
        <f>+D36+D37</f>
        <v>0</v>
      </c>
    </row>
    <row r="42" spans="1:4" s="63" customFormat="1" ht="15" customHeight="1">
      <c r="A42" s="81"/>
      <c r="B42" s="82"/>
      <c r="C42" s="83"/>
      <c r="D42" s="83"/>
    </row>
    <row r="43" spans="1:4" ht="13.5" thickBot="1">
      <c r="A43" s="84"/>
      <c r="B43" s="85"/>
      <c r="C43" s="86"/>
      <c r="D43" s="86"/>
    </row>
    <row r="44" spans="1:4" s="48" customFormat="1" ht="16.5" customHeight="1" thickBot="1">
      <c r="A44" s="87"/>
      <c r="B44" s="88" t="s">
        <v>54</v>
      </c>
      <c r="C44" s="80"/>
      <c r="D44" s="80"/>
    </row>
    <row r="45" spans="1:4" s="89" customFormat="1" ht="12" customHeight="1" thickBot="1">
      <c r="A45" s="66" t="s">
        <v>16</v>
      </c>
      <c r="B45" s="67" t="s">
        <v>415</v>
      </c>
      <c r="C45" s="53">
        <f>SUM(C46:C50)</f>
        <v>0</v>
      </c>
      <c r="D45" s="53">
        <f>SUM(D46:D50)</f>
        <v>0</v>
      </c>
    </row>
    <row r="46" spans="1:4" ht="12" customHeight="1">
      <c r="A46" s="58" t="s">
        <v>95</v>
      </c>
      <c r="B46" s="65" t="s">
        <v>46</v>
      </c>
      <c r="C46" s="71"/>
      <c r="D46" s="71"/>
    </row>
    <row r="47" spans="1:4" ht="12" customHeight="1">
      <c r="A47" s="58" t="s">
        <v>96</v>
      </c>
      <c r="B47" s="59" t="s">
        <v>174</v>
      </c>
      <c r="C47" s="90"/>
      <c r="D47" s="90"/>
    </row>
    <row r="48" spans="1:4" ht="12" customHeight="1">
      <c r="A48" s="58" t="s">
        <v>97</v>
      </c>
      <c r="B48" s="59" t="s">
        <v>133</v>
      </c>
      <c r="C48" s="90"/>
      <c r="D48" s="90"/>
    </row>
    <row r="49" spans="1:4" ht="12" customHeight="1">
      <c r="A49" s="58" t="s">
        <v>98</v>
      </c>
      <c r="B49" s="59" t="s">
        <v>175</v>
      </c>
      <c r="C49" s="90"/>
      <c r="D49" s="90"/>
    </row>
    <row r="50" spans="1:4" ht="12" customHeight="1" thickBot="1">
      <c r="A50" s="58" t="s">
        <v>141</v>
      </c>
      <c r="B50" s="59" t="s">
        <v>176</v>
      </c>
      <c r="C50" s="90"/>
      <c r="D50" s="90"/>
    </row>
    <row r="51" spans="1:4" ht="12" customHeight="1" thickBot="1">
      <c r="A51" s="66" t="s">
        <v>17</v>
      </c>
      <c r="B51" s="67" t="s">
        <v>416</v>
      </c>
      <c r="C51" s="53">
        <f>SUM(C52:C54)</f>
        <v>0</v>
      </c>
      <c r="D51" s="53">
        <f>SUM(D52:D54)</f>
        <v>0</v>
      </c>
    </row>
    <row r="52" spans="1:4" s="89" customFormat="1" ht="12" customHeight="1">
      <c r="A52" s="58" t="s">
        <v>101</v>
      </c>
      <c r="B52" s="65" t="s">
        <v>219</v>
      </c>
      <c r="C52" s="71"/>
      <c r="D52" s="71"/>
    </row>
    <row r="53" spans="1:4" ht="12" customHeight="1">
      <c r="A53" s="58" t="s">
        <v>102</v>
      </c>
      <c r="B53" s="59" t="s">
        <v>178</v>
      </c>
      <c r="C53" s="90"/>
      <c r="D53" s="90"/>
    </row>
    <row r="54" spans="1:4" ht="12" customHeight="1">
      <c r="A54" s="58" t="s">
        <v>103</v>
      </c>
      <c r="B54" s="59" t="s">
        <v>55</v>
      </c>
      <c r="C54" s="90"/>
      <c r="D54" s="90"/>
    </row>
    <row r="55" spans="1:4" ht="12" customHeight="1" thickBot="1">
      <c r="A55" s="58" t="s">
        <v>104</v>
      </c>
      <c r="B55" s="59" t="s">
        <v>519</v>
      </c>
      <c r="C55" s="90"/>
      <c r="D55" s="90"/>
    </row>
    <row r="56" spans="1:4" ht="15" customHeight="1" thickBot="1">
      <c r="A56" s="66" t="s">
        <v>18</v>
      </c>
      <c r="B56" s="67" t="s">
        <v>12</v>
      </c>
      <c r="C56" s="68"/>
      <c r="D56" s="68"/>
    </row>
    <row r="57" spans="1:4" ht="13.5" thickBot="1">
      <c r="A57" s="66" t="s">
        <v>19</v>
      </c>
      <c r="B57" s="91" t="s">
        <v>524</v>
      </c>
      <c r="C57" s="92">
        <f>+C45+C51+C56</f>
        <v>0</v>
      </c>
      <c r="D57" s="92">
        <f>+D45+D51+D56</f>
        <v>0</v>
      </c>
    </row>
    <row r="58" spans="1:4" ht="15" customHeight="1" thickBot="1">
      <c r="C58" s="94"/>
      <c r="D58" s="94"/>
    </row>
    <row r="59" spans="1:4" ht="14.25" customHeight="1" thickBot="1">
      <c r="A59" s="95" t="s">
        <v>514</v>
      </c>
      <c r="B59" s="96"/>
      <c r="C59" s="97"/>
      <c r="D59" s="97"/>
    </row>
    <row r="60" spans="1:4" ht="13.5" thickBot="1">
      <c r="A60" s="95" t="s">
        <v>196</v>
      </c>
      <c r="B60" s="96"/>
      <c r="C60" s="97"/>
      <c r="D60" s="9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43" orientation="portrait" verticalDpi="300" r:id="rId1"/>
  <headerFooter alignWithMargins="0">
    <oddFooter>&amp;P. oldal, összesen: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indexed="57"/>
  </sheetPr>
  <dimension ref="A1:D60"/>
  <sheetViews>
    <sheetView topLeftCell="B1" zoomScaleNormal="100" workbookViewId="0">
      <selection activeCell="B11" sqref="B11"/>
    </sheetView>
  </sheetViews>
  <sheetFormatPr defaultRowHeight="12.75"/>
  <cols>
    <col min="1" max="1" width="13.83203125" style="93" customWidth="1"/>
    <col min="2" max="2" width="79.1640625" style="44" customWidth="1"/>
    <col min="3" max="4" width="25" style="44" customWidth="1"/>
    <col min="5" max="16384" width="9.33203125" style="44"/>
  </cols>
  <sheetData>
    <row r="1" spans="1:4" s="30" customFormat="1" ht="21" customHeight="1" thickBot="1">
      <c r="A1" s="28"/>
      <c r="B1" s="29" t="str">
        <f>+CONCATENATE("9.3.3. melléklet a ……/",LEFT([1]ÖSSZEFÜGGÉSEK!E5,4),". (….) önkormányzati rendelethez")</f>
        <v>9.3.3. melléklet a ……/. (….) önkormányzati rendelethez</v>
      </c>
      <c r="C1" s="29"/>
      <c r="D1" s="29"/>
    </row>
    <row r="2" spans="1:4" s="34" customFormat="1" ht="33" customHeight="1">
      <c r="A2" s="31" t="s">
        <v>194</v>
      </c>
      <c r="B2" s="32" t="s">
        <v>542</v>
      </c>
      <c r="C2" s="33" t="s">
        <v>57</v>
      </c>
      <c r="D2" s="33" t="s">
        <v>57</v>
      </c>
    </row>
    <row r="3" spans="1:4" s="34" customFormat="1" ht="24.75" thickBot="1">
      <c r="A3" s="35" t="s">
        <v>193</v>
      </c>
      <c r="B3" s="36" t="s">
        <v>525</v>
      </c>
      <c r="C3" s="37" t="s">
        <v>429</v>
      </c>
      <c r="D3" s="37" t="s">
        <v>429</v>
      </c>
    </row>
    <row r="4" spans="1:4" s="40" customFormat="1" ht="15.95" customHeight="1" thickBot="1">
      <c r="A4" s="38"/>
      <c r="B4" s="38"/>
      <c r="C4" s="39" t="s">
        <v>612</v>
      </c>
      <c r="D4" s="39" t="s">
        <v>612</v>
      </c>
    </row>
    <row r="5" spans="1:4" ht="24.75" thickBot="1">
      <c r="A5" s="41" t="s">
        <v>195</v>
      </c>
      <c r="B5" s="42" t="s">
        <v>52</v>
      </c>
      <c r="C5" s="43" t="s">
        <v>613</v>
      </c>
      <c r="D5" s="43" t="s">
        <v>709</v>
      </c>
    </row>
    <row r="6" spans="1:4" s="48" customFormat="1" ht="12.95" customHeight="1" thickBot="1">
      <c r="A6" s="45" t="s">
        <v>487</v>
      </c>
      <c r="B6" s="46" t="s">
        <v>488</v>
      </c>
      <c r="C6" s="47" t="s">
        <v>489</v>
      </c>
      <c r="D6" s="47" t="s">
        <v>489</v>
      </c>
    </row>
    <row r="7" spans="1:4" s="48" customFormat="1" ht="15.95" customHeight="1" thickBot="1">
      <c r="A7" s="49"/>
      <c r="B7" s="50" t="s">
        <v>53</v>
      </c>
      <c r="C7" s="51"/>
      <c r="D7" s="51"/>
    </row>
    <row r="8" spans="1:4" s="54" customFormat="1" ht="12" customHeight="1" thickBot="1">
      <c r="A8" s="45" t="s">
        <v>16</v>
      </c>
      <c r="B8" s="52" t="s">
        <v>515</v>
      </c>
      <c r="C8" s="53">
        <f>SUM(C9:C19)</f>
        <v>0</v>
      </c>
      <c r="D8" s="53">
        <f>SUM(D9:D19)</f>
        <v>0</v>
      </c>
    </row>
    <row r="9" spans="1:4" s="54" customFormat="1" ht="12" customHeight="1">
      <c r="A9" s="55" t="s">
        <v>95</v>
      </c>
      <c r="B9" s="56" t="s">
        <v>274</v>
      </c>
      <c r="C9" s="57"/>
      <c r="D9" s="57"/>
    </row>
    <row r="10" spans="1:4" s="54" customFormat="1" ht="12" customHeight="1">
      <c r="A10" s="58" t="s">
        <v>96</v>
      </c>
      <c r="B10" s="59" t="s">
        <v>275</v>
      </c>
      <c r="C10" s="60"/>
      <c r="D10" s="60"/>
    </row>
    <row r="11" spans="1:4" s="54" customFormat="1" ht="12" customHeight="1">
      <c r="A11" s="58" t="s">
        <v>97</v>
      </c>
      <c r="B11" s="59" t="s">
        <v>276</v>
      </c>
      <c r="C11" s="60"/>
      <c r="D11" s="60"/>
    </row>
    <row r="12" spans="1:4" s="54" customFormat="1" ht="12" customHeight="1">
      <c r="A12" s="58" t="s">
        <v>98</v>
      </c>
      <c r="B12" s="59" t="s">
        <v>277</v>
      </c>
      <c r="C12" s="60"/>
      <c r="D12" s="60"/>
    </row>
    <row r="13" spans="1:4" s="54" customFormat="1" ht="12" customHeight="1">
      <c r="A13" s="58" t="s">
        <v>141</v>
      </c>
      <c r="B13" s="59" t="s">
        <v>278</v>
      </c>
      <c r="C13" s="60"/>
      <c r="D13" s="60"/>
    </row>
    <row r="14" spans="1:4" s="54" customFormat="1" ht="12" customHeight="1">
      <c r="A14" s="58" t="s">
        <v>99</v>
      </c>
      <c r="B14" s="59" t="s">
        <v>399</v>
      </c>
      <c r="C14" s="60"/>
      <c r="D14" s="60"/>
    </row>
    <row r="15" spans="1:4" s="54" customFormat="1" ht="12" customHeight="1">
      <c r="A15" s="58" t="s">
        <v>100</v>
      </c>
      <c r="B15" s="61" t="s">
        <v>400</v>
      </c>
      <c r="C15" s="60"/>
      <c r="D15" s="60"/>
    </row>
    <row r="16" spans="1:4" s="54" customFormat="1" ht="12" customHeight="1">
      <c r="A16" s="58" t="s">
        <v>110</v>
      </c>
      <c r="B16" s="59" t="s">
        <v>281</v>
      </c>
      <c r="C16" s="62"/>
      <c r="D16" s="62"/>
    </row>
    <row r="17" spans="1:4" s="63" customFormat="1" ht="12" customHeight="1">
      <c r="A17" s="58" t="s">
        <v>111</v>
      </c>
      <c r="B17" s="59" t="s">
        <v>282</v>
      </c>
      <c r="C17" s="60"/>
      <c r="D17" s="60"/>
    </row>
    <row r="18" spans="1:4" s="63" customFormat="1" ht="12" customHeight="1">
      <c r="A18" s="58" t="s">
        <v>112</v>
      </c>
      <c r="B18" s="59" t="s">
        <v>434</v>
      </c>
      <c r="C18" s="64"/>
      <c r="D18" s="64"/>
    </row>
    <row r="19" spans="1:4" s="63" customFormat="1" ht="12" customHeight="1" thickBot="1">
      <c r="A19" s="58" t="s">
        <v>113</v>
      </c>
      <c r="B19" s="61" t="s">
        <v>283</v>
      </c>
      <c r="C19" s="64"/>
      <c r="D19" s="64"/>
    </row>
    <row r="20" spans="1:4" s="54" customFormat="1" ht="12" customHeight="1" thickBot="1">
      <c r="A20" s="45" t="s">
        <v>17</v>
      </c>
      <c r="B20" s="52" t="s">
        <v>401</v>
      </c>
      <c r="C20" s="53">
        <f>SUM(C21:C23)</f>
        <v>0</v>
      </c>
      <c r="D20" s="53">
        <f>SUM(D21:D23)</f>
        <v>0</v>
      </c>
    </row>
    <row r="21" spans="1:4" s="63" customFormat="1" ht="12" customHeight="1">
      <c r="A21" s="58" t="s">
        <v>101</v>
      </c>
      <c r="B21" s="65" t="s">
        <v>251</v>
      </c>
      <c r="C21" s="60"/>
      <c r="D21" s="60"/>
    </row>
    <row r="22" spans="1:4" s="63" customFormat="1" ht="12" customHeight="1">
      <c r="A22" s="58" t="s">
        <v>102</v>
      </c>
      <c r="B22" s="59" t="s">
        <v>402</v>
      </c>
      <c r="C22" s="60"/>
      <c r="D22" s="60"/>
    </row>
    <row r="23" spans="1:4" s="63" customFormat="1" ht="12" customHeight="1">
      <c r="A23" s="58" t="s">
        <v>103</v>
      </c>
      <c r="B23" s="59" t="s">
        <v>403</v>
      </c>
      <c r="C23" s="60"/>
      <c r="D23" s="60"/>
    </row>
    <row r="24" spans="1:4" s="63" customFormat="1" ht="12" customHeight="1" thickBot="1">
      <c r="A24" s="58" t="s">
        <v>104</v>
      </c>
      <c r="B24" s="59" t="s">
        <v>520</v>
      </c>
      <c r="C24" s="60"/>
      <c r="D24" s="60"/>
    </row>
    <row r="25" spans="1:4" s="63" customFormat="1" ht="12" customHeight="1" thickBot="1">
      <c r="A25" s="66" t="s">
        <v>18</v>
      </c>
      <c r="B25" s="67" t="s">
        <v>165</v>
      </c>
      <c r="C25" s="68"/>
      <c r="D25" s="68"/>
    </row>
    <row r="26" spans="1:4" s="63" customFormat="1" ht="12" customHeight="1" thickBot="1">
      <c r="A26" s="66" t="s">
        <v>19</v>
      </c>
      <c r="B26" s="67" t="s">
        <v>404</v>
      </c>
      <c r="C26" s="53">
        <f>+C27+C28</f>
        <v>0</v>
      </c>
      <c r="D26" s="53">
        <f>+D27+D28</f>
        <v>0</v>
      </c>
    </row>
    <row r="27" spans="1:4" s="63" customFormat="1" ht="12" customHeight="1">
      <c r="A27" s="69" t="s">
        <v>261</v>
      </c>
      <c r="B27" s="70" t="s">
        <v>402</v>
      </c>
      <c r="C27" s="71"/>
      <c r="D27" s="71"/>
    </row>
    <row r="28" spans="1:4" s="63" customFormat="1" ht="12" customHeight="1">
      <c r="A28" s="69" t="s">
        <v>264</v>
      </c>
      <c r="B28" s="72" t="s">
        <v>405</v>
      </c>
      <c r="C28" s="73"/>
      <c r="D28" s="73"/>
    </row>
    <row r="29" spans="1:4" s="63" customFormat="1" ht="12" customHeight="1" thickBot="1">
      <c r="A29" s="58" t="s">
        <v>265</v>
      </c>
      <c r="B29" s="74" t="s">
        <v>521</v>
      </c>
      <c r="C29" s="75"/>
      <c r="D29" s="75"/>
    </row>
    <row r="30" spans="1:4" s="63" customFormat="1" ht="12" customHeight="1" thickBot="1">
      <c r="A30" s="66" t="s">
        <v>20</v>
      </c>
      <c r="B30" s="67" t="s">
        <v>406</v>
      </c>
      <c r="C30" s="53">
        <f>+C31+C32+C33</f>
        <v>0</v>
      </c>
      <c r="D30" s="53">
        <f>+D31+D32+D33</f>
        <v>0</v>
      </c>
    </row>
    <row r="31" spans="1:4" s="63" customFormat="1" ht="12" customHeight="1">
      <c r="A31" s="69" t="s">
        <v>88</v>
      </c>
      <c r="B31" s="70" t="s">
        <v>288</v>
      </c>
      <c r="C31" s="71"/>
      <c r="D31" s="71"/>
    </row>
    <row r="32" spans="1:4" s="63" customFormat="1" ht="12" customHeight="1">
      <c r="A32" s="69" t="s">
        <v>89</v>
      </c>
      <c r="B32" s="72" t="s">
        <v>289</v>
      </c>
      <c r="C32" s="73"/>
      <c r="D32" s="73"/>
    </row>
    <row r="33" spans="1:4" s="63" customFormat="1" ht="12" customHeight="1" thickBot="1">
      <c r="A33" s="58" t="s">
        <v>90</v>
      </c>
      <c r="B33" s="74" t="s">
        <v>290</v>
      </c>
      <c r="C33" s="75"/>
      <c r="D33" s="75"/>
    </row>
    <row r="34" spans="1:4" s="54" customFormat="1" ht="12" customHeight="1" thickBot="1">
      <c r="A34" s="66" t="s">
        <v>21</v>
      </c>
      <c r="B34" s="67" t="s">
        <v>375</v>
      </c>
      <c r="C34" s="68"/>
      <c r="D34" s="68"/>
    </row>
    <row r="35" spans="1:4" s="54" customFormat="1" ht="12" customHeight="1" thickBot="1">
      <c r="A35" s="66" t="s">
        <v>22</v>
      </c>
      <c r="B35" s="67" t="s">
        <v>407</v>
      </c>
      <c r="C35" s="76"/>
      <c r="D35" s="76"/>
    </row>
    <row r="36" spans="1:4" s="54" customFormat="1" ht="12" customHeight="1" thickBot="1">
      <c r="A36" s="45" t="s">
        <v>23</v>
      </c>
      <c r="B36" s="67" t="s">
        <v>522</v>
      </c>
      <c r="C36" s="77">
        <f>+C8+C20+C25+C26+C30+C34+C35</f>
        <v>0</v>
      </c>
      <c r="D36" s="77">
        <f>+D8+D20+D25+D26+D30+D34+D35</f>
        <v>0</v>
      </c>
    </row>
    <row r="37" spans="1:4" s="54" customFormat="1" ht="12" customHeight="1" thickBot="1">
      <c r="A37" s="78" t="s">
        <v>24</v>
      </c>
      <c r="B37" s="67" t="s">
        <v>409</v>
      </c>
      <c r="C37" s="77">
        <f>+C38+C39+C40</f>
        <v>0</v>
      </c>
      <c r="D37" s="77">
        <f>+D38+D39+D40</f>
        <v>0</v>
      </c>
    </row>
    <row r="38" spans="1:4" s="54" customFormat="1" ht="12" customHeight="1">
      <c r="A38" s="69" t="s">
        <v>410</v>
      </c>
      <c r="B38" s="70" t="s">
        <v>229</v>
      </c>
      <c r="C38" s="71"/>
      <c r="D38" s="71"/>
    </row>
    <row r="39" spans="1:4" s="54" customFormat="1" ht="12" customHeight="1">
      <c r="A39" s="69" t="s">
        <v>411</v>
      </c>
      <c r="B39" s="72" t="s">
        <v>2</v>
      </c>
      <c r="C39" s="73"/>
      <c r="D39" s="73"/>
    </row>
    <row r="40" spans="1:4" s="63" customFormat="1" ht="12" customHeight="1" thickBot="1">
      <c r="A40" s="58" t="s">
        <v>412</v>
      </c>
      <c r="B40" s="74" t="s">
        <v>413</v>
      </c>
      <c r="C40" s="75"/>
      <c r="D40" s="75"/>
    </row>
    <row r="41" spans="1:4" s="63" customFormat="1" ht="15" customHeight="1" thickBot="1">
      <c r="A41" s="78" t="s">
        <v>25</v>
      </c>
      <c r="B41" s="79" t="s">
        <v>414</v>
      </c>
      <c r="C41" s="80">
        <f>+C36+C37</f>
        <v>0</v>
      </c>
      <c r="D41" s="80">
        <f>+D36+D37</f>
        <v>0</v>
      </c>
    </row>
    <row r="42" spans="1:4" s="63" customFormat="1" ht="15" customHeight="1">
      <c r="A42" s="81"/>
      <c r="B42" s="82"/>
      <c r="C42" s="83"/>
      <c r="D42" s="83"/>
    </row>
    <row r="43" spans="1:4" ht="13.5" thickBot="1">
      <c r="A43" s="84"/>
      <c r="B43" s="85"/>
      <c r="C43" s="86"/>
      <c r="D43" s="86"/>
    </row>
    <row r="44" spans="1:4" s="48" customFormat="1" ht="16.5" customHeight="1" thickBot="1">
      <c r="A44" s="87"/>
      <c r="B44" s="88" t="s">
        <v>54</v>
      </c>
      <c r="C44" s="80"/>
      <c r="D44" s="80"/>
    </row>
    <row r="45" spans="1:4" s="89" customFormat="1" ht="12" customHeight="1" thickBot="1">
      <c r="A45" s="66" t="s">
        <v>16</v>
      </c>
      <c r="B45" s="67" t="s">
        <v>415</v>
      </c>
      <c r="C45" s="53">
        <f>SUM(C46:C50)</f>
        <v>0</v>
      </c>
      <c r="D45" s="53">
        <f>SUM(D46:D50)</f>
        <v>0</v>
      </c>
    </row>
    <row r="46" spans="1:4" ht="12" customHeight="1">
      <c r="A46" s="58" t="s">
        <v>95</v>
      </c>
      <c r="B46" s="65" t="s">
        <v>46</v>
      </c>
      <c r="C46" s="71"/>
      <c r="D46" s="71"/>
    </row>
    <row r="47" spans="1:4" ht="12" customHeight="1">
      <c r="A47" s="58" t="s">
        <v>96</v>
      </c>
      <c r="B47" s="59" t="s">
        <v>174</v>
      </c>
      <c r="C47" s="90"/>
      <c r="D47" s="90"/>
    </row>
    <row r="48" spans="1:4" ht="12" customHeight="1">
      <c r="A48" s="58" t="s">
        <v>97</v>
      </c>
      <c r="B48" s="59" t="s">
        <v>133</v>
      </c>
      <c r="C48" s="90"/>
      <c r="D48" s="90"/>
    </row>
    <row r="49" spans="1:4" ht="12" customHeight="1">
      <c r="A49" s="58" t="s">
        <v>98</v>
      </c>
      <c r="B49" s="59" t="s">
        <v>175</v>
      </c>
      <c r="C49" s="90"/>
      <c r="D49" s="90"/>
    </row>
    <row r="50" spans="1:4" ht="12" customHeight="1" thickBot="1">
      <c r="A50" s="58" t="s">
        <v>141</v>
      </c>
      <c r="B50" s="59" t="s">
        <v>176</v>
      </c>
      <c r="C50" s="90"/>
      <c r="D50" s="90"/>
    </row>
    <row r="51" spans="1:4" ht="12" customHeight="1" thickBot="1">
      <c r="A51" s="66" t="s">
        <v>17</v>
      </c>
      <c r="B51" s="67" t="s">
        <v>416</v>
      </c>
      <c r="C51" s="53">
        <f>SUM(C52:C54)</f>
        <v>0</v>
      </c>
      <c r="D51" s="53">
        <f>SUM(D52:D54)</f>
        <v>0</v>
      </c>
    </row>
    <row r="52" spans="1:4" s="89" customFormat="1" ht="12" customHeight="1">
      <c r="A52" s="58" t="s">
        <v>101</v>
      </c>
      <c r="B52" s="65" t="s">
        <v>219</v>
      </c>
      <c r="C52" s="71"/>
      <c r="D52" s="71"/>
    </row>
    <row r="53" spans="1:4" ht="12" customHeight="1">
      <c r="A53" s="58" t="s">
        <v>102</v>
      </c>
      <c r="B53" s="59" t="s">
        <v>178</v>
      </c>
      <c r="C53" s="90"/>
      <c r="D53" s="90"/>
    </row>
    <row r="54" spans="1:4" ht="12" customHeight="1">
      <c r="A54" s="58" t="s">
        <v>103</v>
      </c>
      <c r="B54" s="59" t="s">
        <v>55</v>
      </c>
      <c r="C54" s="90"/>
      <c r="D54" s="90"/>
    </row>
    <row r="55" spans="1:4" ht="12" customHeight="1" thickBot="1">
      <c r="A55" s="58" t="s">
        <v>104</v>
      </c>
      <c r="B55" s="59" t="s">
        <v>519</v>
      </c>
      <c r="C55" s="90"/>
      <c r="D55" s="90"/>
    </row>
    <row r="56" spans="1:4" ht="15" customHeight="1" thickBot="1">
      <c r="A56" s="66" t="s">
        <v>18</v>
      </c>
      <c r="B56" s="67" t="s">
        <v>12</v>
      </c>
      <c r="C56" s="68"/>
      <c r="D56" s="68"/>
    </row>
    <row r="57" spans="1:4" ht="13.5" thickBot="1">
      <c r="A57" s="66" t="s">
        <v>19</v>
      </c>
      <c r="B57" s="91" t="s">
        <v>524</v>
      </c>
      <c r="C57" s="92">
        <f>+C45+C51+C56</f>
        <v>0</v>
      </c>
      <c r="D57" s="92">
        <f>+D45+D51+D56</f>
        <v>0</v>
      </c>
    </row>
    <row r="58" spans="1:4" ht="15" customHeight="1" thickBot="1">
      <c r="C58" s="94"/>
      <c r="D58" s="94"/>
    </row>
    <row r="59" spans="1:4" ht="14.25" customHeight="1" thickBot="1">
      <c r="A59" s="95" t="s">
        <v>514</v>
      </c>
      <c r="B59" s="96"/>
      <c r="C59" s="97"/>
      <c r="D59" s="97"/>
    </row>
    <row r="60" spans="1:4" ht="13.5" thickBot="1">
      <c r="A60" s="95" t="s">
        <v>196</v>
      </c>
      <c r="B60" s="96"/>
      <c r="C60" s="97"/>
      <c r="D60" s="9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43" orientation="portrait" verticalDpi="300" r:id="rId1"/>
  <headerFooter alignWithMargins="0">
    <oddFooter>&amp;P. oldal, összesen: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codeName="Munka27">
    <tabColor rgb="FFFFFF00"/>
  </sheetPr>
  <dimension ref="A1:G26"/>
  <sheetViews>
    <sheetView view="pageLayout" zoomScaleNormal="100" workbookViewId="0">
      <selection activeCell="B11" sqref="B11"/>
    </sheetView>
  </sheetViews>
  <sheetFormatPr defaultRowHeight="12.75"/>
  <cols>
    <col min="1" max="1" width="5.5" style="370" customWidth="1"/>
    <col min="2" max="2" width="33.1640625" style="370" customWidth="1"/>
    <col min="3" max="3" width="12.33203125" style="370" customWidth="1"/>
    <col min="4" max="4" width="11.5" style="370" customWidth="1"/>
    <col min="5" max="5" width="11.33203125" style="370" customWidth="1"/>
    <col min="6" max="6" width="11" style="370" customWidth="1"/>
    <col min="7" max="7" width="14.33203125" style="370" customWidth="1"/>
    <col min="8" max="16384" width="9.33203125" style="370"/>
  </cols>
  <sheetData>
    <row r="1" spans="1:7" ht="43.5" customHeight="1">
      <c r="A1" s="737" t="s">
        <v>3</v>
      </c>
      <c r="B1" s="737"/>
      <c r="C1" s="737"/>
      <c r="D1" s="737"/>
      <c r="E1" s="737"/>
      <c r="F1" s="737"/>
      <c r="G1" s="737"/>
    </row>
    <row r="3" spans="1:7" s="528" customFormat="1" ht="27" customHeight="1">
      <c r="A3" s="526" t="s">
        <v>200</v>
      </c>
      <c r="B3" s="527"/>
      <c r="C3" s="736" t="s">
        <v>540</v>
      </c>
      <c r="D3" s="736"/>
      <c r="E3" s="736"/>
      <c r="F3" s="736"/>
      <c r="G3" s="736"/>
    </row>
    <row r="4" spans="1:7" s="528" customFormat="1" ht="15.75">
      <c r="A4" s="527"/>
      <c r="B4" s="527"/>
      <c r="C4" s="527"/>
      <c r="D4" s="527"/>
      <c r="E4" s="527"/>
      <c r="F4" s="527"/>
      <c r="G4" s="527"/>
    </row>
    <row r="5" spans="1:7" s="528" customFormat="1" ht="24.75" customHeight="1">
      <c r="A5" s="526" t="s">
        <v>201</v>
      </c>
      <c r="B5" s="527"/>
      <c r="C5" s="736" t="s">
        <v>557</v>
      </c>
      <c r="D5" s="736"/>
      <c r="E5" s="736"/>
      <c r="F5" s="736"/>
      <c r="G5" s="527"/>
    </row>
    <row r="6" spans="1:7" s="529" customFormat="1">
      <c r="A6" s="369"/>
      <c r="B6" s="369"/>
      <c r="C6" s="369"/>
      <c r="D6" s="369"/>
      <c r="E6" s="369"/>
      <c r="F6" s="369"/>
      <c r="G6" s="369"/>
    </row>
    <row r="7" spans="1:7" s="533" customFormat="1" ht="15" customHeight="1">
      <c r="A7" s="530" t="s">
        <v>705</v>
      </c>
      <c r="B7" s="531"/>
      <c r="C7" s="531"/>
      <c r="D7" s="532"/>
      <c r="E7" s="532"/>
      <c r="F7" s="532"/>
      <c r="G7" s="532"/>
    </row>
    <row r="8" spans="1:7" s="533" customFormat="1" ht="15" customHeight="1" thickBot="1">
      <c r="A8" s="530" t="s">
        <v>202</v>
      </c>
      <c r="B8" s="532"/>
      <c r="C8" s="532"/>
      <c r="D8" s="532"/>
      <c r="E8" s="532"/>
      <c r="F8" s="532"/>
      <c r="G8" s="532"/>
    </row>
    <row r="9" spans="1:7" s="537" customFormat="1" ht="42" customHeight="1" thickBot="1">
      <c r="A9" s="534" t="s">
        <v>14</v>
      </c>
      <c r="B9" s="535" t="s">
        <v>203</v>
      </c>
      <c r="C9" s="535" t="s">
        <v>204</v>
      </c>
      <c r="D9" s="535" t="s">
        <v>205</v>
      </c>
      <c r="E9" s="535" t="s">
        <v>206</v>
      </c>
      <c r="F9" s="535" t="s">
        <v>207</v>
      </c>
      <c r="G9" s="536" t="s">
        <v>50</v>
      </c>
    </row>
    <row r="10" spans="1:7" ht="24" customHeight="1">
      <c r="A10" s="538" t="s">
        <v>16</v>
      </c>
      <c r="B10" s="539" t="s">
        <v>208</v>
      </c>
      <c r="C10" s="540"/>
      <c r="D10" s="540"/>
      <c r="E10" s="540"/>
      <c r="F10" s="540"/>
      <c r="G10" s="541">
        <f>SUM(C10:F10)</f>
        <v>0</v>
      </c>
    </row>
    <row r="11" spans="1:7" ht="24" customHeight="1">
      <c r="A11" s="542" t="s">
        <v>17</v>
      </c>
      <c r="B11" s="543" t="s">
        <v>209</v>
      </c>
      <c r="C11" s="544"/>
      <c r="D11" s="544"/>
      <c r="E11" s="544"/>
      <c r="F11" s="544"/>
      <c r="G11" s="545">
        <f t="shared" ref="G11:G16" si="0">SUM(C11:F11)</f>
        <v>0</v>
      </c>
    </row>
    <row r="12" spans="1:7" ht="24" customHeight="1">
      <c r="A12" s="542" t="s">
        <v>18</v>
      </c>
      <c r="B12" s="543" t="s">
        <v>210</v>
      </c>
      <c r="C12" s="544"/>
      <c r="D12" s="544"/>
      <c r="E12" s="544"/>
      <c r="F12" s="544"/>
      <c r="G12" s="545">
        <f t="shared" si="0"/>
        <v>0</v>
      </c>
    </row>
    <row r="13" spans="1:7" ht="24" customHeight="1">
      <c r="A13" s="542" t="s">
        <v>19</v>
      </c>
      <c r="B13" s="543" t="s">
        <v>211</v>
      </c>
      <c r="C13" s="544"/>
      <c r="D13" s="544"/>
      <c r="E13" s="544"/>
      <c r="F13" s="544"/>
      <c r="G13" s="545">
        <f t="shared" si="0"/>
        <v>0</v>
      </c>
    </row>
    <row r="14" spans="1:7" ht="24" customHeight="1">
      <c r="A14" s="542" t="s">
        <v>20</v>
      </c>
      <c r="B14" s="543" t="s">
        <v>212</v>
      </c>
      <c r="C14" s="544"/>
      <c r="D14" s="544"/>
      <c r="E14" s="544"/>
      <c r="F14" s="544"/>
      <c r="G14" s="545">
        <f t="shared" si="0"/>
        <v>0</v>
      </c>
    </row>
    <row r="15" spans="1:7" ht="24" customHeight="1" thickBot="1">
      <c r="A15" s="546" t="s">
        <v>21</v>
      </c>
      <c r="B15" s="547" t="s">
        <v>213</v>
      </c>
      <c r="C15" s="548"/>
      <c r="D15" s="548"/>
      <c r="E15" s="548"/>
      <c r="F15" s="548"/>
      <c r="G15" s="549">
        <f t="shared" si="0"/>
        <v>0</v>
      </c>
    </row>
    <row r="16" spans="1:7" s="554" customFormat="1" ht="24" customHeight="1" thickBot="1">
      <c r="A16" s="550" t="s">
        <v>22</v>
      </c>
      <c r="B16" s="551" t="s">
        <v>50</v>
      </c>
      <c r="C16" s="552">
        <f>SUM(C10:C15)</f>
        <v>0</v>
      </c>
      <c r="D16" s="552">
        <f>SUM(D10:D15)</f>
        <v>0</v>
      </c>
      <c r="E16" s="552">
        <f>SUM(E10:E15)</f>
        <v>0</v>
      </c>
      <c r="F16" s="552">
        <f>SUM(F10:F15)</f>
        <v>0</v>
      </c>
      <c r="G16" s="553">
        <f t="shared" si="0"/>
        <v>0</v>
      </c>
    </row>
    <row r="17" spans="1:7" s="529" customFormat="1">
      <c r="A17" s="369"/>
      <c r="B17" s="369"/>
      <c r="C17" s="369"/>
      <c r="D17" s="369"/>
      <c r="E17" s="369"/>
      <c r="F17" s="369"/>
      <c r="G17" s="369"/>
    </row>
    <row r="18" spans="1:7" s="529" customFormat="1">
      <c r="A18" s="369"/>
      <c r="B18" s="369"/>
      <c r="C18" s="369"/>
      <c r="D18" s="369"/>
      <c r="E18" s="369"/>
      <c r="F18" s="369"/>
      <c r="G18" s="369"/>
    </row>
    <row r="19" spans="1:7" s="529" customFormat="1">
      <c r="A19" s="369"/>
      <c r="B19" s="369"/>
      <c r="C19" s="369"/>
      <c r="D19" s="369"/>
      <c r="E19" s="369"/>
      <c r="F19" s="369"/>
      <c r="G19" s="369"/>
    </row>
    <row r="20" spans="1:7" s="529" customFormat="1" ht="15.75">
      <c r="A20" s="528" t="s">
        <v>632</v>
      </c>
      <c r="B20" s="369"/>
      <c r="C20" s="369"/>
      <c r="D20" s="369"/>
      <c r="E20" s="369"/>
      <c r="F20" s="369"/>
      <c r="G20" s="369"/>
    </row>
    <row r="21" spans="1:7" s="529" customFormat="1">
      <c r="A21" s="369"/>
      <c r="B21" s="369"/>
      <c r="C21" s="369"/>
      <c r="D21" s="369"/>
      <c r="E21" s="369"/>
      <c r="F21" s="369"/>
      <c r="G21" s="369"/>
    </row>
    <row r="22" spans="1:7">
      <c r="A22" s="369"/>
      <c r="B22" s="369"/>
      <c r="C22" s="369"/>
      <c r="D22" s="369"/>
      <c r="E22" s="369"/>
      <c r="F22" s="369"/>
      <c r="G22" s="369"/>
    </row>
    <row r="23" spans="1:7">
      <c r="A23" s="369"/>
      <c r="B23" s="369"/>
      <c r="C23" s="529"/>
      <c r="D23" s="529"/>
      <c r="E23" s="529"/>
      <c r="F23" s="529"/>
      <c r="G23" s="369"/>
    </row>
    <row r="24" spans="1:7" ht="13.5">
      <c r="A24" s="369"/>
      <c r="B24" s="369"/>
      <c r="C24" s="555"/>
      <c r="D24" s="556" t="s">
        <v>214</v>
      </c>
      <c r="E24" s="556"/>
      <c r="F24" s="555"/>
      <c r="G24" s="369"/>
    </row>
    <row r="25" spans="1:7" ht="13.5">
      <c r="C25" s="557"/>
      <c r="D25" s="558"/>
      <c r="E25" s="558"/>
      <c r="F25" s="557"/>
    </row>
    <row r="26" spans="1:7" ht="13.5">
      <c r="C26" s="557"/>
      <c r="D26" s="558"/>
      <c r="E26" s="558"/>
      <c r="F26" s="557"/>
    </row>
  </sheetData>
  <mergeCells count="3">
    <mergeCell ref="C3:G3"/>
    <mergeCell ref="C5:F5"/>
    <mergeCell ref="A1:G1"/>
  </mergeCells>
  <phoneticPr fontId="6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13. melléklet a 7/2017. (V.26.) önkormányzati rendelethez</oddHeader>
    <oddFooter>&amp;P. oldal, összesen: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codeName="Munka28">
    <tabColor rgb="FFFFFF00"/>
  </sheetPr>
  <dimension ref="A1:F168"/>
  <sheetViews>
    <sheetView view="pageLayout" topLeftCell="A89" zoomScaleNormal="100" zoomScaleSheetLayoutView="100" workbookViewId="0">
      <selection activeCell="F106" sqref="F106"/>
    </sheetView>
  </sheetViews>
  <sheetFormatPr defaultRowHeight="12.75"/>
  <cols>
    <col min="1" max="1" width="8" style="440" bestFit="1" customWidth="1"/>
    <col min="2" max="2" width="71.6640625" style="440" bestFit="1" customWidth="1"/>
    <col min="3" max="3" width="14.33203125" style="442" bestFit="1" customWidth="1"/>
    <col min="4" max="4" width="14.33203125" style="440" bestFit="1" customWidth="1"/>
    <col min="5" max="5" width="18.83203125" style="440" bestFit="1" customWidth="1"/>
    <col min="6" max="6" width="18.83203125" style="440" customWidth="1"/>
    <col min="7" max="16384" width="9.33203125" style="440"/>
  </cols>
  <sheetData>
    <row r="1" spans="1:6" ht="15.95" customHeight="1">
      <c r="A1" s="738" t="s">
        <v>13</v>
      </c>
      <c r="B1" s="738"/>
      <c r="C1" s="738"/>
      <c r="D1" s="738"/>
      <c r="E1" s="738"/>
    </row>
    <row r="2" spans="1:6" ht="15.95" customHeight="1" thickBot="1">
      <c r="A2" s="740" t="s">
        <v>144</v>
      </c>
      <c r="B2" s="740"/>
      <c r="D2" s="441"/>
      <c r="E2" s="99" t="s">
        <v>597</v>
      </c>
      <c r="F2" s="99" t="s">
        <v>597</v>
      </c>
    </row>
    <row r="3" spans="1:6" ht="38.1" customHeight="1" thickBot="1">
      <c r="A3" s="443" t="s">
        <v>66</v>
      </c>
      <c r="B3" s="444" t="s">
        <v>15</v>
      </c>
      <c r="C3" s="444" t="s">
        <v>628</v>
      </c>
      <c r="D3" s="445" t="s">
        <v>629</v>
      </c>
      <c r="E3" s="446" t="s">
        <v>613</v>
      </c>
      <c r="F3" s="446" t="s">
        <v>709</v>
      </c>
    </row>
    <row r="4" spans="1:6" s="447" customFormat="1" ht="12" customHeight="1" thickBot="1">
      <c r="A4" s="443" t="s">
        <v>487</v>
      </c>
      <c r="B4" s="444" t="s">
        <v>488</v>
      </c>
      <c r="C4" s="444" t="s">
        <v>489</v>
      </c>
      <c r="D4" s="444" t="s">
        <v>491</v>
      </c>
      <c r="E4" s="446" t="s">
        <v>490</v>
      </c>
      <c r="F4" s="446" t="s">
        <v>490</v>
      </c>
    </row>
    <row r="5" spans="1:6" s="447" customFormat="1" ht="12" customHeight="1" thickBot="1">
      <c r="A5" s="448" t="s">
        <v>16</v>
      </c>
      <c r="B5" s="449" t="s">
        <v>245</v>
      </c>
      <c r="C5" s="450">
        <f>+C6+C7+C8+C9+C10+C11</f>
        <v>238657994</v>
      </c>
      <c r="D5" s="451">
        <f>+D6+D7+D8+D9+D10+D11</f>
        <v>242303330</v>
      </c>
      <c r="E5" s="451">
        <f>+E6+E7+E8+E9+E10+E11</f>
        <v>214106236</v>
      </c>
      <c r="F5" s="451">
        <f>+F6+F7+F8+F9+F10+F11</f>
        <v>215080283</v>
      </c>
    </row>
    <row r="6" spans="1:6" s="447" customFormat="1" ht="12" customHeight="1">
      <c r="A6" s="452" t="s">
        <v>95</v>
      </c>
      <c r="B6" s="187" t="s">
        <v>246</v>
      </c>
      <c r="C6" s="453">
        <v>132677645</v>
      </c>
      <c r="D6" s="453">
        <v>130036203</v>
      </c>
      <c r="E6" s="454">
        <v>116822015</v>
      </c>
      <c r="F6" s="454">
        <v>116822015</v>
      </c>
    </row>
    <row r="7" spans="1:6" s="447" customFormat="1" ht="12" customHeight="1">
      <c r="A7" s="455" t="s">
        <v>96</v>
      </c>
      <c r="B7" s="188" t="s">
        <v>247</v>
      </c>
      <c r="C7" s="456">
        <v>49114133</v>
      </c>
      <c r="D7" s="456">
        <v>51550240</v>
      </c>
      <c r="E7" s="457">
        <v>54429080</v>
      </c>
      <c r="F7" s="457">
        <v>54429080</v>
      </c>
    </row>
    <row r="8" spans="1:6" s="447" customFormat="1" ht="12" customHeight="1">
      <c r="A8" s="455" t="s">
        <v>97</v>
      </c>
      <c r="B8" s="188" t="s">
        <v>248</v>
      </c>
      <c r="C8" s="456">
        <v>32540447</v>
      </c>
      <c r="D8" s="456">
        <v>37799442</v>
      </c>
      <c r="E8" s="457">
        <v>40034781</v>
      </c>
      <c r="F8" s="457">
        <v>40034781</v>
      </c>
    </row>
    <row r="9" spans="1:6" s="447" customFormat="1" ht="12" customHeight="1">
      <c r="A9" s="455" t="s">
        <v>98</v>
      </c>
      <c r="B9" s="188" t="s">
        <v>249</v>
      </c>
      <c r="C9" s="456">
        <v>3266233</v>
      </c>
      <c r="D9" s="456">
        <v>3495417</v>
      </c>
      <c r="E9" s="457">
        <v>2820360</v>
      </c>
      <c r="F9" s="457">
        <f>2820360+279623</f>
        <v>3099983</v>
      </c>
    </row>
    <row r="10" spans="1:6" s="447" customFormat="1" ht="12" customHeight="1">
      <c r="A10" s="455" t="s">
        <v>141</v>
      </c>
      <c r="B10" s="458" t="s">
        <v>430</v>
      </c>
      <c r="C10" s="456">
        <v>20701536</v>
      </c>
      <c r="D10" s="456">
        <v>19422028</v>
      </c>
      <c r="E10" s="457"/>
      <c r="F10" s="457">
        <v>694424</v>
      </c>
    </row>
    <row r="11" spans="1:6" s="447" customFormat="1" ht="12" customHeight="1" thickBot="1">
      <c r="A11" s="459" t="s">
        <v>99</v>
      </c>
      <c r="B11" s="460" t="s">
        <v>431</v>
      </c>
      <c r="C11" s="456">
        <v>358000</v>
      </c>
      <c r="D11" s="456"/>
      <c r="E11" s="457"/>
      <c r="F11" s="457"/>
    </row>
    <row r="12" spans="1:6" s="447" customFormat="1" ht="12" customHeight="1" thickBot="1">
      <c r="A12" s="448" t="s">
        <v>17</v>
      </c>
      <c r="B12" s="461" t="s">
        <v>250</v>
      </c>
      <c r="C12" s="450">
        <f>+C13+C14+C15+C16+C17</f>
        <v>58464252</v>
      </c>
      <c r="D12" s="450">
        <f>+D13+D14+D15+D16+D17</f>
        <v>41310066</v>
      </c>
      <c r="E12" s="451">
        <f>+E13+E14+E15+E16+E17</f>
        <v>56851987</v>
      </c>
      <c r="F12" s="451">
        <f>+F13+F14+F15+F16+F17</f>
        <v>61173185</v>
      </c>
    </row>
    <row r="13" spans="1:6" s="447" customFormat="1" ht="12" customHeight="1">
      <c r="A13" s="452" t="s">
        <v>101</v>
      </c>
      <c r="B13" s="187" t="s">
        <v>251</v>
      </c>
      <c r="C13" s="453"/>
      <c r="D13" s="453"/>
      <c r="E13" s="454"/>
      <c r="F13" s="454"/>
    </row>
    <row r="14" spans="1:6" s="447" customFormat="1" ht="12" customHeight="1">
      <c r="A14" s="455" t="s">
        <v>102</v>
      </c>
      <c r="B14" s="188" t="s">
        <v>252</v>
      </c>
      <c r="C14" s="456"/>
      <c r="D14" s="456"/>
      <c r="E14" s="457"/>
      <c r="F14" s="457"/>
    </row>
    <row r="15" spans="1:6" s="447" customFormat="1" ht="12" customHeight="1">
      <c r="A15" s="455" t="s">
        <v>103</v>
      </c>
      <c r="B15" s="188" t="s">
        <v>420</v>
      </c>
      <c r="C15" s="456"/>
      <c r="D15" s="456"/>
      <c r="E15" s="457"/>
      <c r="F15" s="457"/>
    </row>
    <row r="16" spans="1:6" s="447" customFormat="1" ht="12" customHeight="1">
      <c r="A16" s="455" t="s">
        <v>104</v>
      </c>
      <c r="B16" s="188" t="s">
        <v>421</v>
      </c>
      <c r="C16" s="456"/>
      <c r="D16" s="456"/>
      <c r="E16" s="457"/>
      <c r="F16" s="457"/>
    </row>
    <row r="17" spans="1:6" s="447" customFormat="1" ht="12" customHeight="1">
      <c r="A17" s="455" t="s">
        <v>105</v>
      </c>
      <c r="B17" s="188" t="s">
        <v>253</v>
      </c>
      <c r="C17" s="456">
        <v>58464252</v>
      </c>
      <c r="D17" s="456">
        <v>41310066</v>
      </c>
      <c r="E17" s="457">
        <v>56851987</v>
      </c>
      <c r="F17" s="457">
        <f>56851987+3753513+100000+467685</f>
        <v>61173185</v>
      </c>
    </row>
    <row r="18" spans="1:6" s="447" customFormat="1" ht="12" customHeight="1" thickBot="1">
      <c r="A18" s="459" t="s">
        <v>114</v>
      </c>
      <c r="B18" s="460" t="s">
        <v>254</v>
      </c>
      <c r="C18" s="462"/>
      <c r="D18" s="462"/>
      <c r="E18" s="463"/>
      <c r="F18" s="463"/>
    </row>
    <row r="19" spans="1:6" s="447" customFormat="1" ht="12" customHeight="1" thickBot="1">
      <c r="A19" s="448" t="s">
        <v>18</v>
      </c>
      <c r="B19" s="449" t="s">
        <v>255</v>
      </c>
      <c r="C19" s="450">
        <f>+C20+C21+C22+C23+C24</f>
        <v>346907906</v>
      </c>
      <c r="D19" s="450">
        <f>+D20+D21+D22+D23+D24</f>
        <v>46868384</v>
      </c>
      <c r="E19" s="451">
        <f>+E20+E21+E22+E23+E24</f>
        <v>0</v>
      </c>
      <c r="F19" s="451">
        <f>+F20+F21+F22+F23+F24</f>
        <v>4997450</v>
      </c>
    </row>
    <row r="20" spans="1:6" s="447" customFormat="1" ht="12" customHeight="1">
      <c r="A20" s="452" t="s">
        <v>84</v>
      </c>
      <c r="B20" s="187" t="s">
        <v>256</v>
      </c>
      <c r="C20" s="453">
        <v>44142806</v>
      </c>
      <c r="D20" s="453">
        <v>46868384</v>
      </c>
      <c r="E20" s="454"/>
      <c r="F20" s="454"/>
    </row>
    <row r="21" spans="1:6" s="447" customFormat="1" ht="12" customHeight="1">
      <c r="A21" s="455" t="s">
        <v>85</v>
      </c>
      <c r="B21" s="188" t="s">
        <v>257</v>
      </c>
      <c r="C21" s="456"/>
      <c r="D21" s="456"/>
      <c r="E21" s="457"/>
      <c r="F21" s="457"/>
    </row>
    <row r="22" spans="1:6" s="447" customFormat="1" ht="12" customHeight="1">
      <c r="A22" s="455" t="s">
        <v>86</v>
      </c>
      <c r="B22" s="188" t="s">
        <v>422</v>
      </c>
      <c r="C22" s="456"/>
      <c r="D22" s="456"/>
      <c r="E22" s="457"/>
      <c r="F22" s="457"/>
    </row>
    <row r="23" spans="1:6" s="447" customFormat="1" ht="12" customHeight="1">
      <c r="A23" s="455" t="s">
        <v>87</v>
      </c>
      <c r="B23" s="188" t="s">
        <v>423</v>
      </c>
      <c r="C23" s="456"/>
      <c r="D23" s="456"/>
      <c r="E23" s="457"/>
      <c r="F23" s="457"/>
    </row>
    <row r="24" spans="1:6" s="447" customFormat="1" ht="12" customHeight="1">
      <c r="A24" s="455" t="s">
        <v>162</v>
      </c>
      <c r="B24" s="188" t="s">
        <v>258</v>
      </c>
      <c r="C24" s="456">
        <v>302765100</v>
      </c>
      <c r="D24" s="456"/>
      <c r="E24" s="457"/>
      <c r="F24" s="457">
        <f>4997450</f>
        <v>4997450</v>
      </c>
    </row>
    <row r="25" spans="1:6" s="447" customFormat="1" ht="12" customHeight="1" thickBot="1">
      <c r="A25" s="459" t="s">
        <v>163</v>
      </c>
      <c r="B25" s="190" t="s">
        <v>259</v>
      </c>
      <c r="C25" s="462"/>
      <c r="D25" s="462"/>
      <c r="E25" s="463"/>
      <c r="F25" s="463"/>
    </row>
    <row r="26" spans="1:6" s="447" customFormat="1" ht="12" customHeight="1" thickBot="1">
      <c r="A26" s="448" t="s">
        <v>164</v>
      </c>
      <c r="B26" s="449" t="s">
        <v>260</v>
      </c>
      <c r="C26" s="450">
        <f>+C27+C31+C32+C33</f>
        <v>130998972</v>
      </c>
      <c r="D26" s="450">
        <f>+D27+D31+D32+D33</f>
        <v>125719024</v>
      </c>
      <c r="E26" s="451">
        <f>+E27+E31+E32+E33</f>
        <v>124930000</v>
      </c>
      <c r="F26" s="451">
        <f>+F27+F31+F32+F33</f>
        <v>124930000</v>
      </c>
    </row>
    <row r="27" spans="1:6" s="447" customFormat="1" ht="12" customHeight="1">
      <c r="A27" s="452" t="s">
        <v>261</v>
      </c>
      <c r="B27" s="187" t="s">
        <v>437</v>
      </c>
      <c r="C27" s="464">
        <f>+C28+C29+C30</f>
        <v>92686397</v>
      </c>
      <c r="D27" s="464">
        <f>D28+D29+D30</f>
        <v>88132994</v>
      </c>
      <c r="E27" s="465">
        <f>E28+E29+E30</f>
        <v>90400000</v>
      </c>
      <c r="F27" s="465">
        <f>F28+F29+F30</f>
        <v>90400000</v>
      </c>
    </row>
    <row r="28" spans="1:6" s="447" customFormat="1" ht="12" customHeight="1">
      <c r="A28" s="455" t="s">
        <v>262</v>
      </c>
      <c r="B28" s="188" t="s">
        <v>630</v>
      </c>
      <c r="C28" s="456">
        <v>53561098</v>
      </c>
      <c r="D28" s="456">
        <v>53778881</v>
      </c>
      <c r="E28" s="457">
        <f>55400000</f>
        <v>55400000</v>
      </c>
      <c r="F28" s="457">
        <f>55400000</f>
        <v>55400000</v>
      </c>
    </row>
    <row r="29" spans="1:6" s="447" customFormat="1" ht="12" customHeight="1">
      <c r="A29" s="455" t="s">
        <v>263</v>
      </c>
      <c r="B29" s="188" t="s">
        <v>631</v>
      </c>
      <c r="C29" s="456"/>
      <c r="D29" s="456"/>
      <c r="E29" s="457"/>
      <c r="F29" s="457"/>
    </row>
    <row r="30" spans="1:6" s="447" customFormat="1" ht="12" customHeight="1">
      <c r="A30" s="455" t="s">
        <v>435</v>
      </c>
      <c r="B30" s="189" t="s">
        <v>436</v>
      </c>
      <c r="C30" s="456">
        <v>39125299</v>
      </c>
      <c r="D30" s="456">
        <v>34354113</v>
      </c>
      <c r="E30" s="457">
        <f>35000000</f>
        <v>35000000</v>
      </c>
      <c r="F30" s="457">
        <f>35000000</f>
        <v>35000000</v>
      </c>
    </row>
    <row r="31" spans="1:6" s="447" customFormat="1" ht="12" customHeight="1">
      <c r="A31" s="455" t="s">
        <v>264</v>
      </c>
      <c r="B31" s="188" t="s">
        <v>269</v>
      </c>
      <c r="C31" s="456">
        <v>8029880</v>
      </c>
      <c r="D31" s="456">
        <v>8088245</v>
      </c>
      <c r="E31" s="457">
        <v>7400000</v>
      </c>
      <c r="F31" s="457">
        <v>7400000</v>
      </c>
    </row>
    <row r="32" spans="1:6" s="447" customFormat="1" ht="12" customHeight="1">
      <c r="A32" s="455" t="s">
        <v>265</v>
      </c>
      <c r="B32" s="188" t="s">
        <v>588</v>
      </c>
      <c r="C32" s="456">
        <v>29748026</v>
      </c>
      <c r="D32" s="456">
        <v>29325964</v>
      </c>
      <c r="E32" s="457">
        <v>27000000</v>
      </c>
      <c r="F32" s="457">
        <f>27000000-500000</f>
        <v>26500000</v>
      </c>
    </row>
    <row r="33" spans="1:6" s="447" customFormat="1" ht="12" customHeight="1" thickBot="1">
      <c r="A33" s="459" t="s">
        <v>266</v>
      </c>
      <c r="B33" s="190" t="s">
        <v>271</v>
      </c>
      <c r="C33" s="462">
        <v>534669</v>
      </c>
      <c r="D33" s="462">
        <v>171821</v>
      </c>
      <c r="E33" s="463">
        <v>130000</v>
      </c>
      <c r="F33" s="463">
        <f>130000+500000</f>
        <v>630000</v>
      </c>
    </row>
    <row r="34" spans="1:6" s="447" customFormat="1" ht="12" customHeight="1" thickBot="1">
      <c r="A34" s="448" t="s">
        <v>20</v>
      </c>
      <c r="B34" s="449" t="s">
        <v>432</v>
      </c>
      <c r="C34" s="450">
        <f>SUM(C35:C45)</f>
        <v>137670991</v>
      </c>
      <c r="D34" s="450">
        <f>SUM(D35:D45)</f>
        <v>137436737</v>
      </c>
      <c r="E34" s="451">
        <f>SUM(E35:E45)</f>
        <v>111943281</v>
      </c>
      <c r="F34" s="451">
        <f>SUM(F35:F45)</f>
        <v>112212897</v>
      </c>
    </row>
    <row r="35" spans="1:6" s="447" customFormat="1" ht="12" customHeight="1">
      <c r="A35" s="452" t="s">
        <v>88</v>
      </c>
      <c r="B35" s="187" t="s">
        <v>274</v>
      </c>
      <c r="C35" s="453">
        <v>264040</v>
      </c>
      <c r="D35" s="453">
        <v>72900</v>
      </c>
      <c r="E35" s="454"/>
      <c r="F35" s="454"/>
    </row>
    <row r="36" spans="1:6" s="447" customFormat="1" ht="12" customHeight="1">
      <c r="A36" s="455" t="s">
        <v>89</v>
      </c>
      <c r="B36" s="188" t="s">
        <v>275</v>
      </c>
      <c r="C36" s="456">
        <v>93475654</v>
      </c>
      <c r="D36" s="456">
        <v>96044866</v>
      </c>
      <c r="E36" s="457">
        <v>82842935</v>
      </c>
      <c r="F36" s="457">
        <f>82842935+6400-196063</f>
        <v>82653272</v>
      </c>
    </row>
    <row r="37" spans="1:6" s="447" customFormat="1" ht="12" customHeight="1">
      <c r="A37" s="455" t="s">
        <v>90</v>
      </c>
      <c r="B37" s="188" t="s">
        <v>276</v>
      </c>
      <c r="C37" s="456">
        <v>2633293</v>
      </c>
      <c r="D37" s="456">
        <v>3668666</v>
      </c>
      <c r="E37" s="457">
        <v>2400000</v>
      </c>
      <c r="F37" s="457">
        <v>2400000</v>
      </c>
    </row>
    <row r="38" spans="1:6" s="447" customFormat="1" ht="12" customHeight="1">
      <c r="A38" s="455" t="s">
        <v>166</v>
      </c>
      <c r="B38" s="188" t="s">
        <v>277</v>
      </c>
      <c r="C38" s="456"/>
      <c r="D38" s="456"/>
      <c r="E38" s="457"/>
      <c r="F38" s="457"/>
    </row>
    <row r="39" spans="1:6" s="447" customFormat="1" ht="12" customHeight="1">
      <c r="A39" s="455" t="s">
        <v>167</v>
      </c>
      <c r="B39" s="188" t="s">
        <v>278</v>
      </c>
      <c r="C39" s="456">
        <v>11677656</v>
      </c>
      <c r="D39" s="456">
        <v>8569307</v>
      </c>
      <c r="E39" s="457">
        <v>1500000</v>
      </c>
      <c r="F39" s="457">
        <v>1500000</v>
      </c>
    </row>
    <row r="40" spans="1:6" s="447" customFormat="1" ht="12" customHeight="1">
      <c r="A40" s="455" t="s">
        <v>168</v>
      </c>
      <c r="B40" s="188" t="s">
        <v>279</v>
      </c>
      <c r="C40" s="456">
        <v>29383095</v>
      </c>
      <c r="D40" s="456">
        <v>28996211</v>
      </c>
      <c r="E40" s="457">
        <v>25170346</v>
      </c>
      <c r="F40" s="457">
        <f>25170346+97416-52937</f>
        <v>25214825</v>
      </c>
    </row>
    <row r="41" spans="1:6" s="447" customFormat="1" ht="12" customHeight="1">
      <c r="A41" s="455" t="s">
        <v>169</v>
      </c>
      <c r="B41" s="188" t="s">
        <v>280</v>
      </c>
      <c r="C41" s="456"/>
      <c r="D41" s="456"/>
      <c r="E41" s="457"/>
      <c r="F41" s="457"/>
    </row>
    <row r="42" spans="1:6" s="447" customFormat="1" ht="12" customHeight="1">
      <c r="A42" s="455" t="s">
        <v>170</v>
      </c>
      <c r="B42" s="188" t="s">
        <v>281</v>
      </c>
      <c r="C42" s="456">
        <v>31976</v>
      </c>
      <c r="D42" s="456">
        <v>17867</v>
      </c>
      <c r="E42" s="457">
        <v>30000</v>
      </c>
      <c r="F42" s="457">
        <v>30000</v>
      </c>
    </row>
    <row r="43" spans="1:6" s="447" customFormat="1" ht="12" customHeight="1">
      <c r="A43" s="455" t="s">
        <v>272</v>
      </c>
      <c r="B43" s="188" t="s">
        <v>282</v>
      </c>
      <c r="C43" s="456"/>
      <c r="D43" s="456"/>
      <c r="E43" s="457"/>
      <c r="F43" s="457"/>
    </row>
    <row r="44" spans="1:6" s="447" customFormat="1" ht="12" customHeight="1">
      <c r="A44" s="459" t="s">
        <v>273</v>
      </c>
      <c r="B44" s="190" t="s">
        <v>434</v>
      </c>
      <c r="C44" s="462">
        <v>114174</v>
      </c>
      <c r="D44" s="462"/>
      <c r="E44" s="463"/>
      <c r="F44" s="463"/>
    </row>
    <row r="45" spans="1:6" s="447" customFormat="1" ht="12" customHeight="1" thickBot="1">
      <c r="A45" s="459" t="s">
        <v>433</v>
      </c>
      <c r="B45" s="460" t="s">
        <v>283</v>
      </c>
      <c r="C45" s="462">
        <v>91103</v>
      </c>
      <c r="D45" s="462">
        <v>66920</v>
      </c>
      <c r="E45" s="463"/>
      <c r="F45" s="463">
        <f>30000+360800+24000</f>
        <v>414800</v>
      </c>
    </row>
    <row r="46" spans="1:6" s="447" customFormat="1" ht="12" customHeight="1" thickBot="1">
      <c r="A46" s="448" t="s">
        <v>21</v>
      </c>
      <c r="B46" s="449" t="s">
        <v>284</v>
      </c>
      <c r="C46" s="450">
        <f>SUM(C47:C51)</f>
        <v>200002</v>
      </c>
      <c r="D46" s="450">
        <f>SUM(D47:D51)</f>
        <v>200003</v>
      </c>
      <c r="E46" s="451">
        <f>SUM(E47:E51)</f>
        <v>6480567</v>
      </c>
      <c r="F46" s="451">
        <f>SUM(F47:F51)</f>
        <v>6480567</v>
      </c>
    </row>
    <row r="47" spans="1:6" s="447" customFormat="1" ht="12" customHeight="1">
      <c r="A47" s="452" t="s">
        <v>91</v>
      </c>
      <c r="B47" s="187" t="s">
        <v>288</v>
      </c>
      <c r="C47" s="453"/>
      <c r="D47" s="453"/>
      <c r="E47" s="454"/>
      <c r="F47" s="454"/>
    </row>
    <row r="48" spans="1:6" s="447" customFormat="1" ht="12" customHeight="1">
      <c r="A48" s="455" t="s">
        <v>92</v>
      </c>
      <c r="B48" s="188" t="s">
        <v>289</v>
      </c>
      <c r="C48" s="456">
        <v>200002</v>
      </c>
      <c r="D48" s="456">
        <v>200003</v>
      </c>
      <c r="E48" s="457">
        <f>6216000+264567</f>
        <v>6480567</v>
      </c>
      <c r="F48" s="457">
        <f>6216000+264567</f>
        <v>6480567</v>
      </c>
    </row>
    <row r="49" spans="1:6" s="447" customFormat="1" ht="12" customHeight="1">
      <c r="A49" s="455" t="s">
        <v>285</v>
      </c>
      <c r="B49" s="188" t="s">
        <v>290</v>
      </c>
      <c r="C49" s="456"/>
      <c r="D49" s="456"/>
      <c r="E49" s="457"/>
      <c r="F49" s="457"/>
    </row>
    <row r="50" spans="1:6" s="447" customFormat="1" ht="12" customHeight="1">
      <c r="A50" s="455" t="s">
        <v>286</v>
      </c>
      <c r="B50" s="188" t="s">
        <v>291</v>
      </c>
      <c r="C50" s="456"/>
      <c r="D50" s="456"/>
      <c r="E50" s="457"/>
      <c r="F50" s="457"/>
    </row>
    <row r="51" spans="1:6" s="447" customFormat="1" ht="12" customHeight="1" thickBot="1">
      <c r="A51" s="459" t="s">
        <v>287</v>
      </c>
      <c r="B51" s="460" t="s">
        <v>292</v>
      </c>
      <c r="C51" s="462"/>
      <c r="D51" s="462"/>
      <c r="E51" s="463"/>
      <c r="F51" s="463"/>
    </row>
    <row r="52" spans="1:6" s="447" customFormat="1" ht="12" customHeight="1" thickBot="1">
      <c r="A52" s="448" t="s">
        <v>171</v>
      </c>
      <c r="B52" s="449" t="s">
        <v>293</v>
      </c>
      <c r="C52" s="450">
        <f>SUM(C53:C55)</f>
        <v>199000</v>
      </c>
      <c r="D52" s="450">
        <f>SUM(D53:D55)</f>
        <v>150000</v>
      </c>
      <c r="E52" s="451">
        <f>SUM(E53:E55)</f>
        <v>293300</v>
      </c>
      <c r="F52" s="451">
        <f>SUM(F53:F55)</f>
        <v>343300</v>
      </c>
    </row>
    <row r="53" spans="1:6" s="447" customFormat="1" ht="12" customHeight="1">
      <c r="A53" s="452" t="s">
        <v>93</v>
      </c>
      <c r="B53" s="187" t="s">
        <v>294</v>
      </c>
      <c r="C53" s="453"/>
      <c r="D53" s="453"/>
      <c r="E53" s="454"/>
      <c r="F53" s="454"/>
    </row>
    <row r="54" spans="1:6" s="447" customFormat="1" ht="12" customHeight="1">
      <c r="A54" s="455" t="s">
        <v>94</v>
      </c>
      <c r="B54" s="188" t="s">
        <v>424</v>
      </c>
      <c r="C54" s="456"/>
      <c r="D54" s="456"/>
      <c r="E54" s="457"/>
      <c r="F54" s="457"/>
    </row>
    <row r="55" spans="1:6" s="447" customFormat="1" ht="12" customHeight="1">
      <c r="A55" s="455" t="s">
        <v>297</v>
      </c>
      <c r="B55" s="188" t="s">
        <v>295</v>
      </c>
      <c r="C55" s="456">
        <v>199000</v>
      </c>
      <c r="D55" s="456">
        <v>150000</v>
      </c>
      <c r="E55" s="457">
        <v>293300</v>
      </c>
      <c r="F55" s="457">
        <f>293300+50000</f>
        <v>343300</v>
      </c>
    </row>
    <row r="56" spans="1:6" s="447" customFormat="1" ht="12" customHeight="1" thickBot="1">
      <c r="A56" s="459" t="s">
        <v>298</v>
      </c>
      <c r="B56" s="460" t="s">
        <v>296</v>
      </c>
      <c r="C56" s="462"/>
      <c r="D56" s="462"/>
      <c r="E56" s="463"/>
      <c r="F56" s="463"/>
    </row>
    <row r="57" spans="1:6" s="447" customFormat="1" ht="12" customHeight="1" thickBot="1">
      <c r="A57" s="448" t="s">
        <v>23</v>
      </c>
      <c r="B57" s="461" t="s">
        <v>299</v>
      </c>
      <c r="C57" s="450">
        <f>SUM(C58:C60)</f>
        <v>7554830</v>
      </c>
      <c r="D57" s="450">
        <f>SUM(D58:D60)</f>
        <v>4810000</v>
      </c>
      <c r="E57" s="451">
        <f>SUM(E58:E60)</f>
        <v>70000</v>
      </c>
      <c r="F57" s="451">
        <f>SUM(F58:F60)</f>
        <v>70000</v>
      </c>
    </row>
    <row r="58" spans="1:6" s="447" customFormat="1" ht="12" customHeight="1">
      <c r="A58" s="452" t="s">
        <v>172</v>
      </c>
      <c r="B58" s="187" t="s">
        <v>301</v>
      </c>
      <c r="C58" s="456"/>
      <c r="D58" s="456"/>
      <c r="E58" s="457"/>
      <c r="F58" s="457"/>
    </row>
    <row r="59" spans="1:6" s="447" customFormat="1" ht="12" customHeight="1">
      <c r="A59" s="455" t="s">
        <v>173</v>
      </c>
      <c r="B59" s="188" t="s">
        <v>425</v>
      </c>
      <c r="C59" s="456">
        <v>267830</v>
      </c>
      <c r="D59" s="456">
        <v>110000</v>
      </c>
      <c r="E59" s="457">
        <v>70000</v>
      </c>
      <c r="F59" s="457">
        <v>70000</v>
      </c>
    </row>
    <row r="60" spans="1:6" s="447" customFormat="1" ht="12" customHeight="1">
      <c r="A60" s="455" t="s">
        <v>221</v>
      </c>
      <c r="B60" s="188" t="s">
        <v>302</v>
      </c>
      <c r="C60" s="456">
        <v>7287000</v>
      </c>
      <c r="D60" s="456">
        <v>4700000</v>
      </c>
      <c r="E60" s="457"/>
      <c r="F60" s="457"/>
    </row>
    <row r="61" spans="1:6" s="447" customFormat="1" ht="12" customHeight="1" thickBot="1">
      <c r="A61" s="459" t="s">
        <v>300</v>
      </c>
      <c r="B61" s="460" t="s">
        <v>303</v>
      </c>
      <c r="C61" s="456"/>
      <c r="D61" s="456"/>
      <c r="E61" s="457"/>
      <c r="F61" s="457"/>
    </row>
    <row r="62" spans="1:6" s="447" customFormat="1" ht="12" customHeight="1" thickBot="1">
      <c r="A62" s="466" t="s">
        <v>476</v>
      </c>
      <c r="B62" s="449" t="s">
        <v>304</v>
      </c>
      <c r="C62" s="450">
        <f>+C5+C12+C19+C26+C34+C46+C52+C57</f>
        <v>920653947</v>
      </c>
      <c r="D62" s="451">
        <f>D5+D12+D19+D26+D34+D46+D52+D57</f>
        <v>598797544</v>
      </c>
      <c r="E62" s="451">
        <f>+E5+E12+E19+E26+E34+E46+E52+E57</f>
        <v>514675371</v>
      </c>
      <c r="F62" s="451">
        <f>+F5+F12+F19+F26+F34+F46+F52+F57</f>
        <v>525287682</v>
      </c>
    </row>
    <row r="63" spans="1:6" s="447" customFormat="1" ht="12" customHeight="1" thickBot="1">
      <c r="A63" s="467" t="s">
        <v>305</v>
      </c>
      <c r="B63" s="461" t="s">
        <v>538</v>
      </c>
      <c r="C63" s="450">
        <f>SUM(C64:C66)</f>
        <v>0</v>
      </c>
      <c r="D63" s="450">
        <f>SUM(D64:D66)</f>
        <v>0</v>
      </c>
      <c r="E63" s="451">
        <f>SUM(E64:E66)</f>
        <v>0</v>
      </c>
      <c r="F63" s="451">
        <f>SUM(F64:F66)</f>
        <v>0</v>
      </c>
    </row>
    <row r="64" spans="1:6" s="447" customFormat="1" ht="12" customHeight="1">
      <c r="A64" s="452" t="s">
        <v>337</v>
      </c>
      <c r="B64" s="187" t="s">
        <v>307</v>
      </c>
      <c r="C64" s="456"/>
      <c r="D64" s="456"/>
      <c r="E64" s="457"/>
      <c r="F64" s="457"/>
    </row>
    <row r="65" spans="1:6" s="447" customFormat="1" ht="12" customHeight="1">
      <c r="A65" s="455" t="s">
        <v>346</v>
      </c>
      <c r="B65" s="188" t="s">
        <v>308</v>
      </c>
      <c r="C65" s="456"/>
      <c r="D65" s="456"/>
      <c r="E65" s="457"/>
      <c r="F65" s="457"/>
    </row>
    <row r="66" spans="1:6" s="447" customFormat="1" ht="12" customHeight="1" thickBot="1">
      <c r="A66" s="459" t="s">
        <v>347</v>
      </c>
      <c r="B66" s="468" t="s">
        <v>461</v>
      </c>
      <c r="C66" s="456"/>
      <c r="D66" s="456"/>
      <c r="E66" s="457"/>
      <c r="F66" s="457"/>
    </row>
    <row r="67" spans="1:6" s="447" customFormat="1" ht="12" customHeight="1" thickBot="1">
      <c r="A67" s="467" t="s">
        <v>310</v>
      </c>
      <c r="B67" s="461" t="s">
        <v>311</v>
      </c>
      <c r="C67" s="450">
        <f>SUM(C68:C71)</f>
        <v>0</v>
      </c>
      <c r="D67" s="450">
        <f>SUM(D68:D71)</f>
        <v>0</v>
      </c>
      <c r="E67" s="451">
        <f>SUM(E68:E71)</f>
        <v>0</v>
      </c>
      <c r="F67" s="451">
        <f>SUM(F68:F71)</f>
        <v>0</v>
      </c>
    </row>
    <row r="68" spans="1:6" s="447" customFormat="1" ht="12" customHeight="1">
      <c r="A68" s="452" t="s">
        <v>142</v>
      </c>
      <c r="B68" s="187" t="s">
        <v>312</v>
      </c>
      <c r="C68" s="456"/>
      <c r="D68" s="456"/>
      <c r="E68" s="457"/>
      <c r="F68" s="457"/>
    </row>
    <row r="69" spans="1:6" s="447" customFormat="1" ht="17.25" customHeight="1">
      <c r="A69" s="455" t="s">
        <v>143</v>
      </c>
      <c r="B69" s="188" t="s">
        <v>313</v>
      </c>
      <c r="C69" s="456"/>
      <c r="D69" s="456"/>
      <c r="E69" s="457"/>
      <c r="F69" s="457"/>
    </row>
    <row r="70" spans="1:6" s="447" customFormat="1" ht="12" customHeight="1">
      <c r="A70" s="455" t="s">
        <v>338</v>
      </c>
      <c r="B70" s="188" t="s">
        <v>314</v>
      </c>
      <c r="C70" s="456"/>
      <c r="D70" s="456"/>
      <c r="E70" s="457"/>
      <c r="F70" s="457"/>
    </row>
    <row r="71" spans="1:6" s="447" customFormat="1" ht="12" customHeight="1" thickBot="1">
      <c r="A71" s="459" t="s">
        <v>339</v>
      </c>
      <c r="B71" s="460" t="s">
        <v>315</v>
      </c>
      <c r="C71" s="456"/>
      <c r="D71" s="456"/>
      <c r="E71" s="457"/>
      <c r="F71" s="457"/>
    </row>
    <row r="72" spans="1:6" s="447" customFormat="1" ht="12" customHeight="1" thickBot="1">
      <c r="A72" s="467" t="s">
        <v>316</v>
      </c>
      <c r="B72" s="461" t="s">
        <v>317</v>
      </c>
      <c r="C72" s="450">
        <f>SUM(C73:C74)</f>
        <v>45031000</v>
      </c>
      <c r="D72" s="450">
        <f>SUM(D73:D74)</f>
        <v>172128534</v>
      </c>
      <c r="E72" s="451">
        <f>SUM(E73:E74)</f>
        <v>210472828</v>
      </c>
      <c r="F72" s="451">
        <f>SUM(F73:F74)</f>
        <v>222974509</v>
      </c>
    </row>
    <row r="73" spans="1:6" s="447" customFormat="1" ht="12" customHeight="1">
      <c r="A73" s="452" t="s">
        <v>340</v>
      </c>
      <c r="B73" s="187" t="s">
        <v>318</v>
      </c>
      <c r="C73" s="456">
        <v>45031000</v>
      </c>
      <c r="D73" s="456">
        <v>172128534</v>
      </c>
      <c r="E73" s="457">
        <v>210472828</v>
      </c>
      <c r="F73" s="457">
        <f>210472828+12501681</f>
        <v>222974509</v>
      </c>
    </row>
    <row r="74" spans="1:6" s="447" customFormat="1" ht="12" customHeight="1" thickBot="1">
      <c r="A74" s="459" t="s">
        <v>341</v>
      </c>
      <c r="B74" s="460" t="s">
        <v>319</v>
      </c>
      <c r="C74" s="456"/>
      <c r="D74" s="456"/>
      <c r="E74" s="457"/>
      <c r="F74" s="457"/>
    </row>
    <row r="75" spans="1:6" s="447" customFormat="1" ht="12" customHeight="1" thickBot="1">
      <c r="A75" s="467" t="s">
        <v>320</v>
      </c>
      <c r="B75" s="461" t="s">
        <v>321</v>
      </c>
      <c r="C75" s="450">
        <f>SUM(C76:C78)</f>
        <v>38111444</v>
      </c>
      <c r="D75" s="450">
        <f>SUM(D76:D78)</f>
        <v>7777206</v>
      </c>
      <c r="E75" s="451">
        <f>SUM(E76:E78)</f>
        <v>0</v>
      </c>
      <c r="F75" s="451">
        <f>SUM(F76:F78)</f>
        <v>0</v>
      </c>
    </row>
    <row r="76" spans="1:6" s="447" customFormat="1" ht="12" customHeight="1">
      <c r="A76" s="452" t="s">
        <v>342</v>
      </c>
      <c r="B76" s="187" t="s">
        <v>322</v>
      </c>
      <c r="C76" s="456">
        <v>8111444</v>
      </c>
      <c r="D76" s="456">
        <v>7777206</v>
      </c>
      <c r="E76" s="457"/>
      <c r="F76" s="457"/>
    </row>
    <row r="77" spans="1:6" s="447" customFormat="1" ht="12" customHeight="1">
      <c r="A77" s="455" t="s">
        <v>343</v>
      </c>
      <c r="B77" s="188" t="s">
        <v>323</v>
      </c>
      <c r="C77" s="456"/>
      <c r="D77" s="456"/>
      <c r="E77" s="457"/>
      <c r="F77" s="457"/>
    </row>
    <row r="78" spans="1:6" s="447" customFormat="1" ht="12" customHeight="1" thickBot="1">
      <c r="A78" s="459" t="s">
        <v>344</v>
      </c>
      <c r="B78" s="460" t="s">
        <v>324</v>
      </c>
      <c r="C78" s="456">
        <v>30000000</v>
      </c>
      <c r="D78" s="456"/>
      <c r="E78" s="457"/>
      <c r="F78" s="457"/>
    </row>
    <row r="79" spans="1:6" s="447" customFormat="1" ht="12" customHeight="1" thickBot="1">
      <c r="A79" s="467" t="s">
        <v>325</v>
      </c>
      <c r="B79" s="461" t="s">
        <v>345</v>
      </c>
      <c r="C79" s="450">
        <f>SUM(C80:C83)</f>
        <v>0</v>
      </c>
      <c r="D79" s="450">
        <f>SUM(D80:D83)</f>
        <v>0</v>
      </c>
      <c r="E79" s="451">
        <f>SUM(E80:E83)</f>
        <v>0</v>
      </c>
      <c r="F79" s="451">
        <f>SUM(F80:F83)</f>
        <v>0</v>
      </c>
    </row>
    <row r="80" spans="1:6" s="447" customFormat="1" ht="12" customHeight="1">
      <c r="A80" s="469" t="s">
        <v>326</v>
      </c>
      <c r="B80" s="187" t="s">
        <v>327</v>
      </c>
      <c r="C80" s="456"/>
      <c r="D80" s="456"/>
      <c r="E80" s="457"/>
      <c r="F80" s="457"/>
    </row>
    <row r="81" spans="1:6" s="447" customFormat="1" ht="12" customHeight="1">
      <c r="A81" s="470" t="s">
        <v>328</v>
      </c>
      <c r="B81" s="188" t="s">
        <v>329</v>
      </c>
      <c r="C81" s="456"/>
      <c r="D81" s="456"/>
      <c r="E81" s="457"/>
      <c r="F81" s="457"/>
    </row>
    <row r="82" spans="1:6" s="447" customFormat="1" ht="12" customHeight="1">
      <c r="A82" s="470" t="s">
        <v>330</v>
      </c>
      <c r="B82" s="188" t="s">
        <v>331</v>
      </c>
      <c r="C82" s="456"/>
      <c r="D82" s="456"/>
      <c r="E82" s="457"/>
      <c r="F82" s="457"/>
    </row>
    <row r="83" spans="1:6" s="447" customFormat="1" ht="12" customHeight="1" thickBot="1">
      <c r="A83" s="471" t="s">
        <v>332</v>
      </c>
      <c r="B83" s="460" t="s">
        <v>333</v>
      </c>
      <c r="C83" s="456"/>
      <c r="D83" s="456"/>
      <c r="E83" s="457"/>
      <c r="F83" s="457"/>
    </row>
    <row r="84" spans="1:6" s="447" customFormat="1" ht="12" customHeight="1" thickBot="1">
      <c r="A84" s="467" t="s">
        <v>334</v>
      </c>
      <c r="B84" s="461" t="s">
        <v>475</v>
      </c>
      <c r="C84" s="472"/>
      <c r="D84" s="472"/>
      <c r="E84" s="473"/>
      <c r="F84" s="473"/>
    </row>
    <row r="85" spans="1:6" s="447" customFormat="1" ht="12" customHeight="1" thickBot="1">
      <c r="A85" s="467" t="s">
        <v>336</v>
      </c>
      <c r="B85" s="461" t="s">
        <v>335</v>
      </c>
      <c r="C85" s="472"/>
      <c r="D85" s="472"/>
      <c r="E85" s="473"/>
      <c r="F85" s="473"/>
    </row>
    <row r="86" spans="1:6" s="447" customFormat="1" ht="12" customHeight="1" thickBot="1">
      <c r="A86" s="467" t="s">
        <v>348</v>
      </c>
      <c r="B86" s="474" t="s">
        <v>478</v>
      </c>
      <c r="C86" s="450">
        <f>+C63+C67+C72+C75+C79+C85+C84</f>
        <v>83142444</v>
      </c>
      <c r="D86" s="450">
        <f>+D63+D67+D72+D75+D79+D85+D84</f>
        <v>179905740</v>
      </c>
      <c r="E86" s="451">
        <f>+E63+E67+E72+E75+E79+E85+E84</f>
        <v>210472828</v>
      </c>
      <c r="F86" s="451">
        <f>+F63+F67+F72+F75+F79+F85+F84</f>
        <v>222974509</v>
      </c>
    </row>
    <row r="87" spans="1:6" s="447" customFormat="1" ht="12" customHeight="1" thickBot="1">
      <c r="A87" s="475" t="s">
        <v>33</v>
      </c>
      <c r="B87" s="476" t="s">
        <v>559</v>
      </c>
      <c r="C87" s="450"/>
      <c r="D87" s="450"/>
      <c r="E87" s="451"/>
      <c r="F87" s="451"/>
    </row>
    <row r="88" spans="1:6" s="447" customFormat="1" ht="12" customHeight="1" thickBot="1">
      <c r="A88" s="475" t="s">
        <v>34</v>
      </c>
      <c r="B88" s="476" t="s">
        <v>479</v>
      </c>
      <c r="C88" s="450">
        <f>+C62+C86+C87</f>
        <v>1003796391</v>
      </c>
      <c r="D88" s="450">
        <f>+D62+D86+D87</f>
        <v>778703284</v>
      </c>
      <c r="E88" s="450">
        <f>+E62+E86+E87</f>
        <v>725148199</v>
      </c>
      <c r="F88" s="450">
        <f>+F62+F86+F87</f>
        <v>748262191</v>
      </c>
    </row>
    <row r="89" spans="1:6" s="447" customFormat="1" ht="12" customHeight="1">
      <c r="A89" s="738" t="s">
        <v>44</v>
      </c>
      <c r="B89" s="738"/>
      <c r="C89" s="738"/>
      <c r="D89" s="738"/>
      <c r="E89" s="738"/>
    </row>
    <row r="90" spans="1:6" s="447" customFormat="1" ht="12" customHeight="1" thickBot="1">
      <c r="A90" s="739" t="s">
        <v>145</v>
      </c>
      <c r="B90" s="739"/>
      <c r="C90" s="442"/>
      <c r="D90" s="441"/>
      <c r="E90" s="99" t="s">
        <v>597</v>
      </c>
      <c r="F90" s="99" t="s">
        <v>597</v>
      </c>
    </row>
    <row r="91" spans="1:6" s="447" customFormat="1" ht="36" customHeight="1" thickBot="1">
      <c r="A91" s="443" t="s">
        <v>14</v>
      </c>
      <c r="B91" s="444" t="s">
        <v>45</v>
      </c>
      <c r="C91" s="444" t="str">
        <f>+C3</f>
        <v>2015. évi tény</v>
      </c>
      <c r="D91" s="444" t="str">
        <f>+D3</f>
        <v>2016. évi várható</v>
      </c>
      <c r="E91" s="446" t="str">
        <f>+E3</f>
        <v>Eredeti előirányzat (2017.01)</v>
      </c>
      <c r="F91" s="446" t="str">
        <f>+F3</f>
        <v>Módosított előirányzat (2017.05)</v>
      </c>
    </row>
    <row r="92" spans="1:6" s="447" customFormat="1" ht="12" customHeight="1" thickBot="1">
      <c r="A92" s="443" t="s">
        <v>487</v>
      </c>
      <c r="B92" s="444" t="s">
        <v>488</v>
      </c>
      <c r="C92" s="444" t="s">
        <v>489</v>
      </c>
      <c r="D92" s="444" t="s">
        <v>491</v>
      </c>
      <c r="E92" s="446" t="s">
        <v>490</v>
      </c>
      <c r="F92" s="446" t="s">
        <v>490</v>
      </c>
    </row>
    <row r="93" spans="1:6" s="447" customFormat="1" ht="15" customHeight="1" thickBot="1">
      <c r="A93" s="477" t="s">
        <v>16</v>
      </c>
      <c r="B93" s="478" t="s">
        <v>724</v>
      </c>
      <c r="C93" s="479">
        <f>C94+C95+C96+C97+C98+C111</f>
        <v>407818496</v>
      </c>
      <c r="D93" s="479">
        <f>D94+D95+D96+D97+D98+D111</f>
        <v>358521975</v>
      </c>
      <c r="E93" s="480">
        <f>E94+E95+E96+E97+E98+E111</f>
        <v>438311874</v>
      </c>
      <c r="F93" s="480">
        <f>F94+F95+F96+F97+F98+F111</f>
        <v>452164165</v>
      </c>
    </row>
    <row r="94" spans="1:6" s="447" customFormat="1" ht="12.95" customHeight="1">
      <c r="A94" s="481" t="s">
        <v>95</v>
      </c>
      <c r="B94" s="482" t="s">
        <v>46</v>
      </c>
      <c r="C94" s="483">
        <v>68424312</v>
      </c>
      <c r="D94" s="483">
        <v>70947340</v>
      </c>
      <c r="E94" s="484">
        <v>68217187</v>
      </c>
      <c r="F94" s="484">
        <f>68217187+16000+3381554-782100</f>
        <v>70832641</v>
      </c>
    </row>
    <row r="95" spans="1:6" ht="16.5" customHeight="1">
      <c r="A95" s="455" t="s">
        <v>96</v>
      </c>
      <c r="B95" s="485" t="s">
        <v>174</v>
      </c>
      <c r="C95" s="486">
        <v>16871277</v>
      </c>
      <c r="D95" s="486">
        <v>22466345</v>
      </c>
      <c r="E95" s="487">
        <v>18222262</v>
      </c>
      <c r="F95" s="487">
        <f>18222262-16000+371959-172062</f>
        <v>18406159</v>
      </c>
    </row>
    <row r="96" spans="1:6">
      <c r="A96" s="455" t="s">
        <v>97</v>
      </c>
      <c r="B96" s="485" t="s">
        <v>133</v>
      </c>
      <c r="C96" s="488">
        <v>214638105</v>
      </c>
      <c r="D96" s="488">
        <v>147009165</v>
      </c>
      <c r="E96" s="489">
        <v>179150934</v>
      </c>
      <c r="F96" s="489">
        <f>179150934+150000+20000+4458</f>
        <v>179325392</v>
      </c>
    </row>
    <row r="97" spans="1:6" s="447" customFormat="1" ht="12" customHeight="1">
      <c r="A97" s="455" t="s">
        <v>98</v>
      </c>
      <c r="B97" s="490" t="s">
        <v>175</v>
      </c>
      <c r="C97" s="488">
        <v>5636472</v>
      </c>
      <c r="D97" s="488">
        <v>9265469</v>
      </c>
      <c r="E97" s="489">
        <v>13067373</v>
      </c>
      <c r="F97" s="489">
        <v>13067373</v>
      </c>
    </row>
    <row r="98" spans="1:6" ht="12" customHeight="1">
      <c r="A98" s="455" t="s">
        <v>109</v>
      </c>
      <c r="B98" s="491" t="s">
        <v>176</v>
      </c>
      <c r="C98" s="489">
        <f>C99+C100+C101+C102+C103+C104+C105+C106+C107+C108+C109+C110</f>
        <v>102248330</v>
      </c>
      <c r="D98" s="489">
        <f>D99+D100+D101+D102+D103+D104+D105+D106+D107+D108+D109+D110</f>
        <v>108833656</v>
      </c>
      <c r="E98" s="489">
        <f>E99+E100+E101+E102+E103+E104+E105+E106+E107+E108+E109+E110</f>
        <v>126892493</v>
      </c>
      <c r="F98" s="489">
        <f>F99+F100+F101+F102+F103+F104+F105+F106+F107+F108+F109+F110</f>
        <v>129916117</v>
      </c>
    </row>
    <row r="99" spans="1:6" ht="12" customHeight="1">
      <c r="A99" s="455" t="s">
        <v>99</v>
      </c>
      <c r="B99" s="485" t="s">
        <v>442</v>
      </c>
      <c r="C99" s="488"/>
      <c r="D99" s="488"/>
      <c r="E99" s="489"/>
      <c r="F99" s="489"/>
    </row>
    <row r="100" spans="1:6" ht="12" customHeight="1">
      <c r="A100" s="455" t="s">
        <v>100</v>
      </c>
      <c r="B100" s="492" t="s">
        <v>441</v>
      </c>
      <c r="C100" s="488"/>
      <c r="D100" s="488"/>
      <c r="E100" s="489"/>
      <c r="F100" s="489"/>
    </row>
    <row r="101" spans="1:6" ht="12" customHeight="1">
      <c r="A101" s="455" t="s">
        <v>110</v>
      </c>
      <c r="B101" s="492" t="s">
        <v>440</v>
      </c>
      <c r="C101" s="488">
        <v>1671063</v>
      </c>
      <c r="D101" s="488">
        <v>4300930</v>
      </c>
      <c r="E101" s="489">
        <v>572567</v>
      </c>
      <c r="F101" s="489">
        <v>572567</v>
      </c>
    </row>
    <row r="102" spans="1:6" ht="12" customHeight="1">
      <c r="A102" s="455" t="s">
        <v>111</v>
      </c>
      <c r="B102" s="493" t="s">
        <v>351</v>
      </c>
      <c r="C102" s="488"/>
      <c r="D102" s="488"/>
      <c r="E102" s="489"/>
      <c r="F102" s="489"/>
    </row>
    <row r="103" spans="1:6" ht="12" customHeight="1">
      <c r="A103" s="455" t="s">
        <v>112</v>
      </c>
      <c r="B103" s="494" t="s">
        <v>352</v>
      </c>
      <c r="C103" s="488"/>
      <c r="D103" s="488"/>
      <c r="E103" s="489"/>
      <c r="F103" s="489"/>
    </row>
    <row r="104" spans="1:6" ht="12" customHeight="1">
      <c r="A104" s="455" t="s">
        <v>113</v>
      </c>
      <c r="B104" s="494" t="s">
        <v>353</v>
      </c>
      <c r="C104" s="488"/>
      <c r="D104" s="488"/>
      <c r="E104" s="489"/>
      <c r="F104" s="489"/>
    </row>
    <row r="105" spans="1:6" ht="12" customHeight="1">
      <c r="A105" s="455" t="s">
        <v>115</v>
      </c>
      <c r="B105" s="493" t="s">
        <v>354</v>
      </c>
      <c r="C105" s="488">
        <v>65042617</v>
      </c>
      <c r="D105" s="488">
        <v>65369665</v>
      </c>
      <c r="E105" s="489">
        <v>113979926</v>
      </c>
      <c r="F105" s="489">
        <f>113979926+15091+1718911+39622+20000</f>
        <v>115773550</v>
      </c>
    </row>
    <row r="106" spans="1:6" ht="12" customHeight="1">
      <c r="A106" s="455" t="s">
        <v>177</v>
      </c>
      <c r="B106" s="493" t="s">
        <v>355</v>
      </c>
      <c r="C106" s="488"/>
      <c r="D106" s="488"/>
      <c r="E106" s="489"/>
      <c r="F106" s="489"/>
    </row>
    <row r="107" spans="1:6" ht="12" customHeight="1">
      <c r="A107" s="455" t="s">
        <v>349</v>
      </c>
      <c r="B107" s="494" t="s">
        <v>356</v>
      </c>
      <c r="C107" s="488"/>
      <c r="D107" s="488"/>
      <c r="E107" s="489"/>
      <c r="F107" s="489"/>
    </row>
    <row r="108" spans="1:6" ht="12" customHeight="1">
      <c r="A108" s="495" t="s">
        <v>350</v>
      </c>
      <c r="B108" s="492" t="s">
        <v>357</v>
      </c>
      <c r="C108" s="488"/>
      <c r="D108" s="488"/>
      <c r="E108" s="489"/>
      <c r="F108" s="489"/>
    </row>
    <row r="109" spans="1:6" ht="12" customHeight="1">
      <c r="A109" s="455" t="s">
        <v>438</v>
      </c>
      <c r="B109" s="492" t="s">
        <v>358</v>
      </c>
      <c r="C109" s="488"/>
      <c r="D109" s="488"/>
      <c r="E109" s="489"/>
      <c r="F109" s="489"/>
    </row>
    <row r="110" spans="1:6" ht="12" customHeight="1">
      <c r="A110" s="459" t="s">
        <v>439</v>
      </c>
      <c r="B110" s="492" t="s">
        <v>359</v>
      </c>
      <c r="C110" s="488">
        <v>35534650</v>
      </c>
      <c r="D110" s="488">
        <v>39163061</v>
      </c>
      <c r="E110" s="489">
        <v>12340000</v>
      </c>
      <c r="F110" s="489">
        <f>12340000+1200000+30000</f>
        <v>13570000</v>
      </c>
    </row>
    <row r="111" spans="1:6" ht="12" customHeight="1">
      <c r="A111" s="455" t="s">
        <v>443</v>
      </c>
      <c r="B111" s="490" t="s">
        <v>47</v>
      </c>
      <c r="C111" s="486"/>
      <c r="D111" s="486"/>
      <c r="E111" s="487">
        <f>E112+E113</f>
        <v>32761625</v>
      </c>
      <c r="F111" s="487">
        <f>F112+F113</f>
        <v>40616483</v>
      </c>
    </row>
    <row r="112" spans="1:6" ht="12" customHeight="1">
      <c r="A112" s="455" t="s">
        <v>444</v>
      </c>
      <c r="B112" s="485" t="s">
        <v>446</v>
      </c>
      <c r="C112" s="486"/>
      <c r="D112" s="486"/>
      <c r="E112" s="487">
        <v>8430181</v>
      </c>
      <c r="F112" s="487">
        <f>8430181+279623+12501681+6400+100000+30000+50000+458216-15091-37800+24000-1718911+467685-1200000-150000-30000-20000-950000-1575000-5-1094837+694424-39622+954162-249000-611067-20000</f>
        <v>16285039</v>
      </c>
    </row>
    <row r="113" spans="1:6" ht="12" customHeight="1" thickBot="1">
      <c r="A113" s="496" t="s">
        <v>445</v>
      </c>
      <c r="B113" s="497" t="s">
        <v>447</v>
      </c>
      <c r="C113" s="498"/>
      <c r="D113" s="498"/>
      <c r="E113" s="499">
        <v>24331444</v>
      </c>
      <c r="F113" s="499">
        <v>24331444</v>
      </c>
    </row>
    <row r="114" spans="1:6" ht="12" customHeight="1" thickBot="1">
      <c r="A114" s="500" t="s">
        <v>17</v>
      </c>
      <c r="B114" s="501" t="s">
        <v>725</v>
      </c>
      <c r="C114" s="502">
        <f>+C115+C117+C119</f>
        <v>270054110</v>
      </c>
      <c r="D114" s="502">
        <f>+D115+D117+D119</f>
        <v>53756190</v>
      </c>
      <c r="E114" s="503">
        <f>+E115+E117+E119</f>
        <v>119994133</v>
      </c>
      <c r="F114" s="503">
        <f>+F115+F117+F119</f>
        <v>128160997</v>
      </c>
    </row>
    <row r="115" spans="1:6" ht="12" customHeight="1">
      <c r="A115" s="452" t="s">
        <v>101</v>
      </c>
      <c r="B115" s="485" t="s">
        <v>219</v>
      </c>
      <c r="C115" s="504">
        <v>265506147</v>
      </c>
      <c r="D115" s="504">
        <v>41989731</v>
      </c>
      <c r="E115" s="505">
        <v>73674349</v>
      </c>
      <c r="F115" s="505">
        <f>73674349+4997450+37800+950000+5+606609+8381999</f>
        <v>88648212</v>
      </c>
    </row>
    <row r="116" spans="1:6">
      <c r="A116" s="452" t="s">
        <v>102</v>
      </c>
      <c r="B116" s="506" t="s">
        <v>363</v>
      </c>
      <c r="C116" s="504"/>
      <c r="D116" s="504"/>
      <c r="E116" s="505"/>
      <c r="F116" s="505"/>
    </row>
    <row r="117" spans="1:6" ht="12" customHeight="1">
      <c r="A117" s="452" t="s">
        <v>103</v>
      </c>
      <c r="B117" s="506" t="s">
        <v>178</v>
      </c>
      <c r="C117" s="486">
        <v>3331713</v>
      </c>
      <c r="D117" s="486">
        <v>5850626</v>
      </c>
      <c r="E117" s="487">
        <v>44319784</v>
      </c>
      <c r="F117" s="487">
        <f>44319784+1575000-8381999</f>
        <v>37512785</v>
      </c>
    </row>
    <row r="118" spans="1:6" ht="12" customHeight="1">
      <c r="A118" s="452" t="s">
        <v>104</v>
      </c>
      <c r="B118" s="506" t="s">
        <v>364</v>
      </c>
      <c r="C118" s="486"/>
      <c r="D118" s="486"/>
      <c r="E118" s="507"/>
      <c r="F118" s="507"/>
    </row>
    <row r="119" spans="1:6" ht="12" customHeight="1">
      <c r="A119" s="452" t="s">
        <v>105</v>
      </c>
      <c r="B119" s="460" t="s">
        <v>222</v>
      </c>
      <c r="C119" s="507">
        <f>C120+C121+C122+C123+C124+C125+C126+C127</f>
        <v>1216250</v>
      </c>
      <c r="D119" s="507">
        <f>D120+D121+D122+D123+D124+D125+D126+D127</f>
        <v>5915833</v>
      </c>
      <c r="E119" s="507">
        <f>E120+E121+E122+E123+E124+E125+E126+E127</f>
        <v>2000000</v>
      </c>
      <c r="F119" s="507">
        <f>F120+F121+F122+F123+F124+F125+F126+F127</f>
        <v>2000000</v>
      </c>
    </row>
    <row r="120" spans="1:6" ht="12" customHeight="1">
      <c r="A120" s="452" t="s">
        <v>114</v>
      </c>
      <c r="B120" s="458" t="s">
        <v>426</v>
      </c>
      <c r="C120" s="486"/>
      <c r="D120" s="486"/>
      <c r="E120" s="507"/>
      <c r="F120" s="507"/>
    </row>
    <row r="121" spans="1:6" ht="12" customHeight="1">
      <c r="A121" s="452" t="s">
        <v>116</v>
      </c>
      <c r="B121" s="508" t="s">
        <v>369</v>
      </c>
      <c r="C121" s="486"/>
      <c r="D121" s="486"/>
      <c r="E121" s="507"/>
      <c r="F121" s="507"/>
    </row>
    <row r="122" spans="1:6" ht="12" customHeight="1">
      <c r="A122" s="452" t="s">
        <v>179</v>
      </c>
      <c r="B122" s="494" t="s">
        <v>353</v>
      </c>
      <c r="C122" s="486"/>
      <c r="D122" s="486"/>
      <c r="E122" s="507"/>
      <c r="F122" s="507"/>
    </row>
    <row r="123" spans="1:6" ht="12" customHeight="1">
      <c r="A123" s="452" t="s">
        <v>180</v>
      </c>
      <c r="B123" s="494" t="s">
        <v>368</v>
      </c>
      <c r="C123" s="486"/>
      <c r="D123" s="486"/>
      <c r="E123" s="507"/>
      <c r="F123" s="507"/>
    </row>
    <row r="124" spans="1:6" ht="12" customHeight="1">
      <c r="A124" s="452" t="s">
        <v>181</v>
      </c>
      <c r="B124" s="494" t="s">
        <v>367</v>
      </c>
      <c r="C124" s="486"/>
      <c r="D124" s="486"/>
      <c r="E124" s="507"/>
      <c r="F124" s="507"/>
    </row>
    <row r="125" spans="1:6" ht="12" customHeight="1">
      <c r="A125" s="452" t="s">
        <v>360</v>
      </c>
      <c r="B125" s="494" t="s">
        <v>356</v>
      </c>
      <c r="C125" s="486"/>
      <c r="D125" s="486"/>
      <c r="E125" s="507"/>
      <c r="F125" s="507"/>
    </row>
    <row r="126" spans="1:6" ht="12" customHeight="1">
      <c r="A126" s="452" t="s">
        <v>361</v>
      </c>
      <c r="B126" s="494" t="s">
        <v>366</v>
      </c>
      <c r="C126" s="486"/>
      <c r="D126" s="486">
        <v>400000</v>
      </c>
      <c r="E126" s="507">
        <v>2000000</v>
      </c>
      <c r="F126" s="507">
        <v>2000000</v>
      </c>
    </row>
    <row r="127" spans="1:6" ht="12" customHeight="1" thickBot="1">
      <c r="A127" s="495" t="s">
        <v>362</v>
      </c>
      <c r="B127" s="494" t="s">
        <v>365</v>
      </c>
      <c r="C127" s="488">
        <v>1216250</v>
      </c>
      <c r="D127" s="488">
        <v>5515833</v>
      </c>
      <c r="E127" s="509"/>
      <c r="F127" s="509"/>
    </row>
    <row r="128" spans="1:6" ht="12" customHeight="1" thickBot="1">
      <c r="A128" s="448" t="s">
        <v>18</v>
      </c>
      <c r="B128" s="510" t="s">
        <v>448</v>
      </c>
      <c r="C128" s="511">
        <f>+C93+C114</f>
        <v>677872606</v>
      </c>
      <c r="D128" s="511">
        <f>+D93+D114</f>
        <v>412278165</v>
      </c>
      <c r="E128" s="512">
        <f>+E93+E114</f>
        <v>558306007</v>
      </c>
      <c r="F128" s="512">
        <f>+F93+F114</f>
        <v>580325162</v>
      </c>
    </row>
    <row r="129" spans="1:6" ht="12" customHeight="1" thickBot="1">
      <c r="A129" s="448" t="s">
        <v>19</v>
      </c>
      <c r="B129" s="510" t="s">
        <v>449</v>
      </c>
      <c r="C129" s="511">
        <f>+C130+C131+C132</f>
        <v>0</v>
      </c>
      <c r="D129" s="511">
        <f>+D130+D131+D132</f>
        <v>0</v>
      </c>
      <c r="E129" s="512">
        <f>+E130+E131+E132</f>
        <v>0</v>
      </c>
      <c r="F129" s="512">
        <f>+F130+F131+F132</f>
        <v>0</v>
      </c>
    </row>
    <row r="130" spans="1:6" ht="12" customHeight="1">
      <c r="A130" s="452" t="s">
        <v>261</v>
      </c>
      <c r="B130" s="506" t="s">
        <v>456</v>
      </c>
      <c r="C130" s="486"/>
      <c r="D130" s="486"/>
      <c r="E130" s="507"/>
      <c r="F130" s="507"/>
    </row>
    <row r="131" spans="1:6" ht="12" customHeight="1">
      <c r="A131" s="452" t="s">
        <v>264</v>
      </c>
      <c r="B131" s="506" t="s">
        <v>457</v>
      </c>
      <c r="C131" s="486"/>
      <c r="D131" s="486"/>
      <c r="E131" s="507"/>
      <c r="F131" s="507"/>
    </row>
    <row r="132" spans="1:6" ht="12" customHeight="1" thickBot="1">
      <c r="A132" s="495" t="s">
        <v>265</v>
      </c>
      <c r="B132" s="506" t="s">
        <v>458</v>
      </c>
      <c r="C132" s="486"/>
      <c r="D132" s="486"/>
      <c r="E132" s="507"/>
      <c r="F132" s="507"/>
    </row>
    <row r="133" spans="1:6" ht="12" customHeight="1" thickBot="1">
      <c r="A133" s="448" t="s">
        <v>20</v>
      </c>
      <c r="B133" s="510" t="s">
        <v>450</v>
      </c>
      <c r="C133" s="511">
        <f>SUM(C134:C139)</f>
        <v>0</v>
      </c>
      <c r="D133" s="511">
        <f>SUM(D134:D139)</f>
        <v>0</v>
      </c>
      <c r="E133" s="512">
        <f>SUM(E134:E139)</f>
        <v>0</v>
      </c>
      <c r="F133" s="512">
        <f>SUM(F134:F139)</f>
        <v>0</v>
      </c>
    </row>
    <row r="134" spans="1:6" ht="12" customHeight="1">
      <c r="A134" s="452" t="s">
        <v>88</v>
      </c>
      <c r="B134" s="513" t="s">
        <v>459</v>
      </c>
      <c r="C134" s="486"/>
      <c r="D134" s="486"/>
      <c r="E134" s="507"/>
      <c r="F134" s="507"/>
    </row>
    <row r="135" spans="1:6" ht="12" customHeight="1">
      <c r="A135" s="452" t="s">
        <v>89</v>
      </c>
      <c r="B135" s="513" t="s">
        <v>451</v>
      </c>
      <c r="C135" s="486"/>
      <c r="D135" s="486"/>
      <c r="E135" s="507"/>
      <c r="F135" s="507"/>
    </row>
    <row r="136" spans="1:6" ht="12" customHeight="1">
      <c r="A136" s="452" t="s">
        <v>90</v>
      </c>
      <c r="B136" s="513" t="s">
        <v>452</v>
      </c>
      <c r="C136" s="486"/>
      <c r="D136" s="486"/>
      <c r="E136" s="507"/>
      <c r="F136" s="507"/>
    </row>
    <row r="137" spans="1:6" ht="12" customHeight="1">
      <c r="A137" s="452" t="s">
        <v>166</v>
      </c>
      <c r="B137" s="513" t="s">
        <v>453</v>
      </c>
      <c r="C137" s="486"/>
      <c r="D137" s="486"/>
      <c r="E137" s="507"/>
      <c r="F137" s="507"/>
    </row>
    <row r="138" spans="1:6" ht="12" customHeight="1">
      <c r="A138" s="452" t="s">
        <v>167</v>
      </c>
      <c r="B138" s="513" t="s">
        <v>454</v>
      </c>
      <c r="C138" s="486"/>
      <c r="D138" s="486"/>
      <c r="E138" s="507"/>
      <c r="F138" s="507"/>
    </row>
    <row r="139" spans="1:6" ht="12" customHeight="1" thickBot="1">
      <c r="A139" s="495" t="s">
        <v>168</v>
      </c>
      <c r="B139" s="513" t="s">
        <v>455</v>
      </c>
      <c r="C139" s="486"/>
      <c r="D139" s="486"/>
      <c r="E139" s="507"/>
      <c r="F139" s="507"/>
    </row>
    <row r="140" spans="1:6" ht="12" customHeight="1" thickBot="1">
      <c r="A140" s="448" t="s">
        <v>21</v>
      </c>
      <c r="B140" s="510" t="s">
        <v>463</v>
      </c>
      <c r="C140" s="514">
        <f>+C141+C142+C143+C144</f>
        <v>37463732</v>
      </c>
      <c r="D140" s="514">
        <f>+D141+D142+D143+D144</f>
        <v>8111444</v>
      </c>
      <c r="E140" s="515">
        <f>+E141+E142+E143+E144</f>
        <v>7777206</v>
      </c>
      <c r="F140" s="515">
        <f>+F141+F142+F143+F144</f>
        <v>7777206</v>
      </c>
    </row>
    <row r="141" spans="1:6" ht="12" customHeight="1">
      <c r="A141" s="452" t="s">
        <v>91</v>
      </c>
      <c r="B141" s="513" t="s">
        <v>370</v>
      </c>
      <c r="C141" s="486"/>
      <c r="D141" s="486"/>
      <c r="E141" s="507"/>
      <c r="F141" s="507"/>
    </row>
    <row r="142" spans="1:6" ht="12" customHeight="1">
      <c r="A142" s="452" t="s">
        <v>92</v>
      </c>
      <c r="B142" s="513" t="s">
        <v>371</v>
      </c>
      <c r="C142" s="486">
        <v>7463732</v>
      </c>
      <c r="D142" s="486">
        <v>8111444</v>
      </c>
      <c r="E142" s="507">
        <v>7777206</v>
      </c>
      <c r="F142" s="507">
        <v>7777206</v>
      </c>
    </row>
    <row r="143" spans="1:6" ht="12" customHeight="1">
      <c r="A143" s="452" t="s">
        <v>285</v>
      </c>
      <c r="B143" s="513" t="s">
        <v>464</v>
      </c>
      <c r="C143" s="486">
        <v>30000000</v>
      </c>
      <c r="D143" s="486"/>
      <c r="E143" s="507"/>
      <c r="F143" s="507"/>
    </row>
    <row r="144" spans="1:6" ht="12" customHeight="1" thickBot="1">
      <c r="A144" s="495" t="s">
        <v>286</v>
      </c>
      <c r="B144" s="516" t="s">
        <v>390</v>
      </c>
      <c r="C144" s="486"/>
      <c r="D144" s="486"/>
      <c r="E144" s="507"/>
      <c r="F144" s="507"/>
    </row>
    <row r="145" spans="1:6" ht="12" customHeight="1" thickBot="1">
      <c r="A145" s="448" t="s">
        <v>22</v>
      </c>
      <c r="B145" s="510" t="s">
        <v>465</v>
      </c>
      <c r="C145" s="517">
        <f>SUM(C146:C150)</f>
        <v>0</v>
      </c>
      <c r="D145" s="517">
        <f>SUM(D146:D150)</f>
        <v>0</v>
      </c>
      <c r="E145" s="518">
        <f>SUM(E146:E150)</f>
        <v>0</v>
      </c>
      <c r="F145" s="518">
        <f>SUM(F146:F150)</f>
        <v>0</v>
      </c>
    </row>
    <row r="146" spans="1:6" ht="12" customHeight="1">
      <c r="A146" s="452" t="s">
        <v>93</v>
      </c>
      <c r="B146" s="513" t="s">
        <v>460</v>
      </c>
      <c r="C146" s="486"/>
      <c r="D146" s="486"/>
      <c r="E146" s="507"/>
      <c r="F146" s="507"/>
    </row>
    <row r="147" spans="1:6" ht="12" customHeight="1">
      <c r="A147" s="452" t="s">
        <v>94</v>
      </c>
      <c r="B147" s="513" t="s">
        <v>467</v>
      </c>
      <c r="C147" s="486"/>
      <c r="D147" s="486"/>
      <c r="E147" s="507"/>
      <c r="F147" s="507"/>
    </row>
    <row r="148" spans="1:6" ht="12" customHeight="1">
      <c r="A148" s="452" t="s">
        <v>297</v>
      </c>
      <c r="B148" s="513" t="s">
        <v>462</v>
      </c>
      <c r="C148" s="486"/>
      <c r="D148" s="486"/>
      <c r="E148" s="507"/>
      <c r="F148" s="507"/>
    </row>
    <row r="149" spans="1:6" ht="12" customHeight="1">
      <c r="A149" s="452" t="s">
        <v>298</v>
      </c>
      <c r="B149" s="513" t="s">
        <v>468</v>
      </c>
      <c r="C149" s="486"/>
      <c r="D149" s="486"/>
      <c r="E149" s="507"/>
      <c r="F149" s="507"/>
    </row>
    <row r="150" spans="1:6" ht="12" customHeight="1" thickBot="1">
      <c r="A150" s="452" t="s">
        <v>466</v>
      </c>
      <c r="B150" s="513" t="s">
        <v>469</v>
      </c>
      <c r="C150" s="486"/>
      <c r="D150" s="486"/>
      <c r="E150" s="507"/>
      <c r="F150" s="507"/>
    </row>
    <row r="151" spans="1:6" ht="12" customHeight="1" thickBot="1">
      <c r="A151" s="448" t="s">
        <v>23</v>
      </c>
      <c r="B151" s="510" t="s">
        <v>470</v>
      </c>
      <c r="C151" s="519"/>
      <c r="D151" s="519"/>
      <c r="E151" s="520"/>
      <c r="F151" s="520"/>
    </row>
    <row r="152" spans="1:6" ht="12" customHeight="1" thickBot="1">
      <c r="A152" s="448" t="s">
        <v>24</v>
      </c>
      <c r="B152" s="510" t="s">
        <v>585</v>
      </c>
      <c r="C152" s="519">
        <v>116331519</v>
      </c>
      <c r="D152" s="519">
        <v>136629973</v>
      </c>
      <c r="E152" s="520">
        <v>159064986</v>
      </c>
      <c r="F152" s="520">
        <f>159064986+1094837</f>
        <v>160159823</v>
      </c>
    </row>
    <row r="153" spans="1:6" ht="15" customHeight="1" thickBot="1">
      <c r="A153" s="448" t="s">
        <v>25</v>
      </c>
      <c r="B153" s="510" t="s">
        <v>473</v>
      </c>
      <c r="C153" s="521">
        <f>+C129+C133+C140+C145+C151+C152</f>
        <v>153795251</v>
      </c>
      <c r="D153" s="521">
        <f>+D129+D133+D140+D145+D151+D152</f>
        <v>144741417</v>
      </c>
      <c r="E153" s="522">
        <f>+E129+E133+E140+E145+E151+E152</f>
        <v>166842192</v>
      </c>
      <c r="F153" s="522">
        <f>+F129+F133+F140+F145+F151+F152</f>
        <v>167937029</v>
      </c>
    </row>
    <row r="154" spans="1:6" ht="15" customHeight="1" thickBot="1">
      <c r="A154" s="500" t="s">
        <v>26</v>
      </c>
      <c r="B154" s="523" t="s">
        <v>560</v>
      </c>
      <c r="C154" s="521"/>
      <c r="D154" s="521"/>
      <c r="E154" s="522"/>
      <c r="F154" s="522"/>
    </row>
    <row r="155" spans="1:6" s="447" customFormat="1" ht="12.95" customHeight="1" thickBot="1">
      <c r="A155" s="524" t="s">
        <v>27</v>
      </c>
      <c r="B155" s="525" t="s">
        <v>472</v>
      </c>
      <c r="C155" s="521">
        <f>+C128+C153+C154</f>
        <v>831667857</v>
      </c>
      <c r="D155" s="521">
        <f>+D128+D153+D154</f>
        <v>557019582</v>
      </c>
      <c r="E155" s="521">
        <f>+E128+E153+E154</f>
        <v>725148199</v>
      </c>
      <c r="F155" s="521">
        <f>+F128+F153+F154</f>
        <v>748262191</v>
      </c>
    </row>
    <row r="156" spans="1:6">
      <c r="C156" s="440"/>
    </row>
    <row r="157" spans="1:6">
      <c r="C157" s="440"/>
    </row>
    <row r="158" spans="1:6">
      <c r="C158" s="440"/>
    </row>
    <row r="159" spans="1:6" ht="16.5" customHeight="1">
      <c r="C159" s="440"/>
    </row>
    <row r="160" spans="1:6">
      <c r="C160" s="440"/>
    </row>
    <row r="161" spans="3:3">
      <c r="C161" s="440"/>
    </row>
    <row r="162" spans="3:3">
      <c r="C162" s="440"/>
    </row>
    <row r="163" spans="3:3">
      <c r="C163" s="440"/>
    </row>
    <row r="164" spans="3:3">
      <c r="C164" s="440"/>
    </row>
    <row r="165" spans="3:3">
      <c r="C165" s="440"/>
    </row>
    <row r="166" spans="3:3">
      <c r="C166" s="440"/>
    </row>
    <row r="167" spans="3:3">
      <c r="C167" s="440"/>
    </row>
    <row r="168" spans="3:3">
      <c r="C168" s="440"/>
    </row>
  </sheetData>
  <mergeCells count="4">
    <mergeCell ref="A1:E1"/>
    <mergeCell ref="A89:E89"/>
    <mergeCell ref="A90:B90"/>
    <mergeCell ref="A2:B2"/>
  </mergeCells>
  <phoneticPr fontId="6" type="noConversion"/>
  <printOptions horizontalCentered="1"/>
  <pageMargins left="0.78740157480314965" right="0.78740157480314965" top="1.4566929133858268" bottom="0.87" header="0.78740157480314965" footer="0.57999999999999996"/>
  <pageSetup paperSize="9" scale="60" fitToWidth="3" fitToHeight="2" orientation="portrait" r:id="rId1"/>
  <headerFooter alignWithMargins="0">
    <oddHeader>&amp;C&amp;"Times New Roman CE,Félkövér"&amp;12&amp;UTájékoztató kimutatások, mérlegek&amp;U
Vonyarcvashegy Nagyközség Önkormányzata
2017. ÉVI KÖLTSÉGVETÉSÉNEK MÉRLEGE&amp;R&amp;"Times New Roman CE,Félkövér dőlt"&amp;11 1. számú tájékoztató tábla a 7/2017. (V.26.) önkormányzati rendelet</oddHeader>
    <oddFooter>&amp;P. oldal, összesen: &amp;N</oddFooter>
  </headerFooter>
  <rowBreaks count="1" manualBreakCount="1">
    <brk id="88" max="8" man="1"/>
  </rowBreaks>
</worksheet>
</file>

<file path=xl/worksheets/sheet29.xml><?xml version="1.0" encoding="utf-8"?>
<worksheet xmlns="http://schemas.openxmlformats.org/spreadsheetml/2006/main" xmlns:r="http://schemas.openxmlformats.org/officeDocument/2006/relationships">
  <sheetPr codeName="Munka29">
    <tabColor rgb="FFFFFF00"/>
  </sheetPr>
  <dimension ref="A1:I18"/>
  <sheetViews>
    <sheetView view="pageLayout" zoomScaleNormal="100" workbookViewId="0">
      <selection activeCell="G8" sqref="G8"/>
    </sheetView>
  </sheetViews>
  <sheetFormatPr defaultRowHeight="12.75"/>
  <cols>
    <col min="1" max="1" width="6.83203125" style="396" customWidth="1"/>
    <col min="2" max="2" width="49.6640625" style="397" customWidth="1"/>
    <col min="3" max="3" width="12.83203125" style="397" customWidth="1"/>
    <col min="4" max="4" width="13.33203125" style="397" bestFit="1" customWidth="1"/>
    <col min="5" max="8" width="12.83203125" style="397" customWidth="1"/>
    <col min="9" max="9" width="14.33203125" style="397" customWidth="1"/>
    <col min="10" max="16384" width="9.33203125" style="397"/>
  </cols>
  <sheetData>
    <row r="1" spans="1:9" ht="27.75" customHeight="1">
      <c r="A1" s="741" t="s">
        <v>4</v>
      </c>
      <c r="B1" s="741"/>
      <c r="C1" s="741"/>
      <c r="D1" s="741"/>
      <c r="E1" s="741"/>
      <c r="F1" s="741"/>
      <c r="G1" s="741"/>
      <c r="H1" s="741"/>
      <c r="I1" s="741"/>
    </row>
    <row r="2" spans="1:9" ht="20.25" customHeight="1" thickBot="1">
      <c r="I2" s="559" t="s">
        <v>597</v>
      </c>
    </row>
    <row r="3" spans="1:9" s="560" customFormat="1" ht="26.25" customHeight="1">
      <c r="A3" s="694" t="s">
        <v>66</v>
      </c>
      <c r="B3" s="744" t="s">
        <v>82</v>
      </c>
      <c r="C3" s="694" t="s">
        <v>83</v>
      </c>
      <c r="D3" s="694" t="s">
        <v>625</v>
      </c>
      <c r="E3" s="746" t="s">
        <v>65</v>
      </c>
      <c r="F3" s="747"/>
      <c r="G3" s="747"/>
      <c r="H3" s="748"/>
      <c r="I3" s="744" t="s">
        <v>48</v>
      </c>
    </row>
    <row r="4" spans="1:9" s="563" customFormat="1" ht="32.25" customHeight="1" thickBot="1">
      <c r="A4" s="695"/>
      <c r="B4" s="745"/>
      <c r="C4" s="745"/>
      <c r="D4" s="695"/>
      <c r="E4" s="561" t="s">
        <v>626</v>
      </c>
      <c r="F4" s="561" t="s">
        <v>605</v>
      </c>
      <c r="G4" s="561" t="s">
        <v>606</v>
      </c>
      <c r="H4" s="562" t="s">
        <v>627</v>
      </c>
      <c r="I4" s="745"/>
    </row>
    <row r="5" spans="1:9" s="567" customFormat="1" ht="12.95" customHeight="1" thickBot="1">
      <c r="A5" s="564" t="s">
        <v>487</v>
      </c>
      <c r="B5" s="272" t="s">
        <v>488</v>
      </c>
      <c r="C5" s="565" t="s">
        <v>489</v>
      </c>
      <c r="D5" s="272" t="s">
        <v>491</v>
      </c>
      <c r="E5" s="564" t="s">
        <v>490</v>
      </c>
      <c r="F5" s="565" t="s">
        <v>492</v>
      </c>
      <c r="G5" s="565" t="s">
        <v>494</v>
      </c>
      <c r="H5" s="275" t="s">
        <v>495</v>
      </c>
      <c r="I5" s="566" t="s">
        <v>496</v>
      </c>
    </row>
    <row r="6" spans="1:9" ht="24.75" customHeight="1" thickBot="1">
      <c r="A6" s="273" t="s">
        <v>16</v>
      </c>
      <c r="B6" s="568" t="s">
        <v>5</v>
      </c>
      <c r="C6" s="569"/>
      <c r="D6" s="570">
        <f>+D7+D8</f>
        <v>0</v>
      </c>
      <c r="E6" s="571">
        <f>+E7+E8</f>
        <v>0</v>
      </c>
      <c r="F6" s="572">
        <f>+F7+F8</f>
        <v>0</v>
      </c>
      <c r="G6" s="572">
        <f>+G7+G8</f>
        <v>0</v>
      </c>
      <c r="H6" s="573">
        <f>+H7+H8</f>
        <v>0</v>
      </c>
      <c r="I6" s="570">
        <f t="shared" ref="I6:I17" si="0">SUM(D6:H6)</f>
        <v>0</v>
      </c>
    </row>
    <row r="7" spans="1:9" ht="20.100000000000001" customHeight="1">
      <c r="A7" s="574" t="s">
        <v>17</v>
      </c>
      <c r="B7" s="575" t="s">
        <v>67</v>
      </c>
      <c r="C7" s="424"/>
      <c r="D7" s="576"/>
      <c r="E7" s="577"/>
      <c r="F7" s="578"/>
      <c r="G7" s="578"/>
      <c r="H7" s="579"/>
      <c r="I7" s="580">
        <f t="shared" si="0"/>
        <v>0</v>
      </c>
    </row>
    <row r="8" spans="1:9" ht="20.100000000000001" customHeight="1" thickBot="1">
      <c r="A8" s="574" t="s">
        <v>18</v>
      </c>
      <c r="B8" s="575" t="s">
        <v>67</v>
      </c>
      <c r="C8" s="424"/>
      <c r="D8" s="576"/>
      <c r="E8" s="577"/>
      <c r="F8" s="578"/>
      <c r="G8" s="578"/>
      <c r="H8" s="579"/>
      <c r="I8" s="580">
        <f t="shared" si="0"/>
        <v>0</v>
      </c>
    </row>
    <row r="9" spans="1:9" ht="26.1" customHeight="1" thickBot="1">
      <c r="A9" s="273" t="s">
        <v>19</v>
      </c>
      <c r="B9" s="568" t="s">
        <v>6</v>
      </c>
      <c r="C9" s="581"/>
      <c r="D9" s="570">
        <f>+D10+D11</f>
        <v>0</v>
      </c>
      <c r="E9" s="571">
        <f>+E10+E11</f>
        <v>0</v>
      </c>
      <c r="F9" s="572">
        <f>+F10+F11</f>
        <v>0</v>
      </c>
      <c r="G9" s="572">
        <f>+G10+G11</f>
        <v>0</v>
      </c>
      <c r="H9" s="573">
        <f>+H10+H11</f>
        <v>0</v>
      </c>
      <c r="I9" s="570">
        <f t="shared" si="0"/>
        <v>0</v>
      </c>
    </row>
    <row r="10" spans="1:9" ht="20.100000000000001" customHeight="1">
      <c r="A10" s="574" t="s">
        <v>20</v>
      </c>
      <c r="B10" s="575" t="s">
        <v>67</v>
      </c>
      <c r="C10" s="424"/>
      <c r="D10" s="576"/>
      <c r="E10" s="577"/>
      <c r="F10" s="578"/>
      <c r="G10" s="578"/>
      <c r="H10" s="579"/>
      <c r="I10" s="580">
        <f t="shared" si="0"/>
        <v>0</v>
      </c>
    </row>
    <row r="11" spans="1:9" ht="20.100000000000001" customHeight="1" thickBot="1">
      <c r="A11" s="574" t="s">
        <v>21</v>
      </c>
      <c r="B11" s="575" t="s">
        <v>67</v>
      </c>
      <c r="C11" s="424"/>
      <c r="D11" s="576"/>
      <c r="E11" s="577"/>
      <c r="F11" s="578"/>
      <c r="G11" s="578"/>
      <c r="H11" s="579"/>
      <c r="I11" s="580">
        <f t="shared" si="0"/>
        <v>0</v>
      </c>
    </row>
    <row r="12" spans="1:9" ht="20.100000000000001" customHeight="1" thickBot="1">
      <c r="A12" s="273" t="s">
        <v>22</v>
      </c>
      <c r="B12" s="568" t="s">
        <v>197</v>
      </c>
      <c r="C12" s="581"/>
      <c r="D12" s="570">
        <f>+D13</f>
        <v>0</v>
      </c>
      <c r="E12" s="571">
        <f>+E13</f>
        <v>0</v>
      </c>
      <c r="F12" s="572">
        <f>+F13</f>
        <v>0</v>
      </c>
      <c r="G12" s="572">
        <f>+G13</f>
        <v>0</v>
      </c>
      <c r="H12" s="573">
        <f>+H13</f>
        <v>0</v>
      </c>
      <c r="I12" s="570">
        <f t="shared" si="0"/>
        <v>0</v>
      </c>
    </row>
    <row r="13" spans="1:9" ht="20.100000000000001" customHeight="1" thickBot="1">
      <c r="A13" s="574" t="s">
        <v>23</v>
      </c>
      <c r="B13" s="575" t="s">
        <v>67</v>
      </c>
      <c r="C13" s="424"/>
      <c r="D13" s="576"/>
      <c r="E13" s="577"/>
      <c r="F13" s="578"/>
      <c r="G13" s="578"/>
      <c r="H13" s="579"/>
      <c r="I13" s="580">
        <f t="shared" si="0"/>
        <v>0</v>
      </c>
    </row>
    <row r="14" spans="1:9" ht="20.100000000000001" customHeight="1" thickBot="1">
      <c r="A14" s="273" t="s">
        <v>24</v>
      </c>
      <c r="B14" s="568" t="s">
        <v>198</v>
      </c>
      <c r="C14" s="581"/>
      <c r="D14" s="570">
        <f>+D15</f>
        <v>0</v>
      </c>
      <c r="E14" s="571">
        <f>+E15</f>
        <v>0</v>
      </c>
      <c r="F14" s="572">
        <f>+F15</f>
        <v>0</v>
      </c>
      <c r="G14" s="572">
        <f>+G15</f>
        <v>0</v>
      </c>
      <c r="H14" s="573">
        <f>+H15</f>
        <v>0</v>
      </c>
      <c r="I14" s="570">
        <f t="shared" si="0"/>
        <v>0</v>
      </c>
    </row>
    <row r="15" spans="1:9" ht="20.100000000000001" customHeight="1" thickBot="1">
      <c r="A15" s="582" t="s">
        <v>25</v>
      </c>
      <c r="B15" s="583" t="s">
        <v>67</v>
      </c>
      <c r="C15" s="432"/>
      <c r="D15" s="584"/>
      <c r="E15" s="585"/>
      <c r="F15" s="586"/>
      <c r="G15" s="586"/>
      <c r="H15" s="587"/>
      <c r="I15" s="588">
        <f t="shared" si="0"/>
        <v>0</v>
      </c>
    </row>
    <row r="16" spans="1:9" ht="20.100000000000001" customHeight="1" thickBot="1">
      <c r="A16" s="273" t="s">
        <v>26</v>
      </c>
      <c r="B16" s="568" t="s">
        <v>199</v>
      </c>
      <c r="C16" s="581"/>
      <c r="D16" s="570">
        <f>+D17</f>
        <v>0</v>
      </c>
      <c r="E16" s="571">
        <f>+E17</f>
        <v>0</v>
      </c>
      <c r="F16" s="572">
        <f>+F17</f>
        <v>0</v>
      </c>
      <c r="G16" s="572">
        <f>+G17</f>
        <v>0</v>
      </c>
      <c r="H16" s="573">
        <f>+H17</f>
        <v>0</v>
      </c>
      <c r="I16" s="570">
        <f t="shared" si="0"/>
        <v>0</v>
      </c>
    </row>
    <row r="17" spans="1:9" ht="20.100000000000001" customHeight="1" thickBot="1">
      <c r="A17" s="589" t="s">
        <v>27</v>
      </c>
      <c r="B17" s="590" t="s">
        <v>67</v>
      </c>
      <c r="C17" s="591"/>
      <c r="D17" s="592"/>
      <c r="E17" s="593"/>
      <c r="F17" s="594"/>
      <c r="G17" s="594"/>
      <c r="H17" s="595"/>
      <c r="I17" s="596">
        <f t="shared" si="0"/>
        <v>0</v>
      </c>
    </row>
    <row r="18" spans="1:9" ht="20.100000000000001" customHeight="1" thickBot="1">
      <c r="A18" s="742" t="s">
        <v>139</v>
      </c>
      <c r="B18" s="743"/>
      <c r="C18" s="597"/>
      <c r="D18" s="570">
        <f t="shared" ref="D18:I18" si="1">+D6+D9+D12+D14+D16</f>
        <v>0</v>
      </c>
      <c r="E18" s="571">
        <f t="shared" si="1"/>
        <v>0</v>
      </c>
      <c r="F18" s="572">
        <f t="shared" si="1"/>
        <v>0</v>
      </c>
      <c r="G18" s="572">
        <f t="shared" si="1"/>
        <v>0</v>
      </c>
      <c r="H18" s="573">
        <f t="shared" si="1"/>
        <v>0</v>
      </c>
      <c r="I18" s="570">
        <f t="shared" si="1"/>
        <v>0</v>
      </c>
    </row>
  </sheetData>
  <mergeCells count="8"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>
    <oddHeader>&amp;CVonyarcvashegy Nagyközség Önkormányzata
&amp;R 2. tájékoztató tábla a 7/2017. (V.26.) önkormányzati rendelethez</oddHeader>
    <oddFooter>&amp;P. oldal, összesen: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3">
    <tabColor rgb="FFFFC000"/>
  </sheetPr>
  <dimension ref="A1:E154"/>
  <sheetViews>
    <sheetView view="pageLayout" zoomScaleNormal="100" zoomScaleSheetLayoutView="100" workbookViewId="0">
      <selection activeCell="D29" sqref="D29"/>
    </sheetView>
  </sheetViews>
  <sheetFormatPr defaultRowHeight="12.75"/>
  <cols>
    <col min="1" max="1" width="7.1640625" style="195" bestFit="1" customWidth="1"/>
    <col min="2" max="2" width="67.1640625" style="196" bestFit="1" customWidth="1"/>
    <col min="3" max="3" width="21.33203125" style="197" bestFit="1" customWidth="1"/>
    <col min="4" max="4" width="21.33203125" style="197" customWidth="1"/>
    <col min="5" max="16384" width="9.33203125" style="198"/>
  </cols>
  <sheetData>
    <row r="1" spans="1:4" s="98" customFormat="1" ht="15.95" customHeight="1">
      <c r="A1" s="691" t="s">
        <v>590</v>
      </c>
      <c r="B1" s="691"/>
    </row>
    <row r="2" spans="1:4" s="98" customFormat="1" ht="15.95" customHeight="1" thickBot="1">
      <c r="A2" s="690" t="s">
        <v>144</v>
      </c>
      <c r="B2" s="690"/>
      <c r="C2" s="194" t="s">
        <v>597</v>
      </c>
      <c r="D2" s="194" t="s">
        <v>597</v>
      </c>
    </row>
    <row r="3" spans="1:4" s="98" customFormat="1" ht="38.1" customHeight="1" thickBot="1">
      <c r="A3" s="100" t="s">
        <v>66</v>
      </c>
      <c r="B3" s="101" t="s">
        <v>15</v>
      </c>
      <c r="C3" s="43" t="s">
        <v>613</v>
      </c>
      <c r="D3" s="43" t="s">
        <v>709</v>
      </c>
    </row>
    <row r="4" spans="1:4" s="105" customFormat="1" ht="12" customHeight="1" thickBot="1">
      <c r="A4" s="102" t="s">
        <v>487</v>
      </c>
      <c r="B4" s="103" t="s">
        <v>488</v>
      </c>
      <c r="C4" s="104" t="s">
        <v>489</v>
      </c>
      <c r="D4" s="104" t="s">
        <v>489</v>
      </c>
    </row>
    <row r="5" spans="1:4" s="109" customFormat="1" ht="12" customHeight="1" thickBot="1">
      <c r="A5" s="106" t="s">
        <v>16</v>
      </c>
      <c r="B5" s="107" t="s">
        <v>245</v>
      </c>
      <c r="C5" s="108">
        <f>+C6+C7+C8+C9+C10+C11</f>
        <v>0</v>
      </c>
      <c r="D5" s="108">
        <f>+D6+D7+D8+D9+D10+D11</f>
        <v>0</v>
      </c>
    </row>
    <row r="6" spans="1:4" s="109" customFormat="1" ht="12" customHeight="1">
      <c r="A6" s="110" t="s">
        <v>95</v>
      </c>
      <c r="B6" s="111" t="s">
        <v>246</v>
      </c>
      <c r="C6" s="112"/>
      <c r="D6" s="112"/>
    </row>
    <row r="7" spans="1:4" s="109" customFormat="1" ht="12" customHeight="1">
      <c r="A7" s="113" t="s">
        <v>96</v>
      </c>
      <c r="B7" s="114" t="s">
        <v>247</v>
      </c>
      <c r="C7" s="115"/>
      <c r="D7" s="115"/>
    </row>
    <row r="8" spans="1:4" s="109" customFormat="1" ht="12" customHeight="1">
      <c r="A8" s="113" t="s">
        <v>97</v>
      </c>
      <c r="B8" s="114" t="s">
        <v>248</v>
      </c>
      <c r="C8" s="115"/>
      <c r="D8" s="115"/>
    </row>
    <row r="9" spans="1:4" s="109" customFormat="1" ht="12" customHeight="1">
      <c r="A9" s="113" t="s">
        <v>98</v>
      </c>
      <c r="B9" s="114" t="s">
        <v>249</v>
      </c>
      <c r="C9" s="115"/>
      <c r="D9" s="115"/>
    </row>
    <row r="10" spans="1:4" s="109" customFormat="1" ht="12" customHeight="1">
      <c r="A10" s="113" t="s">
        <v>141</v>
      </c>
      <c r="B10" s="116" t="s">
        <v>430</v>
      </c>
      <c r="C10" s="115"/>
      <c r="D10" s="115"/>
    </row>
    <row r="11" spans="1:4" s="109" customFormat="1" ht="12" customHeight="1" thickBot="1">
      <c r="A11" s="117" t="s">
        <v>99</v>
      </c>
      <c r="B11" s="118" t="s">
        <v>431</v>
      </c>
      <c r="C11" s="115"/>
      <c r="D11" s="115"/>
    </row>
    <row r="12" spans="1:4" s="109" customFormat="1" ht="12" customHeight="1" thickBot="1">
      <c r="A12" s="106" t="s">
        <v>17</v>
      </c>
      <c r="B12" s="119" t="s">
        <v>250</v>
      </c>
      <c r="C12" s="108">
        <f>+C13+C14+C15+C16+C17</f>
        <v>966828</v>
      </c>
      <c r="D12" s="108">
        <f>+D13+D14+D15+D16+D17</f>
        <v>966828</v>
      </c>
    </row>
    <row r="13" spans="1:4" s="109" customFormat="1" ht="12" customHeight="1">
      <c r="A13" s="110" t="s">
        <v>101</v>
      </c>
      <c r="B13" s="111" t="s">
        <v>251</v>
      </c>
      <c r="C13" s="112"/>
      <c r="D13" s="112"/>
    </row>
    <row r="14" spans="1:4" s="109" customFormat="1" ht="12" customHeight="1">
      <c r="A14" s="113" t="s">
        <v>102</v>
      </c>
      <c r="B14" s="114" t="s">
        <v>252</v>
      </c>
      <c r="C14" s="115"/>
      <c r="D14" s="115"/>
    </row>
    <row r="15" spans="1:4" s="109" customFormat="1" ht="12" customHeight="1">
      <c r="A15" s="113" t="s">
        <v>103</v>
      </c>
      <c r="B15" s="114" t="s">
        <v>420</v>
      </c>
      <c r="C15" s="115"/>
      <c r="D15" s="115"/>
    </row>
    <row r="16" spans="1:4" s="109" customFormat="1" ht="12" customHeight="1">
      <c r="A16" s="113" t="s">
        <v>104</v>
      </c>
      <c r="B16" s="114" t="s">
        <v>421</v>
      </c>
      <c r="C16" s="115"/>
      <c r="D16" s="115"/>
    </row>
    <row r="17" spans="1:4" s="109" customFormat="1" ht="12" customHeight="1">
      <c r="A17" s="113" t="s">
        <v>105</v>
      </c>
      <c r="B17" s="114" t="s">
        <v>253</v>
      </c>
      <c r="C17" s="115">
        <f>966828</f>
        <v>966828</v>
      </c>
      <c r="D17" s="115">
        <f>966828</f>
        <v>966828</v>
      </c>
    </row>
    <row r="18" spans="1:4" s="109" customFormat="1" ht="12" customHeight="1" thickBot="1">
      <c r="A18" s="117" t="s">
        <v>114</v>
      </c>
      <c r="B18" s="118" t="s">
        <v>254</v>
      </c>
      <c r="C18" s="120"/>
      <c r="D18" s="120"/>
    </row>
    <row r="19" spans="1:4" s="109" customFormat="1" ht="12" customHeight="1" thickBot="1">
      <c r="A19" s="106" t="s">
        <v>18</v>
      </c>
      <c r="B19" s="107" t="s">
        <v>255</v>
      </c>
      <c r="C19" s="108">
        <f>+C20+C21+C22+C23+C24</f>
        <v>0</v>
      </c>
      <c r="D19" s="108">
        <f>+D20+D21+D22+D23+D24</f>
        <v>0</v>
      </c>
    </row>
    <row r="20" spans="1:4" s="109" customFormat="1" ht="12" customHeight="1">
      <c r="A20" s="110" t="s">
        <v>84</v>
      </c>
      <c r="B20" s="111" t="s">
        <v>256</v>
      </c>
      <c r="C20" s="112"/>
      <c r="D20" s="112"/>
    </row>
    <row r="21" spans="1:4" s="109" customFormat="1" ht="12" customHeight="1">
      <c r="A21" s="113" t="s">
        <v>85</v>
      </c>
      <c r="B21" s="114" t="s">
        <v>257</v>
      </c>
      <c r="C21" s="115"/>
      <c r="D21" s="115"/>
    </row>
    <row r="22" spans="1:4" s="109" customFormat="1" ht="12" customHeight="1">
      <c r="A22" s="113" t="s">
        <v>86</v>
      </c>
      <c r="B22" s="114" t="s">
        <v>422</v>
      </c>
      <c r="C22" s="115"/>
      <c r="D22" s="115"/>
    </row>
    <row r="23" spans="1:4" s="109" customFormat="1" ht="12" customHeight="1">
      <c r="A23" s="113" t="s">
        <v>87</v>
      </c>
      <c r="B23" s="114" t="s">
        <v>423</v>
      </c>
      <c r="C23" s="115"/>
      <c r="D23" s="115"/>
    </row>
    <row r="24" spans="1:4" s="109" customFormat="1" ht="12" customHeight="1">
      <c r="A24" s="113" t="s">
        <v>162</v>
      </c>
      <c r="B24" s="114" t="s">
        <v>258</v>
      </c>
      <c r="C24" s="115"/>
      <c r="D24" s="115"/>
    </row>
    <row r="25" spans="1:4" s="109" customFormat="1" ht="12" customHeight="1" thickBot="1">
      <c r="A25" s="117" t="s">
        <v>163</v>
      </c>
      <c r="B25" s="121" t="s">
        <v>259</v>
      </c>
      <c r="C25" s="120"/>
      <c r="D25" s="120"/>
    </row>
    <row r="26" spans="1:4" s="109" customFormat="1" ht="12" customHeight="1" thickBot="1">
      <c r="A26" s="106" t="s">
        <v>164</v>
      </c>
      <c r="B26" s="107" t="s">
        <v>260</v>
      </c>
      <c r="C26" s="122">
        <f>+C27+C31+C32+C33</f>
        <v>48982755</v>
      </c>
      <c r="D26" s="122">
        <f>+D27+D31+D32+D33</f>
        <v>57772002</v>
      </c>
    </row>
    <row r="27" spans="1:4" s="109" customFormat="1" ht="12" customHeight="1">
      <c r="A27" s="110" t="s">
        <v>261</v>
      </c>
      <c r="B27" s="187" t="s">
        <v>437</v>
      </c>
      <c r="C27" s="123">
        <f>C28+C29+C30</f>
        <v>48982755</v>
      </c>
      <c r="D27" s="123">
        <f>D28+D29+D30</f>
        <v>57772002</v>
      </c>
    </row>
    <row r="28" spans="1:4" s="109" customFormat="1" ht="12" customHeight="1">
      <c r="A28" s="113" t="s">
        <v>262</v>
      </c>
      <c r="B28" s="188" t="s">
        <v>630</v>
      </c>
      <c r="C28" s="115">
        <f>55400000-6417245</f>
        <v>48982755</v>
      </c>
      <c r="D28" s="115">
        <f>55400000-611067-20000</f>
        <v>54768933</v>
      </c>
    </row>
    <row r="29" spans="1:4" s="109" customFormat="1" ht="12" customHeight="1">
      <c r="A29" s="113" t="s">
        <v>263</v>
      </c>
      <c r="B29" s="188" t="s">
        <v>631</v>
      </c>
      <c r="C29" s="115"/>
      <c r="D29" s="115"/>
    </row>
    <row r="30" spans="1:4" s="109" customFormat="1" ht="12" customHeight="1">
      <c r="A30" s="113" t="s">
        <v>435</v>
      </c>
      <c r="B30" s="189" t="s">
        <v>436</v>
      </c>
      <c r="C30" s="115"/>
      <c r="D30" s="115">
        <v>3003069</v>
      </c>
    </row>
    <row r="31" spans="1:4" s="109" customFormat="1" ht="12" customHeight="1">
      <c r="A31" s="113" t="s">
        <v>264</v>
      </c>
      <c r="B31" s="188" t="s">
        <v>269</v>
      </c>
      <c r="C31" s="115"/>
      <c r="D31" s="115"/>
    </row>
    <row r="32" spans="1:4" s="109" customFormat="1" ht="12" customHeight="1">
      <c r="A32" s="113" t="s">
        <v>265</v>
      </c>
      <c r="B32" s="188" t="s">
        <v>588</v>
      </c>
      <c r="C32" s="115"/>
      <c r="D32" s="115"/>
    </row>
    <row r="33" spans="1:4" s="109" customFormat="1" ht="12" customHeight="1" thickBot="1">
      <c r="A33" s="117" t="s">
        <v>266</v>
      </c>
      <c r="B33" s="190" t="s">
        <v>271</v>
      </c>
      <c r="C33" s="120"/>
      <c r="D33" s="120"/>
    </row>
    <row r="34" spans="1:4" s="109" customFormat="1" ht="12" customHeight="1" thickBot="1">
      <c r="A34" s="106" t="s">
        <v>20</v>
      </c>
      <c r="B34" s="107" t="s">
        <v>432</v>
      </c>
      <c r="C34" s="108">
        <f>SUM(C35:C45)</f>
        <v>110038281</v>
      </c>
      <c r="D34" s="108">
        <f>SUM(D35:D45)</f>
        <v>110283897</v>
      </c>
    </row>
    <row r="35" spans="1:4" s="109" customFormat="1" ht="12" customHeight="1">
      <c r="A35" s="110" t="s">
        <v>88</v>
      </c>
      <c r="B35" s="111" t="s">
        <v>274</v>
      </c>
      <c r="C35" s="112"/>
      <c r="D35" s="112"/>
    </row>
    <row r="36" spans="1:4" s="109" customFormat="1" ht="12" customHeight="1">
      <c r="A36" s="113" t="s">
        <v>89</v>
      </c>
      <c r="B36" s="114" t="s">
        <v>275</v>
      </c>
      <c r="C36" s="115">
        <v>82842935</v>
      </c>
      <c r="D36" s="115">
        <v>82653272</v>
      </c>
    </row>
    <row r="37" spans="1:4" s="109" customFormat="1" ht="12" customHeight="1">
      <c r="A37" s="113" t="s">
        <v>90</v>
      </c>
      <c r="B37" s="114" t="s">
        <v>276</v>
      </c>
      <c r="C37" s="115">
        <f>2400000</f>
        <v>2400000</v>
      </c>
      <c r="D37" s="115">
        <f>2400000</f>
        <v>2400000</v>
      </c>
    </row>
    <row r="38" spans="1:4" s="109" customFormat="1" ht="12" customHeight="1">
      <c r="A38" s="113" t="s">
        <v>166</v>
      </c>
      <c r="B38" s="114" t="s">
        <v>277</v>
      </c>
      <c r="C38" s="115"/>
      <c r="D38" s="115"/>
    </row>
    <row r="39" spans="1:4" s="109" customFormat="1" ht="12" customHeight="1">
      <c r="A39" s="113" t="s">
        <v>167</v>
      </c>
      <c r="B39" s="114" t="s">
        <v>278</v>
      </c>
      <c r="C39" s="115"/>
      <c r="D39" s="115"/>
    </row>
    <row r="40" spans="1:4" s="109" customFormat="1" ht="12" customHeight="1">
      <c r="A40" s="113" t="s">
        <v>168</v>
      </c>
      <c r="B40" s="114" t="s">
        <v>279</v>
      </c>
      <c r="C40" s="115">
        <f>25170346-405000</f>
        <v>24765346</v>
      </c>
      <c r="D40" s="115">
        <v>24809825</v>
      </c>
    </row>
    <row r="41" spans="1:4" s="109" customFormat="1" ht="12" customHeight="1">
      <c r="A41" s="113" t="s">
        <v>169</v>
      </c>
      <c r="B41" s="114" t="s">
        <v>280</v>
      </c>
      <c r="C41" s="115"/>
      <c r="D41" s="115"/>
    </row>
    <row r="42" spans="1:4" s="109" customFormat="1" ht="12" customHeight="1">
      <c r="A42" s="113" t="s">
        <v>170</v>
      </c>
      <c r="B42" s="114" t="s">
        <v>281</v>
      </c>
      <c r="C42" s="115">
        <f>30000</f>
        <v>30000</v>
      </c>
      <c r="D42" s="115">
        <f>30000</f>
        <v>30000</v>
      </c>
    </row>
    <row r="43" spans="1:4" s="109" customFormat="1" ht="12" customHeight="1">
      <c r="A43" s="113" t="s">
        <v>272</v>
      </c>
      <c r="B43" s="114" t="s">
        <v>282</v>
      </c>
      <c r="C43" s="125"/>
      <c r="D43" s="125"/>
    </row>
    <row r="44" spans="1:4" s="109" customFormat="1" ht="12" customHeight="1">
      <c r="A44" s="117" t="s">
        <v>273</v>
      </c>
      <c r="B44" s="121" t="s">
        <v>434</v>
      </c>
      <c r="C44" s="126"/>
      <c r="D44" s="126"/>
    </row>
    <row r="45" spans="1:4" s="109" customFormat="1" ht="12" customHeight="1" thickBot="1">
      <c r="A45" s="117" t="s">
        <v>433</v>
      </c>
      <c r="B45" s="118" t="s">
        <v>283</v>
      </c>
      <c r="C45" s="126"/>
      <c r="D45" s="126">
        <v>390800</v>
      </c>
    </row>
    <row r="46" spans="1:4" s="109" customFormat="1" ht="12" customHeight="1" thickBot="1">
      <c r="A46" s="106" t="s">
        <v>21</v>
      </c>
      <c r="B46" s="107" t="s">
        <v>284</v>
      </c>
      <c r="C46" s="108">
        <f>SUM(C47:C51)</f>
        <v>6480567</v>
      </c>
      <c r="D46" s="108">
        <f>SUM(D47:D51)</f>
        <v>6480567</v>
      </c>
    </row>
    <row r="47" spans="1:4" s="109" customFormat="1" ht="12" customHeight="1">
      <c r="A47" s="110" t="s">
        <v>91</v>
      </c>
      <c r="B47" s="111" t="s">
        <v>288</v>
      </c>
      <c r="C47" s="127"/>
      <c r="D47" s="127"/>
    </row>
    <row r="48" spans="1:4" s="109" customFormat="1" ht="12" customHeight="1">
      <c r="A48" s="113" t="s">
        <v>92</v>
      </c>
      <c r="B48" s="114" t="s">
        <v>289</v>
      </c>
      <c r="C48" s="125">
        <f>6216000+264567</f>
        <v>6480567</v>
      </c>
      <c r="D48" s="125">
        <f>6216000+264567</f>
        <v>6480567</v>
      </c>
    </row>
    <row r="49" spans="1:4" s="109" customFormat="1" ht="12" customHeight="1">
      <c r="A49" s="113" t="s">
        <v>285</v>
      </c>
      <c r="B49" s="114" t="s">
        <v>290</v>
      </c>
      <c r="C49" s="125"/>
      <c r="D49" s="125"/>
    </row>
    <row r="50" spans="1:4" s="109" customFormat="1" ht="12" customHeight="1">
      <c r="A50" s="113" t="s">
        <v>286</v>
      </c>
      <c r="B50" s="114" t="s">
        <v>291</v>
      </c>
      <c r="C50" s="125"/>
      <c r="D50" s="125"/>
    </row>
    <row r="51" spans="1:4" s="109" customFormat="1" ht="12" customHeight="1" thickBot="1">
      <c r="A51" s="117" t="s">
        <v>287</v>
      </c>
      <c r="B51" s="118" t="s">
        <v>292</v>
      </c>
      <c r="C51" s="126"/>
      <c r="D51" s="126"/>
    </row>
    <row r="52" spans="1:4" s="109" customFormat="1" ht="12" customHeight="1" thickBot="1">
      <c r="A52" s="106" t="s">
        <v>171</v>
      </c>
      <c r="B52" s="107" t="s">
        <v>293</v>
      </c>
      <c r="C52" s="108">
        <f>SUM(C53:C55)</f>
        <v>0</v>
      </c>
      <c r="D52" s="108">
        <f>SUM(D53:D55)</f>
        <v>50000</v>
      </c>
    </row>
    <row r="53" spans="1:4" s="109" customFormat="1" ht="12" customHeight="1">
      <c r="A53" s="110" t="s">
        <v>93</v>
      </c>
      <c r="B53" s="111" t="s">
        <v>294</v>
      </c>
      <c r="C53" s="112"/>
      <c r="D53" s="112"/>
    </row>
    <row r="54" spans="1:4" s="109" customFormat="1" ht="12" customHeight="1">
      <c r="A54" s="113" t="s">
        <v>94</v>
      </c>
      <c r="B54" s="114" t="s">
        <v>424</v>
      </c>
      <c r="C54" s="115"/>
      <c r="D54" s="115"/>
    </row>
    <row r="55" spans="1:4" s="109" customFormat="1" ht="12" customHeight="1">
      <c r="A55" s="113" t="s">
        <v>297</v>
      </c>
      <c r="B55" s="114" t="s">
        <v>295</v>
      </c>
      <c r="C55" s="115"/>
      <c r="D55" s="115">
        <v>50000</v>
      </c>
    </row>
    <row r="56" spans="1:4" s="109" customFormat="1" ht="12" customHeight="1" thickBot="1">
      <c r="A56" s="117" t="s">
        <v>298</v>
      </c>
      <c r="B56" s="118" t="s">
        <v>296</v>
      </c>
      <c r="C56" s="120"/>
      <c r="D56" s="120"/>
    </row>
    <row r="57" spans="1:4" s="109" customFormat="1" ht="12" customHeight="1" thickBot="1">
      <c r="A57" s="106" t="s">
        <v>23</v>
      </c>
      <c r="B57" s="119" t="s">
        <v>299</v>
      </c>
      <c r="C57" s="108">
        <f>SUM(C58:C60)</f>
        <v>70000</v>
      </c>
      <c r="D57" s="108">
        <f>SUM(D58:D60)</f>
        <v>70000</v>
      </c>
    </row>
    <row r="58" spans="1:4" s="109" customFormat="1" ht="12" customHeight="1">
      <c r="A58" s="110" t="s">
        <v>172</v>
      </c>
      <c r="B58" s="111" t="s">
        <v>301</v>
      </c>
      <c r="C58" s="125"/>
      <c r="D58" s="125"/>
    </row>
    <row r="59" spans="1:4" s="109" customFormat="1" ht="12" customHeight="1">
      <c r="A59" s="113" t="s">
        <v>173</v>
      </c>
      <c r="B59" s="114" t="s">
        <v>425</v>
      </c>
      <c r="C59" s="125">
        <v>70000</v>
      </c>
      <c r="D59" s="125">
        <v>70000</v>
      </c>
    </row>
    <row r="60" spans="1:4" s="109" customFormat="1" ht="12" customHeight="1">
      <c r="A60" s="113" t="s">
        <v>221</v>
      </c>
      <c r="B60" s="114" t="s">
        <v>302</v>
      </c>
      <c r="C60" s="125"/>
      <c r="D60" s="125"/>
    </row>
    <row r="61" spans="1:4" s="109" customFormat="1" ht="12" customHeight="1" thickBot="1">
      <c r="A61" s="117" t="s">
        <v>300</v>
      </c>
      <c r="B61" s="118" t="s">
        <v>303</v>
      </c>
      <c r="C61" s="125"/>
      <c r="D61" s="125"/>
    </row>
    <row r="62" spans="1:4" s="109" customFormat="1" ht="12" customHeight="1" thickBot="1">
      <c r="A62" s="128" t="s">
        <v>476</v>
      </c>
      <c r="B62" s="107" t="s">
        <v>304</v>
      </c>
      <c r="C62" s="122">
        <f>+C5+C12+C19+C26+C34+C46+C52+C57</f>
        <v>166538431</v>
      </c>
      <c r="D62" s="122">
        <f>+D5+D12+D19+D26+D34+D46+D52+D57</f>
        <v>175623294</v>
      </c>
    </row>
    <row r="63" spans="1:4" s="109" customFormat="1" ht="12" customHeight="1" thickBot="1">
      <c r="A63" s="129" t="s">
        <v>305</v>
      </c>
      <c r="B63" s="119" t="s">
        <v>306</v>
      </c>
      <c r="C63" s="108">
        <f>SUM(C64:C66)</f>
        <v>0</v>
      </c>
      <c r="D63" s="108">
        <f>SUM(D64:D66)</f>
        <v>0</v>
      </c>
    </row>
    <row r="64" spans="1:4" s="109" customFormat="1" ht="12" customHeight="1">
      <c r="A64" s="110" t="s">
        <v>337</v>
      </c>
      <c r="B64" s="111" t="s">
        <v>307</v>
      </c>
      <c r="C64" s="125"/>
      <c r="D64" s="125"/>
    </row>
    <row r="65" spans="1:4" s="109" customFormat="1" ht="12" customHeight="1">
      <c r="A65" s="113" t="s">
        <v>346</v>
      </c>
      <c r="B65" s="114" t="s">
        <v>308</v>
      </c>
      <c r="C65" s="125"/>
      <c r="D65" s="125"/>
    </row>
    <row r="66" spans="1:4" s="109" customFormat="1" ht="12" customHeight="1" thickBot="1">
      <c r="A66" s="117" t="s">
        <v>347</v>
      </c>
      <c r="B66" s="130" t="s">
        <v>461</v>
      </c>
      <c r="C66" s="125"/>
      <c r="D66" s="125"/>
    </row>
    <row r="67" spans="1:4" s="109" customFormat="1" ht="12" customHeight="1" thickBot="1">
      <c r="A67" s="129" t="s">
        <v>310</v>
      </c>
      <c r="B67" s="119" t="s">
        <v>311</v>
      </c>
      <c r="C67" s="108">
        <f>SUM(C68:C71)</f>
        <v>0</v>
      </c>
      <c r="D67" s="108">
        <f>SUM(D68:D71)</f>
        <v>0</v>
      </c>
    </row>
    <row r="68" spans="1:4" s="109" customFormat="1" ht="12" customHeight="1">
      <c r="A68" s="110" t="s">
        <v>142</v>
      </c>
      <c r="B68" s="111" t="s">
        <v>312</v>
      </c>
      <c r="C68" s="125"/>
      <c r="D68" s="125"/>
    </row>
    <row r="69" spans="1:4" s="109" customFormat="1" ht="12" customHeight="1">
      <c r="A69" s="113" t="s">
        <v>143</v>
      </c>
      <c r="B69" s="114" t="s">
        <v>313</v>
      </c>
      <c r="C69" s="125"/>
      <c r="D69" s="125"/>
    </row>
    <row r="70" spans="1:4" s="109" customFormat="1" ht="12" customHeight="1">
      <c r="A70" s="113" t="s">
        <v>338</v>
      </c>
      <c r="B70" s="114" t="s">
        <v>314</v>
      </c>
      <c r="C70" s="125"/>
      <c r="D70" s="125"/>
    </row>
    <row r="71" spans="1:4" s="109" customFormat="1" ht="12" customHeight="1" thickBot="1">
      <c r="A71" s="117" t="s">
        <v>339</v>
      </c>
      <c r="B71" s="118" t="s">
        <v>315</v>
      </c>
      <c r="C71" s="125"/>
      <c r="D71" s="125"/>
    </row>
    <row r="72" spans="1:4" s="109" customFormat="1" ht="12" customHeight="1" thickBot="1">
      <c r="A72" s="129" t="s">
        <v>316</v>
      </c>
      <c r="B72" s="119" t="s">
        <v>317</v>
      </c>
      <c r="C72" s="108">
        <f>SUM(C73:C74)</f>
        <v>0</v>
      </c>
      <c r="D72" s="108">
        <f>SUM(D73:D74)</f>
        <v>0</v>
      </c>
    </row>
    <row r="73" spans="1:4" s="109" customFormat="1" ht="12" customHeight="1">
      <c r="A73" s="110" t="s">
        <v>340</v>
      </c>
      <c r="B73" s="111" t="s">
        <v>318</v>
      </c>
      <c r="C73" s="125"/>
      <c r="D73" s="125"/>
    </row>
    <row r="74" spans="1:4" s="109" customFormat="1" ht="12" customHeight="1" thickBot="1">
      <c r="A74" s="117" t="s">
        <v>341</v>
      </c>
      <c r="B74" s="118" t="s">
        <v>319</v>
      </c>
      <c r="C74" s="125"/>
      <c r="D74" s="125"/>
    </row>
    <row r="75" spans="1:4" s="109" customFormat="1" ht="12" customHeight="1" thickBot="1">
      <c r="A75" s="129" t="s">
        <v>320</v>
      </c>
      <c r="B75" s="119" t="s">
        <v>321</v>
      </c>
      <c r="C75" s="108">
        <f>SUM(C76:C78)</f>
        <v>0</v>
      </c>
      <c r="D75" s="108">
        <f>SUM(D76:D78)</f>
        <v>0</v>
      </c>
    </row>
    <row r="76" spans="1:4" s="109" customFormat="1" ht="12" customHeight="1">
      <c r="A76" s="110" t="s">
        <v>342</v>
      </c>
      <c r="B76" s="111" t="s">
        <v>322</v>
      </c>
      <c r="C76" s="125"/>
      <c r="D76" s="125"/>
    </row>
    <row r="77" spans="1:4" s="109" customFormat="1" ht="12" customHeight="1">
      <c r="A77" s="113" t="s">
        <v>343</v>
      </c>
      <c r="B77" s="114" t="s">
        <v>323</v>
      </c>
      <c r="C77" s="125"/>
      <c r="D77" s="125"/>
    </row>
    <row r="78" spans="1:4" s="109" customFormat="1" ht="12" customHeight="1" thickBot="1">
      <c r="A78" s="117" t="s">
        <v>344</v>
      </c>
      <c r="B78" s="118" t="s">
        <v>324</v>
      </c>
      <c r="C78" s="125"/>
      <c r="D78" s="125"/>
    </row>
    <row r="79" spans="1:4" s="109" customFormat="1" ht="12" customHeight="1" thickBot="1">
      <c r="A79" s="129" t="s">
        <v>325</v>
      </c>
      <c r="B79" s="119" t="s">
        <v>345</v>
      </c>
      <c r="C79" s="108">
        <f>SUM(C80:C83)</f>
        <v>0</v>
      </c>
      <c r="D79" s="108">
        <f>SUM(D80:D83)</f>
        <v>0</v>
      </c>
    </row>
    <row r="80" spans="1:4" s="109" customFormat="1" ht="12" customHeight="1">
      <c r="A80" s="131" t="s">
        <v>326</v>
      </c>
      <c r="B80" s="111" t="s">
        <v>327</v>
      </c>
      <c r="C80" s="125"/>
      <c r="D80" s="125"/>
    </row>
    <row r="81" spans="1:4" s="109" customFormat="1" ht="12" customHeight="1">
      <c r="A81" s="132" t="s">
        <v>328</v>
      </c>
      <c r="B81" s="114" t="s">
        <v>329</v>
      </c>
      <c r="C81" s="125"/>
      <c r="D81" s="125"/>
    </row>
    <row r="82" spans="1:4" s="109" customFormat="1" ht="12" customHeight="1">
      <c r="A82" s="132" t="s">
        <v>330</v>
      </c>
      <c r="B82" s="114" t="s">
        <v>331</v>
      </c>
      <c r="C82" s="125"/>
      <c r="D82" s="125"/>
    </row>
    <row r="83" spans="1:4" s="109" customFormat="1" ht="12" customHeight="1" thickBot="1">
      <c r="A83" s="133" t="s">
        <v>332</v>
      </c>
      <c r="B83" s="118" t="s">
        <v>333</v>
      </c>
      <c r="C83" s="125"/>
      <c r="D83" s="125"/>
    </row>
    <row r="84" spans="1:4" s="109" customFormat="1" ht="12" customHeight="1" thickBot="1">
      <c r="A84" s="129" t="s">
        <v>334</v>
      </c>
      <c r="B84" s="119" t="s">
        <v>475</v>
      </c>
      <c r="C84" s="134"/>
      <c r="D84" s="134"/>
    </row>
    <row r="85" spans="1:4" s="109" customFormat="1" ht="13.5" customHeight="1" thickBot="1">
      <c r="A85" s="129" t="s">
        <v>336</v>
      </c>
      <c r="B85" s="119" t="s">
        <v>335</v>
      </c>
      <c r="C85" s="134"/>
      <c r="D85" s="134"/>
    </row>
    <row r="86" spans="1:4" s="109" customFormat="1" ht="15.75" customHeight="1" thickBot="1">
      <c r="A86" s="129" t="s">
        <v>348</v>
      </c>
      <c r="B86" s="135" t="s">
        <v>478</v>
      </c>
      <c r="C86" s="122">
        <f>+C63+C67+C72+C75+C79+C85+C84</f>
        <v>0</v>
      </c>
      <c r="D86" s="122">
        <f>+D63+D67+D72+D75+D79+D85+D84</f>
        <v>0</v>
      </c>
    </row>
    <row r="87" spans="1:4" s="109" customFormat="1" ht="16.5" customHeight="1" thickBot="1">
      <c r="A87" s="136" t="s">
        <v>477</v>
      </c>
      <c r="B87" s="137" t="s">
        <v>479</v>
      </c>
      <c r="C87" s="122">
        <f>+C62+C86</f>
        <v>166538431</v>
      </c>
      <c r="D87" s="122">
        <f>+D62+D86</f>
        <v>175623294</v>
      </c>
    </row>
    <row r="88" spans="1:4" s="109" customFormat="1" ht="83.25" customHeight="1">
      <c r="A88" s="138"/>
      <c r="B88" s="139"/>
      <c r="C88" s="140"/>
      <c r="D88" s="140"/>
    </row>
    <row r="89" spans="1:4" s="98" customFormat="1" ht="16.5" customHeight="1">
      <c r="A89" s="691" t="s">
        <v>44</v>
      </c>
      <c r="B89" s="691"/>
    </row>
    <row r="90" spans="1:4" s="142" customFormat="1" ht="16.5" customHeight="1" thickBot="1">
      <c r="A90" s="692" t="s">
        <v>145</v>
      </c>
      <c r="B90" s="692"/>
      <c r="C90" s="141"/>
      <c r="D90" s="141"/>
    </row>
    <row r="91" spans="1:4" s="98" customFormat="1" ht="38.1" customHeight="1" thickBot="1">
      <c r="A91" s="100" t="s">
        <v>66</v>
      </c>
      <c r="B91" s="101" t="s">
        <v>45</v>
      </c>
      <c r="C91" s="43" t="str">
        <f>+C3</f>
        <v>Eredeti előirányzat (2017.01)</v>
      </c>
      <c r="D91" s="43" t="str">
        <f>+D3</f>
        <v>Módosított előirányzat (2017.05)</v>
      </c>
    </row>
    <row r="92" spans="1:4" s="105" customFormat="1" ht="12" customHeight="1" thickBot="1">
      <c r="A92" s="143" t="s">
        <v>487</v>
      </c>
      <c r="B92" s="144" t="s">
        <v>488</v>
      </c>
      <c r="C92" s="145" t="s">
        <v>489</v>
      </c>
      <c r="D92" s="145" t="s">
        <v>489</v>
      </c>
    </row>
    <row r="93" spans="1:4" s="98" customFormat="1" ht="12" customHeight="1" thickBot="1">
      <c r="A93" s="146" t="s">
        <v>16</v>
      </c>
      <c r="B93" s="147" t="s">
        <v>710</v>
      </c>
      <c r="C93" s="148">
        <f>C94+C95+C96+C97+C98+C111</f>
        <v>153369431</v>
      </c>
      <c r="D93" s="148">
        <f>D94+D95+D96+D97+D98+D111</f>
        <v>162454289</v>
      </c>
    </row>
    <row r="94" spans="1:4" s="98" customFormat="1" ht="12" customHeight="1">
      <c r="A94" s="149" t="s">
        <v>95</v>
      </c>
      <c r="B94" s="56" t="s">
        <v>46</v>
      </c>
      <c r="C94" s="150">
        <f>946157+1030000+15699841+11881012</f>
        <v>29557010</v>
      </c>
      <c r="D94" s="150">
        <v>29560010</v>
      </c>
    </row>
    <row r="95" spans="1:4" s="98" customFormat="1" ht="12" customHeight="1">
      <c r="A95" s="113" t="s">
        <v>96</v>
      </c>
      <c r="B95" s="59" t="s">
        <v>174</v>
      </c>
      <c r="C95" s="115">
        <f>272731+226600+3858103+2795920</f>
        <v>7153354</v>
      </c>
      <c r="D95" s="115">
        <v>7150354</v>
      </c>
    </row>
    <row r="96" spans="1:4" s="98" customFormat="1" ht="12" customHeight="1">
      <c r="A96" s="113" t="s">
        <v>97</v>
      </c>
      <c r="B96" s="59" t="s">
        <v>133</v>
      </c>
      <c r="C96" s="120">
        <f>4204200+1181000+3073400+64284842+254000</f>
        <v>72997442</v>
      </c>
      <c r="D96" s="120">
        <v>72997442</v>
      </c>
    </row>
    <row r="97" spans="1:4" s="98" customFormat="1" ht="12" customHeight="1">
      <c r="A97" s="113" t="s">
        <v>98</v>
      </c>
      <c r="B97" s="151" t="s">
        <v>175</v>
      </c>
      <c r="C97" s="120"/>
      <c r="D97" s="120"/>
    </row>
    <row r="98" spans="1:4" s="98" customFormat="1" ht="12" customHeight="1">
      <c r="A98" s="113" t="s">
        <v>109</v>
      </c>
      <c r="B98" s="152" t="s">
        <v>176</v>
      </c>
      <c r="C98" s="120">
        <f>C99+C100+C101+C102+C103+C105+C106+C107+C108+C109+C110</f>
        <v>10900000</v>
      </c>
      <c r="D98" s="120">
        <f>D99+D100+D101+D102+D103+D105+D106+D107+D108+D109+D110</f>
        <v>12130000</v>
      </c>
    </row>
    <row r="99" spans="1:4" s="98" customFormat="1" ht="12" customHeight="1">
      <c r="A99" s="113" t="s">
        <v>99</v>
      </c>
      <c r="B99" s="59" t="s">
        <v>442</v>
      </c>
      <c r="C99" s="120"/>
      <c r="D99" s="120"/>
    </row>
    <row r="100" spans="1:4" s="98" customFormat="1" ht="12" customHeight="1">
      <c r="A100" s="113" t="s">
        <v>100</v>
      </c>
      <c r="B100" s="153" t="s">
        <v>441</v>
      </c>
      <c r="C100" s="120"/>
      <c r="D100" s="120"/>
    </row>
    <row r="101" spans="1:4" s="98" customFormat="1" ht="12" customHeight="1">
      <c r="A101" s="113" t="s">
        <v>110</v>
      </c>
      <c r="B101" s="153" t="s">
        <v>440</v>
      </c>
      <c r="C101" s="120"/>
      <c r="D101" s="120"/>
    </row>
    <row r="102" spans="1:4" s="98" customFormat="1" ht="12" customHeight="1">
      <c r="A102" s="113" t="s">
        <v>111</v>
      </c>
      <c r="B102" s="154" t="s">
        <v>351</v>
      </c>
      <c r="C102" s="120"/>
      <c r="D102" s="120"/>
    </row>
    <row r="103" spans="1:4" s="98" customFormat="1" ht="12" customHeight="1">
      <c r="A103" s="113" t="s">
        <v>112</v>
      </c>
      <c r="B103" s="155" t="s">
        <v>352</v>
      </c>
      <c r="C103" s="120"/>
      <c r="D103" s="120"/>
    </row>
    <row r="104" spans="1:4" s="98" customFormat="1" ht="12" customHeight="1">
      <c r="A104" s="113" t="s">
        <v>113</v>
      </c>
      <c r="B104" s="155" t="s">
        <v>353</v>
      </c>
      <c r="C104" s="120"/>
      <c r="D104" s="120"/>
    </row>
    <row r="105" spans="1:4" s="98" customFormat="1" ht="12" customHeight="1">
      <c r="A105" s="113" t="s">
        <v>115</v>
      </c>
      <c r="B105" s="154" t="s">
        <v>354</v>
      </c>
      <c r="C105" s="120"/>
      <c r="D105" s="120"/>
    </row>
    <row r="106" spans="1:4" s="98" customFormat="1" ht="12" customHeight="1">
      <c r="A106" s="113" t="s">
        <v>177</v>
      </c>
      <c r="B106" s="154" t="s">
        <v>355</v>
      </c>
      <c r="C106" s="120"/>
      <c r="D106" s="120"/>
    </row>
    <row r="107" spans="1:4" s="98" customFormat="1" ht="12" customHeight="1">
      <c r="A107" s="113" t="s">
        <v>349</v>
      </c>
      <c r="B107" s="155" t="s">
        <v>356</v>
      </c>
      <c r="C107" s="120"/>
      <c r="D107" s="120"/>
    </row>
    <row r="108" spans="1:4" s="98" customFormat="1" ht="12" customHeight="1">
      <c r="A108" s="156" t="s">
        <v>350</v>
      </c>
      <c r="B108" s="153" t="s">
        <v>357</v>
      </c>
      <c r="C108" s="120"/>
      <c r="D108" s="120"/>
    </row>
    <row r="109" spans="1:4" s="98" customFormat="1" ht="12" customHeight="1">
      <c r="A109" s="113" t="s">
        <v>438</v>
      </c>
      <c r="B109" s="153" t="s">
        <v>358</v>
      </c>
      <c r="C109" s="120"/>
      <c r="D109" s="120"/>
    </row>
    <row r="110" spans="1:4" s="98" customFormat="1" ht="12" customHeight="1">
      <c r="A110" s="117" t="s">
        <v>439</v>
      </c>
      <c r="B110" s="153" t="s">
        <v>359</v>
      </c>
      <c r="C110" s="120">
        <f>200000+750000+7700000+2250000</f>
        <v>10900000</v>
      </c>
      <c r="D110" s="120">
        <v>12130000</v>
      </c>
    </row>
    <row r="111" spans="1:4" s="98" customFormat="1" ht="12" customHeight="1">
      <c r="A111" s="113" t="s">
        <v>443</v>
      </c>
      <c r="B111" s="151" t="s">
        <v>47</v>
      </c>
      <c r="C111" s="115">
        <f>C112+C113</f>
        <v>32761625</v>
      </c>
      <c r="D111" s="115">
        <f>D112+D113</f>
        <v>40616483</v>
      </c>
    </row>
    <row r="112" spans="1:4" s="98" customFormat="1" ht="12" customHeight="1">
      <c r="A112" s="113" t="s">
        <v>444</v>
      </c>
      <c r="B112" s="59" t="s">
        <v>446</v>
      </c>
      <c r="C112" s="115">
        <v>8430181</v>
      </c>
      <c r="D112" s="115">
        <v>16285039</v>
      </c>
    </row>
    <row r="113" spans="1:4" s="98" customFormat="1" ht="12" customHeight="1">
      <c r="A113" s="113" t="s">
        <v>445</v>
      </c>
      <c r="B113" s="191" t="s">
        <v>447</v>
      </c>
      <c r="C113" s="115">
        <v>24331444</v>
      </c>
      <c r="D113" s="115">
        <v>24331444</v>
      </c>
    </row>
    <row r="114" spans="1:4" s="98" customFormat="1" ht="12" customHeight="1" thickBot="1">
      <c r="A114" s="160" t="s">
        <v>17</v>
      </c>
      <c r="B114" s="161" t="s">
        <v>711</v>
      </c>
      <c r="C114" s="162">
        <f>+C115+C117+C119</f>
        <v>13169000</v>
      </c>
      <c r="D114" s="162">
        <f>+D115+D117+D119</f>
        <v>13169005</v>
      </c>
    </row>
    <row r="115" spans="1:4" s="98" customFormat="1" ht="12" customHeight="1">
      <c r="A115" s="110" t="s">
        <v>101</v>
      </c>
      <c r="B115" s="59" t="s">
        <v>219</v>
      </c>
      <c r="C115" s="112">
        <f>635000+2286000+8248000</f>
        <v>11169000</v>
      </c>
      <c r="D115" s="112">
        <v>11169005</v>
      </c>
    </row>
    <row r="116" spans="1:4" s="98" customFormat="1" ht="12" customHeight="1">
      <c r="A116" s="110" t="s">
        <v>102</v>
      </c>
      <c r="B116" s="163" t="s">
        <v>363</v>
      </c>
      <c r="C116" s="112"/>
      <c r="D116" s="112"/>
    </row>
    <row r="117" spans="1:4" s="98" customFormat="1" ht="12" customHeight="1">
      <c r="A117" s="110" t="s">
        <v>103</v>
      </c>
      <c r="B117" s="163" t="s">
        <v>178</v>
      </c>
      <c r="C117" s="115"/>
      <c r="D117" s="115"/>
    </row>
    <row r="118" spans="1:4" s="98" customFormat="1" ht="12" customHeight="1">
      <c r="A118" s="110" t="s">
        <v>104</v>
      </c>
      <c r="B118" s="163" t="s">
        <v>364</v>
      </c>
      <c r="C118" s="164"/>
      <c r="D118" s="164"/>
    </row>
    <row r="119" spans="1:4" s="98" customFormat="1" ht="12" customHeight="1">
      <c r="A119" s="110" t="s">
        <v>105</v>
      </c>
      <c r="B119" s="118" t="s">
        <v>222</v>
      </c>
      <c r="C119" s="164">
        <f>C120+C121+C122+C123+C124+C125+C126+C127</f>
        <v>2000000</v>
      </c>
      <c r="D119" s="164">
        <f>D120+D121+D122+D123+D124+D125+D126+D127</f>
        <v>2000000</v>
      </c>
    </row>
    <row r="120" spans="1:4" s="98" customFormat="1" ht="12" customHeight="1">
      <c r="A120" s="110" t="s">
        <v>114</v>
      </c>
      <c r="B120" s="116" t="s">
        <v>426</v>
      </c>
      <c r="C120" s="164"/>
      <c r="D120" s="164"/>
    </row>
    <row r="121" spans="1:4" s="98" customFormat="1" ht="12" customHeight="1">
      <c r="A121" s="110" t="s">
        <v>116</v>
      </c>
      <c r="B121" s="165" t="s">
        <v>369</v>
      </c>
      <c r="C121" s="164"/>
      <c r="D121" s="164"/>
    </row>
    <row r="122" spans="1:4" s="98" customFormat="1" ht="15.75">
      <c r="A122" s="110" t="s">
        <v>179</v>
      </c>
      <c r="B122" s="155" t="s">
        <v>353</v>
      </c>
      <c r="C122" s="164"/>
      <c r="D122" s="164"/>
    </row>
    <row r="123" spans="1:4" s="98" customFormat="1" ht="12" customHeight="1">
      <c r="A123" s="110" t="s">
        <v>180</v>
      </c>
      <c r="B123" s="155" t="s">
        <v>368</v>
      </c>
      <c r="C123" s="164"/>
      <c r="D123" s="164"/>
    </row>
    <row r="124" spans="1:4" s="98" customFormat="1" ht="12" customHeight="1">
      <c r="A124" s="110" t="s">
        <v>181</v>
      </c>
      <c r="B124" s="155" t="s">
        <v>367</v>
      </c>
      <c r="C124" s="164"/>
      <c r="D124" s="164"/>
    </row>
    <row r="125" spans="1:4" s="98" customFormat="1" ht="12" customHeight="1">
      <c r="A125" s="110" t="s">
        <v>360</v>
      </c>
      <c r="B125" s="155" t="s">
        <v>356</v>
      </c>
      <c r="C125" s="164"/>
      <c r="D125" s="164"/>
    </row>
    <row r="126" spans="1:4" s="98" customFormat="1" ht="12" customHeight="1">
      <c r="A126" s="110" t="s">
        <v>361</v>
      </c>
      <c r="B126" s="155" t="s">
        <v>366</v>
      </c>
      <c r="C126" s="164">
        <v>2000000</v>
      </c>
      <c r="D126" s="164">
        <v>2000000</v>
      </c>
    </row>
    <row r="127" spans="1:4" s="98" customFormat="1" ht="16.5" thickBot="1">
      <c r="A127" s="156" t="s">
        <v>362</v>
      </c>
      <c r="B127" s="155" t="s">
        <v>365</v>
      </c>
      <c r="C127" s="166"/>
      <c r="D127" s="166"/>
    </row>
    <row r="128" spans="1:4" s="98" customFormat="1" ht="12" customHeight="1" thickBot="1">
      <c r="A128" s="106" t="s">
        <v>18</v>
      </c>
      <c r="B128" s="67" t="s">
        <v>448</v>
      </c>
      <c r="C128" s="108">
        <f>+C93+C114</f>
        <v>166538431</v>
      </c>
      <c r="D128" s="108">
        <f>+D93+D114</f>
        <v>175623294</v>
      </c>
    </row>
    <row r="129" spans="1:4" s="98" customFormat="1" ht="12" customHeight="1" thickBot="1">
      <c r="A129" s="106" t="s">
        <v>19</v>
      </c>
      <c r="B129" s="67" t="s">
        <v>449</v>
      </c>
      <c r="C129" s="108">
        <f>+C130+C131+C132</f>
        <v>0</v>
      </c>
      <c r="D129" s="108">
        <f>+D130+D131+D132</f>
        <v>0</v>
      </c>
    </row>
    <row r="130" spans="1:4" s="98" customFormat="1" ht="12" customHeight="1">
      <c r="A130" s="110" t="s">
        <v>261</v>
      </c>
      <c r="B130" s="163" t="s">
        <v>456</v>
      </c>
      <c r="C130" s="164"/>
      <c r="D130" s="164"/>
    </row>
    <row r="131" spans="1:4" s="98" customFormat="1" ht="12" customHeight="1">
      <c r="A131" s="110" t="s">
        <v>264</v>
      </c>
      <c r="B131" s="163" t="s">
        <v>457</v>
      </c>
      <c r="C131" s="164"/>
      <c r="D131" s="164"/>
    </row>
    <row r="132" spans="1:4" s="98" customFormat="1" ht="12" customHeight="1" thickBot="1">
      <c r="A132" s="156" t="s">
        <v>265</v>
      </c>
      <c r="B132" s="163" t="s">
        <v>458</v>
      </c>
      <c r="C132" s="164"/>
      <c r="D132" s="164"/>
    </row>
    <row r="133" spans="1:4" s="98" customFormat="1" ht="12" customHeight="1" thickBot="1">
      <c r="A133" s="106" t="s">
        <v>20</v>
      </c>
      <c r="B133" s="67" t="s">
        <v>450</v>
      </c>
      <c r="C133" s="108">
        <f>SUM(C134:C139)</f>
        <v>0</v>
      </c>
      <c r="D133" s="108">
        <f>SUM(D134:D139)</f>
        <v>0</v>
      </c>
    </row>
    <row r="134" spans="1:4" s="98" customFormat="1" ht="12" customHeight="1">
      <c r="A134" s="110" t="s">
        <v>88</v>
      </c>
      <c r="B134" s="65" t="s">
        <v>459</v>
      </c>
      <c r="C134" s="164"/>
      <c r="D134" s="164"/>
    </row>
    <row r="135" spans="1:4" s="98" customFormat="1" ht="12" customHeight="1">
      <c r="A135" s="110" t="s">
        <v>89</v>
      </c>
      <c r="B135" s="65" t="s">
        <v>451</v>
      </c>
      <c r="C135" s="164"/>
      <c r="D135" s="164"/>
    </row>
    <row r="136" spans="1:4" s="98" customFormat="1" ht="12" customHeight="1">
      <c r="A136" s="110" t="s">
        <v>90</v>
      </c>
      <c r="B136" s="65" t="s">
        <v>452</v>
      </c>
      <c r="C136" s="164"/>
      <c r="D136" s="164"/>
    </row>
    <row r="137" spans="1:4" s="98" customFormat="1" ht="12" customHeight="1">
      <c r="A137" s="110" t="s">
        <v>166</v>
      </c>
      <c r="B137" s="65" t="s">
        <v>453</v>
      </c>
      <c r="C137" s="164"/>
      <c r="D137" s="164"/>
    </row>
    <row r="138" spans="1:4" s="98" customFormat="1" ht="12" customHeight="1">
      <c r="A138" s="110" t="s">
        <v>167</v>
      </c>
      <c r="B138" s="65" t="s">
        <v>454</v>
      </c>
      <c r="C138" s="164"/>
      <c r="D138" s="164"/>
    </row>
    <row r="139" spans="1:4" s="98" customFormat="1" ht="12" customHeight="1" thickBot="1">
      <c r="A139" s="156" t="s">
        <v>168</v>
      </c>
      <c r="B139" s="65" t="s">
        <v>455</v>
      </c>
      <c r="C139" s="164"/>
      <c r="D139" s="164"/>
    </row>
    <row r="140" spans="1:4" s="98" customFormat="1" ht="12" customHeight="1" thickBot="1">
      <c r="A140" s="106" t="s">
        <v>21</v>
      </c>
      <c r="B140" s="67" t="s">
        <v>463</v>
      </c>
      <c r="C140" s="122">
        <f>+C141+C142+C143+C144</f>
        <v>0</v>
      </c>
      <c r="D140" s="122">
        <f>+D141+D142+D143+D144</f>
        <v>0</v>
      </c>
    </row>
    <row r="141" spans="1:4" s="98" customFormat="1" ht="12" customHeight="1">
      <c r="A141" s="110" t="s">
        <v>91</v>
      </c>
      <c r="B141" s="65" t="s">
        <v>370</v>
      </c>
      <c r="C141" s="164"/>
      <c r="D141" s="164"/>
    </row>
    <row r="142" spans="1:4" s="98" customFormat="1" ht="12" customHeight="1">
      <c r="A142" s="110" t="s">
        <v>92</v>
      </c>
      <c r="B142" s="65" t="s">
        <v>371</v>
      </c>
      <c r="C142" s="164"/>
      <c r="D142" s="164"/>
    </row>
    <row r="143" spans="1:4" s="98" customFormat="1" ht="12" customHeight="1">
      <c r="A143" s="110" t="s">
        <v>285</v>
      </c>
      <c r="B143" s="65" t="s">
        <v>464</v>
      </c>
      <c r="C143" s="164"/>
      <c r="D143" s="164"/>
    </row>
    <row r="144" spans="1:4" s="98" customFormat="1" ht="12" customHeight="1" thickBot="1">
      <c r="A144" s="156" t="s">
        <v>286</v>
      </c>
      <c r="B144" s="61" t="s">
        <v>390</v>
      </c>
      <c r="C144" s="164"/>
      <c r="D144" s="164"/>
    </row>
    <row r="145" spans="1:5" s="98" customFormat="1" ht="12" customHeight="1" thickBot="1">
      <c r="A145" s="106" t="s">
        <v>22</v>
      </c>
      <c r="B145" s="67" t="s">
        <v>465</v>
      </c>
      <c r="C145" s="167">
        <f>SUM(C146:C150)</f>
        <v>0</v>
      </c>
      <c r="D145" s="167">
        <f>SUM(D146:D150)</f>
        <v>0</v>
      </c>
    </row>
    <row r="146" spans="1:5" s="98" customFormat="1" ht="12" customHeight="1">
      <c r="A146" s="110" t="s">
        <v>93</v>
      </c>
      <c r="B146" s="65" t="s">
        <v>460</v>
      </c>
      <c r="C146" s="164"/>
      <c r="D146" s="164"/>
    </row>
    <row r="147" spans="1:5" s="98" customFormat="1" ht="12" customHeight="1">
      <c r="A147" s="110" t="s">
        <v>94</v>
      </c>
      <c r="B147" s="65" t="s">
        <v>467</v>
      </c>
      <c r="C147" s="164"/>
      <c r="D147" s="164"/>
    </row>
    <row r="148" spans="1:5" s="98" customFormat="1" ht="12" customHeight="1">
      <c r="A148" s="110" t="s">
        <v>297</v>
      </c>
      <c r="B148" s="65" t="s">
        <v>462</v>
      </c>
      <c r="C148" s="164"/>
      <c r="D148" s="164"/>
    </row>
    <row r="149" spans="1:5" s="98" customFormat="1" ht="12" customHeight="1">
      <c r="A149" s="110" t="s">
        <v>298</v>
      </c>
      <c r="B149" s="65" t="s">
        <v>468</v>
      </c>
      <c r="C149" s="164"/>
      <c r="D149" s="164"/>
    </row>
    <row r="150" spans="1:5" s="98" customFormat="1" ht="12" customHeight="1" thickBot="1">
      <c r="A150" s="110" t="s">
        <v>466</v>
      </c>
      <c r="B150" s="65" t="s">
        <v>469</v>
      </c>
      <c r="C150" s="164"/>
      <c r="D150" s="164"/>
    </row>
    <row r="151" spans="1:5" s="98" customFormat="1" ht="12" customHeight="1" thickBot="1">
      <c r="A151" s="106" t="s">
        <v>23</v>
      </c>
      <c r="B151" s="67" t="s">
        <v>470</v>
      </c>
      <c r="C151" s="168"/>
      <c r="D151" s="168"/>
    </row>
    <row r="152" spans="1:5" s="98" customFormat="1" ht="12" customHeight="1" thickBot="1">
      <c r="A152" s="106" t="s">
        <v>24</v>
      </c>
      <c r="B152" s="67" t="s">
        <v>471</v>
      </c>
      <c r="C152" s="168"/>
      <c r="D152" s="168"/>
    </row>
    <row r="153" spans="1:5" s="98" customFormat="1" ht="15" customHeight="1" thickBot="1">
      <c r="A153" s="106" t="s">
        <v>25</v>
      </c>
      <c r="B153" s="67" t="s">
        <v>473</v>
      </c>
      <c r="C153" s="169">
        <f>+C129+C133+C140+C145+C151+C152</f>
        <v>0</v>
      </c>
      <c r="D153" s="169">
        <f>+D129+D133+D140+D145+D151+D152</f>
        <v>0</v>
      </c>
      <c r="E153" s="170"/>
    </row>
    <row r="154" spans="1:5" s="109" customFormat="1" ht="12.95" customHeight="1" thickBot="1">
      <c r="A154" s="171" t="s">
        <v>26</v>
      </c>
      <c r="B154" s="172" t="s">
        <v>472</v>
      </c>
      <c r="C154" s="169">
        <f>+C128+C153</f>
        <v>166538431</v>
      </c>
      <c r="D154" s="169">
        <f>+D128+D153</f>
        <v>175623294</v>
      </c>
    </row>
  </sheetData>
  <mergeCells count="4">
    <mergeCell ref="A1:B1"/>
    <mergeCell ref="A2:B2"/>
    <mergeCell ref="A89:B89"/>
    <mergeCell ref="A90:B90"/>
  </mergeCells>
  <phoneticPr fontId="6" type="noConversion"/>
  <printOptions horizontalCentered="1"/>
  <pageMargins left="0.19685039370078741" right="0.59055118110236227" top="1.1811023622047245" bottom="1.1811023622047245" header="0.78740157480314965" footer="0.59055118110236227"/>
  <pageSetup paperSize="9" scale="63" fitToHeight="2" orientation="portrait" r:id="rId1"/>
  <headerFooter alignWithMargins="0">
    <oddHeader>&amp;C&amp;"Times New Roman CE,Félkövér"&amp;12
Vonyarcvashegy Nagyközség Önkormányzata
2017. ÉVI KÖLTSÉGVETÉS
ÖNKÉNT VÁLLALT FELADATAINAK MÉRLEGE
&amp;R&amp;"Times New Roman CE,Félkövér dőlt"&amp;11 1.3. melléklet a 7/2017. (V.26.) önkormányzati rendelethez</oddHeader>
    <oddFooter>&amp;P. oldal, összesen: &amp;N</oddFooter>
  </headerFooter>
  <rowBreaks count="1" manualBreakCount="1">
    <brk id="87" max="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sheetPr codeName="Munka30">
    <tabColor rgb="FFFFFF00"/>
  </sheetPr>
  <dimension ref="A1:D31"/>
  <sheetViews>
    <sheetView view="pageLayout" zoomScaleNormal="100" workbookViewId="0">
      <selection activeCell="G7" sqref="G7"/>
    </sheetView>
  </sheetViews>
  <sheetFormatPr defaultRowHeight="12.75"/>
  <cols>
    <col min="1" max="1" width="5.83203125" style="641" customWidth="1"/>
    <col min="2" max="2" width="54.83203125" style="184" customWidth="1"/>
    <col min="3" max="4" width="17.6640625" style="184" customWidth="1"/>
    <col min="5" max="16384" width="9.33203125" style="184"/>
  </cols>
  <sheetData>
    <row r="1" spans="1:4" ht="31.5" customHeight="1">
      <c r="B1" s="750" t="s">
        <v>7</v>
      </c>
      <c r="C1" s="750"/>
      <c r="D1" s="750"/>
    </row>
    <row r="2" spans="1:4" s="644" customFormat="1" ht="16.5" thickBot="1">
      <c r="A2" s="643"/>
      <c r="B2" s="642"/>
      <c r="D2" s="645" t="s">
        <v>597</v>
      </c>
    </row>
    <row r="3" spans="1:4" s="649" customFormat="1" ht="48" customHeight="1" thickBot="1">
      <c r="A3" s="646" t="s">
        <v>14</v>
      </c>
      <c r="B3" s="647" t="s">
        <v>15</v>
      </c>
      <c r="C3" s="647" t="s">
        <v>68</v>
      </c>
      <c r="D3" s="648" t="s">
        <v>69</v>
      </c>
    </row>
    <row r="4" spans="1:4" s="649" customFormat="1" ht="14.1" customHeight="1" thickBot="1">
      <c r="A4" s="650" t="s">
        <v>487</v>
      </c>
      <c r="B4" s="46" t="s">
        <v>488</v>
      </c>
      <c r="C4" s="46" t="s">
        <v>489</v>
      </c>
      <c r="D4" s="47" t="s">
        <v>491</v>
      </c>
    </row>
    <row r="5" spans="1:4" ht="18" customHeight="1">
      <c r="A5" s="651" t="s">
        <v>16</v>
      </c>
      <c r="B5" s="652" t="s">
        <v>158</v>
      </c>
      <c r="C5" s="653"/>
      <c r="D5" s="71"/>
    </row>
    <row r="6" spans="1:4" ht="18" customHeight="1">
      <c r="A6" s="654" t="s">
        <v>17</v>
      </c>
      <c r="B6" s="655" t="s">
        <v>159</v>
      </c>
      <c r="C6" s="656"/>
      <c r="D6" s="90"/>
    </row>
    <row r="7" spans="1:4" ht="18" customHeight="1">
      <c r="A7" s="654" t="s">
        <v>18</v>
      </c>
      <c r="B7" s="655" t="s">
        <v>117</v>
      </c>
      <c r="C7" s="656"/>
      <c r="D7" s="90"/>
    </row>
    <row r="8" spans="1:4" ht="18" customHeight="1">
      <c r="A8" s="654" t="s">
        <v>19</v>
      </c>
      <c r="B8" s="655" t="s">
        <v>118</v>
      </c>
      <c r="C8" s="656"/>
      <c r="D8" s="90"/>
    </row>
    <row r="9" spans="1:4" ht="18" customHeight="1">
      <c r="A9" s="654" t="s">
        <v>20</v>
      </c>
      <c r="B9" s="655" t="s">
        <v>151</v>
      </c>
      <c r="C9" s="656"/>
      <c r="D9" s="90"/>
    </row>
    <row r="10" spans="1:4" ht="18" customHeight="1">
      <c r="A10" s="654" t="s">
        <v>21</v>
      </c>
      <c r="B10" s="655" t="s">
        <v>152</v>
      </c>
      <c r="C10" s="656"/>
      <c r="D10" s="90"/>
    </row>
    <row r="11" spans="1:4" ht="18" customHeight="1">
      <c r="A11" s="654" t="s">
        <v>22</v>
      </c>
      <c r="B11" s="657" t="s">
        <v>153</v>
      </c>
      <c r="C11" s="656"/>
      <c r="D11" s="90"/>
    </row>
    <row r="12" spans="1:4" ht="18" customHeight="1">
      <c r="A12" s="654" t="s">
        <v>24</v>
      </c>
      <c r="B12" s="657" t="s">
        <v>154</v>
      </c>
      <c r="C12" s="656"/>
      <c r="D12" s="90"/>
    </row>
    <row r="13" spans="1:4" ht="18" customHeight="1">
      <c r="A13" s="654" t="s">
        <v>25</v>
      </c>
      <c r="B13" s="657" t="s">
        <v>155</v>
      </c>
      <c r="C13" s="656"/>
      <c r="D13" s="90"/>
    </row>
    <row r="14" spans="1:4" ht="18" customHeight="1">
      <c r="A14" s="654" t="s">
        <v>26</v>
      </c>
      <c r="B14" s="657" t="s">
        <v>156</v>
      </c>
      <c r="C14" s="656"/>
      <c r="D14" s="90"/>
    </row>
    <row r="15" spans="1:4" ht="22.5" customHeight="1">
      <c r="A15" s="654" t="s">
        <v>27</v>
      </c>
      <c r="B15" s="657" t="s">
        <v>157</v>
      </c>
      <c r="C15" s="656"/>
      <c r="D15" s="90"/>
    </row>
    <row r="16" spans="1:4" ht="18" customHeight="1">
      <c r="A16" s="654" t="s">
        <v>28</v>
      </c>
      <c r="B16" s="655" t="s">
        <v>119</v>
      </c>
      <c r="C16" s="656"/>
      <c r="D16" s="90"/>
    </row>
    <row r="17" spans="1:4" ht="18" customHeight="1">
      <c r="A17" s="654" t="s">
        <v>29</v>
      </c>
      <c r="B17" s="655" t="s">
        <v>9</v>
      </c>
      <c r="C17" s="656"/>
      <c r="D17" s="90"/>
    </row>
    <row r="18" spans="1:4" ht="18" customHeight="1">
      <c r="A18" s="654" t="s">
        <v>30</v>
      </c>
      <c r="B18" s="655" t="s">
        <v>8</v>
      </c>
      <c r="C18" s="656"/>
      <c r="D18" s="90"/>
    </row>
    <row r="19" spans="1:4" ht="18" customHeight="1">
      <c r="A19" s="654" t="s">
        <v>31</v>
      </c>
      <c r="B19" s="655" t="s">
        <v>120</v>
      </c>
      <c r="C19" s="656"/>
      <c r="D19" s="90"/>
    </row>
    <row r="20" spans="1:4" ht="18" customHeight="1">
      <c r="A20" s="654" t="s">
        <v>32</v>
      </c>
      <c r="B20" s="655" t="s">
        <v>121</v>
      </c>
      <c r="C20" s="656"/>
      <c r="D20" s="90"/>
    </row>
    <row r="21" spans="1:4" ht="18" customHeight="1">
      <c r="A21" s="654" t="s">
        <v>33</v>
      </c>
      <c r="B21" s="658"/>
      <c r="C21" s="281"/>
      <c r="D21" s="90"/>
    </row>
    <row r="22" spans="1:4" ht="18" customHeight="1">
      <c r="A22" s="654" t="s">
        <v>34</v>
      </c>
      <c r="B22" s="659"/>
      <c r="C22" s="281"/>
      <c r="D22" s="90"/>
    </row>
    <row r="23" spans="1:4" ht="18" customHeight="1">
      <c r="A23" s="654" t="s">
        <v>35</v>
      </c>
      <c r="B23" s="659"/>
      <c r="C23" s="281"/>
      <c r="D23" s="90"/>
    </row>
    <row r="24" spans="1:4" ht="18" customHeight="1">
      <c r="A24" s="654" t="s">
        <v>36</v>
      </c>
      <c r="B24" s="659"/>
      <c r="C24" s="281"/>
      <c r="D24" s="90"/>
    </row>
    <row r="25" spans="1:4" ht="18" customHeight="1">
      <c r="A25" s="654" t="s">
        <v>37</v>
      </c>
      <c r="B25" s="659"/>
      <c r="C25" s="281"/>
      <c r="D25" s="90"/>
    </row>
    <row r="26" spans="1:4" ht="18" customHeight="1">
      <c r="A26" s="654" t="s">
        <v>38</v>
      </c>
      <c r="B26" s="659"/>
      <c r="C26" s="281"/>
      <c r="D26" s="90"/>
    </row>
    <row r="27" spans="1:4" ht="18" customHeight="1">
      <c r="A27" s="654" t="s">
        <v>39</v>
      </c>
      <c r="B27" s="659"/>
      <c r="C27" s="281"/>
      <c r="D27" s="90"/>
    </row>
    <row r="28" spans="1:4" ht="18" customHeight="1">
      <c r="A28" s="654" t="s">
        <v>40</v>
      </c>
      <c r="B28" s="659"/>
      <c r="C28" s="281"/>
      <c r="D28" s="90"/>
    </row>
    <row r="29" spans="1:4" ht="18" customHeight="1" thickBot="1">
      <c r="A29" s="660" t="s">
        <v>41</v>
      </c>
      <c r="B29" s="661"/>
      <c r="C29" s="662"/>
      <c r="D29" s="75"/>
    </row>
    <row r="30" spans="1:4" ht="18" customHeight="1" thickBot="1">
      <c r="A30" s="663" t="s">
        <v>42</v>
      </c>
      <c r="B30" s="664" t="s">
        <v>50</v>
      </c>
      <c r="C30" s="665">
        <f>+C5+C6+C7+C8+C9+C16+C17+C18+C19+C20+C21+C22+C23+C24+C25+C26+C27+C28+C29</f>
        <v>0</v>
      </c>
      <c r="D30" s="666">
        <f>+D5+D6+D7+D8+D9+D16+D17+D18+D19+D20+D21+D22+D23+D24+D25+D26+D27+D28+D29</f>
        <v>0</v>
      </c>
    </row>
    <row r="31" spans="1:4" ht="8.25" customHeight="1">
      <c r="A31" s="667"/>
      <c r="B31" s="749"/>
      <c r="C31" s="749"/>
      <c r="D31" s="749"/>
    </row>
  </sheetData>
  <mergeCells count="2">
    <mergeCell ref="B31:D31"/>
    <mergeCell ref="B1:D1"/>
  </mergeCells>
  <phoneticPr fontId="6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&amp;LVonyarcvashegy Nagyközség Önkormányzata
&amp;R&amp;"Times New Roman CE,Dőlt"&amp;11 &amp;"Times New Roman CE,Félkövér dőlt"3. tájékoztató tábla a 7/2017. (V.26.) önkormányzati rendelethez</oddHeader>
    <oddFooter>&amp;P. oldal, összesen: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codeName="Munka31">
    <tabColor rgb="FFFFFF00"/>
  </sheetPr>
  <dimension ref="A1:O68"/>
  <sheetViews>
    <sheetView zoomScaleNormal="100" workbookViewId="0">
      <selection activeCell="G54" sqref="G54"/>
    </sheetView>
  </sheetViews>
  <sheetFormatPr defaultRowHeight="15.75"/>
  <cols>
    <col min="1" max="1" width="6.6640625" style="3" bestFit="1" customWidth="1"/>
    <col min="2" max="2" width="66.1640625" style="2" bestFit="1" customWidth="1"/>
    <col min="3" max="3" width="14.6640625" style="2" bestFit="1" customWidth="1"/>
    <col min="4" max="14" width="14.1640625" style="2" bestFit="1" customWidth="1"/>
    <col min="15" max="15" width="14.6640625" style="640" bestFit="1" customWidth="1"/>
    <col min="16" max="16384" width="9.33203125" style="2"/>
  </cols>
  <sheetData>
    <row r="1" spans="1:15" ht="20.25" customHeight="1">
      <c r="A1" s="754" t="s">
        <v>620</v>
      </c>
      <c r="B1" s="755"/>
      <c r="C1" s="755"/>
      <c r="D1" s="755"/>
      <c r="E1" s="755"/>
      <c r="F1" s="755"/>
      <c r="G1" s="755"/>
      <c r="H1" s="755"/>
      <c r="I1" s="755"/>
      <c r="J1" s="755"/>
      <c r="K1" s="755"/>
      <c r="L1" s="755"/>
      <c r="M1" s="755"/>
      <c r="N1" s="755"/>
      <c r="O1" s="755"/>
    </row>
    <row r="2" spans="1:15" ht="21" customHeight="1">
      <c r="A2" s="754" t="s">
        <v>621</v>
      </c>
      <c r="B2" s="754"/>
      <c r="C2" s="754"/>
      <c r="D2" s="754"/>
      <c r="E2" s="754"/>
      <c r="F2" s="754"/>
      <c r="G2" s="754"/>
      <c r="H2" s="754"/>
      <c r="I2" s="754"/>
      <c r="J2" s="754"/>
      <c r="K2" s="754"/>
      <c r="L2" s="754"/>
      <c r="M2" s="754"/>
      <c r="N2" s="754"/>
      <c r="O2" s="754"/>
    </row>
    <row r="3" spans="1:15" ht="21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6.5" thickBot="1">
      <c r="O4" s="4" t="s">
        <v>597</v>
      </c>
    </row>
    <row r="5" spans="1:15" s="3" customFormat="1" ht="31.5" customHeight="1" thickBot="1">
      <c r="A5" s="5" t="s">
        <v>14</v>
      </c>
      <c r="B5" s="6" t="s">
        <v>58</v>
      </c>
      <c r="C5" s="6" t="s">
        <v>70</v>
      </c>
      <c r="D5" s="6" t="s">
        <v>71</v>
      </c>
      <c r="E5" s="6" t="s">
        <v>72</v>
      </c>
      <c r="F5" s="6" t="s">
        <v>73</v>
      </c>
      <c r="G5" s="6" t="s">
        <v>74</v>
      </c>
      <c r="H5" s="6" t="s">
        <v>75</v>
      </c>
      <c r="I5" s="6" t="s">
        <v>76</v>
      </c>
      <c r="J5" s="6" t="s">
        <v>77</v>
      </c>
      <c r="K5" s="6" t="s">
        <v>78</v>
      </c>
      <c r="L5" s="6" t="s">
        <v>79</v>
      </c>
      <c r="M5" s="6" t="s">
        <v>80</v>
      </c>
      <c r="N5" s="6" t="s">
        <v>81</v>
      </c>
      <c r="O5" s="7" t="s">
        <v>48</v>
      </c>
    </row>
    <row r="6" spans="1:15" s="9" customFormat="1" ht="15" customHeight="1" thickBot="1">
      <c r="A6" s="8"/>
      <c r="B6" s="751" t="s">
        <v>53</v>
      </c>
      <c r="C6" s="752"/>
      <c r="D6" s="752"/>
      <c r="E6" s="752"/>
      <c r="F6" s="752"/>
      <c r="G6" s="752"/>
      <c r="H6" s="752"/>
      <c r="I6" s="752"/>
      <c r="J6" s="752"/>
      <c r="K6" s="752"/>
      <c r="L6" s="752"/>
      <c r="M6" s="752"/>
      <c r="N6" s="752"/>
      <c r="O6" s="753"/>
    </row>
    <row r="7" spans="1:15" s="14" customFormat="1" ht="14.1" customHeight="1">
      <c r="A7" s="10" t="s">
        <v>16</v>
      </c>
      <c r="B7" s="11" t="s">
        <v>373</v>
      </c>
      <c r="C7" s="12">
        <f>211201+17824480+109</f>
        <v>18035790</v>
      </c>
      <c r="D7" s="12">
        <v>17824586</v>
      </c>
      <c r="E7" s="12">
        <v>17824586</v>
      </c>
      <c r="F7" s="12">
        <v>17824586</v>
      </c>
      <c r="G7" s="12">
        <v>17824586</v>
      </c>
      <c r="H7" s="12">
        <v>17824586</v>
      </c>
      <c r="I7" s="12">
        <v>17824586</v>
      </c>
      <c r="J7" s="12">
        <v>17824586</v>
      </c>
      <c r="K7" s="12">
        <v>17824586</v>
      </c>
      <c r="L7" s="12">
        <v>17824586</v>
      </c>
      <c r="M7" s="12">
        <v>17824586</v>
      </c>
      <c r="N7" s="12">
        <v>17824586</v>
      </c>
      <c r="O7" s="13">
        <f t="shared" ref="O7:O16" si="0">SUM(C7:N7)</f>
        <v>214106236</v>
      </c>
    </row>
    <row r="8" spans="1:15" s="14" customFormat="1" ht="14.1" customHeight="1">
      <c r="A8" s="10" t="s">
        <v>17</v>
      </c>
      <c r="B8" s="11" t="s">
        <v>623</v>
      </c>
      <c r="C8" s="12">
        <f>4737661</f>
        <v>4737661</v>
      </c>
      <c r="D8" s="12">
        <f t="shared" ref="D8:N8" si="1">4737666</f>
        <v>4737666</v>
      </c>
      <c r="E8" s="12">
        <f t="shared" si="1"/>
        <v>4737666</v>
      </c>
      <c r="F8" s="12">
        <f t="shared" si="1"/>
        <v>4737666</v>
      </c>
      <c r="G8" s="12">
        <f t="shared" si="1"/>
        <v>4737666</v>
      </c>
      <c r="H8" s="12">
        <f t="shared" si="1"/>
        <v>4737666</v>
      </c>
      <c r="I8" s="12">
        <f t="shared" si="1"/>
        <v>4737666</v>
      </c>
      <c r="J8" s="12">
        <f t="shared" si="1"/>
        <v>4737666</v>
      </c>
      <c r="K8" s="12">
        <f t="shared" si="1"/>
        <v>4737666</v>
      </c>
      <c r="L8" s="12">
        <f t="shared" si="1"/>
        <v>4737666</v>
      </c>
      <c r="M8" s="12">
        <f t="shared" si="1"/>
        <v>4737666</v>
      </c>
      <c r="N8" s="12">
        <f t="shared" si="1"/>
        <v>4737666</v>
      </c>
      <c r="O8" s="13">
        <f t="shared" si="0"/>
        <v>56851987</v>
      </c>
    </row>
    <row r="9" spans="1:15" s="14" customFormat="1" ht="14.1" customHeight="1">
      <c r="A9" s="10" t="s">
        <v>18</v>
      </c>
      <c r="B9" s="11" t="s">
        <v>622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3">
        <f t="shared" si="0"/>
        <v>0</v>
      </c>
    </row>
    <row r="10" spans="1:15" s="14" customFormat="1" ht="14.1" customHeight="1">
      <c r="A10" s="10" t="s">
        <v>19</v>
      </c>
      <c r="B10" s="11" t="s">
        <v>165</v>
      </c>
      <c r="C10" s="12">
        <f>10410837</f>
        <v>10410837</v>
      </c>
      <c r="D10" s="12">
        <f t="shared" ref="D10:N10" si="2">10410833</f>
        <v>10410833</v>
      </c>
      <c r="E10" s="12">
        <f t="shared" si="2"/>
        <v>10410833</v>
      </c>
      <c r="F10" s="12">
        <f t="shared" si="2"/>
        <v>10410833</v>
      </c>
      <c r="G10" s="12">
        <f t="shared" si="2"/>
        <v>10410833</v>
      </c>
      <c r="H10" s="12">
        <f t="shared" si="2"/>
        <v>10410833</v>
      </c>
      <c r="I10" s="12">
        <f t="shared" si="2"/>
        <v>10410833</v>
      </c>
      <c r="J10" s="12">
        <f t="shared" si="2"/>
        <v>10410833</v>
      </c>
      <c r="K10" s="12">
        <f t="shared" si="2"/>
        <v>10410833</v>
      </c>
      <c r="L10" s="12">
        <f t="shared" si="2"/>
        <v>10410833</v>
      </c>
      <c r="M10" s="12">
        <f t="shared" si="2"/>
        <v>10410833</v>
      </c>
      <c r="N10" s="12">
        <f t="shared" si="2"/>
        <v>10410833</v>
      </c>
      <c r="O10" s="13">
        <f t="shared" si="0"/>
        <v>124930000</v>
      </c>
    </row>
    <row r="11" spans="1:15" s="14" customFormat="1" ht="14.1" customHeight="1">
      <c r="A11" s="10" t="s">
        <v>20</v>
      </c>
      <c r="B11" s="11" t="s">
        <v>419</v>
      </c>
      <c r="C11" s="12">
        <f>1470382</f>
        <v>1470382</v>
      </c>
      <c r="D11" s="12">
        <f>1470382</f>
        <v>1470382</v>
      </c>
      <c r="E11" s="12">
        <f>1470382</f>
        <v>1470382</v>
      </c>
      <c r="F11" s="12">
        <f>1470382</f>
        <v>1470382</v>
      </c>
      <c r="G11" s="12">
        <f>1470382</f>
        <v>1470382</v>
      </c>
      <c r="H11" s="12">
        <f>31432901+1470380</f>
        <v>32903281</v>
      </c>
      <c r="I11" s="12">
        <f>31432901+1470380</f>
        <v>32903281</v>
      </c>
      <c r="J11" s="12">
        <f>31432901+1470380</f>
        <v>32903281</v>
      </c>
      <c r="K11" s="12">
        <f>1470382</f>
        <v>1470382</v>
      </c>
      <c r="L11" s="12">
        <f>1470382</f>
        <v>1470382</v>
      </c>
      <c r="M11" s="12">
        <f>1470382</f>
        <v>1470382</v>
      </c>
      <c r="N11" s="12">
        <f>1470382</f>
        <v>1470382</v>
      </c>
      <c r="O11" s="13">
        <f t="shared" si="0"/>
        <v>111943281</v>
      </c>
    </row>
    <row r="12" spans="1:15" s="14" customFormat="1" ht="14.1" customHeight="1">
      <c r="A12" s="10" t="s">
        <v>21</v>
      </c>
      <c r="B12" s="11" t="s">
        <v>10</v>
      </c>
      <c r="C12" s="12">
        <f>27880</f>
        <v>27880</v>
      </c>
      <c r="D12" s="12">
        <f>27880</f>
        <v>27880</v>
      </c>
      <c r="E12" s="12">
        <f>27887+6216000</f>
        <v>6243887</v>
      </c>
      <c r="F12" s="12">
        <f>27880</f>
        <v>27880</v>
      </c>
      <c r="G12" s="12">
        <f>27880</f>
        <v>27880</v>
      </c>
      <c r="H12" s="12">
        <f>27880</f>
        <v>27880</v>
      </c>
      <c r="I12" s="12">
        <f>27880</f>
        <v>27880</v>
      </c>
      <c r="J12" s="12">
        <f>27880</f>
        <v>27880</v>
      </c>
      <c r="K12" s="12">
        <f>27880</f>
        <v>27880</v>
      </c>
      <c r="L12" s="12">
        <f>27880</f>
        <v>27880</v>
      </c>
      <c r="M12" s="12">
        <f>27880</f>
        <v>27880</v>
      </c>
      <c r="N12" s="12">
        <f>27880</f>
        <v>27880</v>
      </c>
      <c r="O12" s="13">
        <f t="shared" si="0"/>
        <v>6550567</v>
      </c>
    </row>
    <row r="13" spans="1:15" s="14" customFormat="1" ht="14.1" customHeight="1">
      <c r="A13" s="10" t="s">
        <v>22</v>
      </c>
      <c r="B13" s="11" t="s">
        <v>375</v>
      </c>
      <c r="C13" s="12"/>
      <c r="D13" s="12">
        <v>293300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3">
        <f t="shared" si="0"/>
        <v>293300</v>
      </c>
    </row>
    <row r="14" spans="1:15" s="14" customFormat="1" ht="14.1" customHeight="1">
      <c r="A14" s="10" t="s">
        <v>23</v>
      </c>
      <c r="B14" s="11" t="s">
        <v>407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3">
        <f t="shared" si="0"/>
        <v>0</v>
      </c>
    </row>
    <row r="15" spans="1:15" s="14" customFormat="1" ht="14.1" customHeight="1" thickBot="1">
      <c r="A15" s="10" t="s">
        <v>24</v>
      </c>
      <c r="B15" s="11" t="s">
        <v>11</v>
      </c>
      <c r="C15" s="12">
        <v>210472828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3">
        <f t="shared" si="0"/>
        <v>210472828</v>
      </c>
    </row>
    <row r="16" spans="1:15" s="19" customFormat="1" ht="15.95" customHeight="1" thickBot="1">
      <c r="A16" s="15"/>
      <c r="B16" s="16" t="s">
        <v>106</v>
      </c>
      <c r="C16" s="17">
        <f t="shared" ref="C16:N16" si="3">SUM(C7:C15)</f>
        <v>245155378</v>
      </c>
      <c r="D16" s="17">
        <f t="shared" si="3"/>
        <v>34764647</v>
      </c>
      <c r="E16" s="17">
        <f t="shared" si="3"/>
        <v>40687354</v>
      </c>
      <c r="F16" s="17">
        <f t="shared" si="3"/>
        <v>34471347</v>
      </c>
      <c r="G16" s="17">
        <f t="shared" si="3"/>
        <v>34471347</v>
      </c>
      <c r="H16" s="17">
        <f t="shared" si="3"/>
        <v>65904246</v>
      </c>
      <c r="I16" s="17">
        <f t="shared" si="3"/>
        <v>65904246</v>
      </c>
      <c r="J16" s="17">
        <f t="shared" si="3"/>
        <v>65904246</v>
      </c>
      <c r="K16" s="17">
        <f t="shared" si="3"/>
        <v>34471347</v>
      </c>
      <c r="L16" s="17">
        <f t="shared" si="3"/>
        <v>34471347</v>
      </c>
      <c r="M16" s="17">
        <f t="shared" si="3"/>
        <v>34471347</v>
      </c>
      <c r="N16" s="17">
        <f t="shared" si="3"/>
        <v>34471347</v>
      </c>
      <c r="O16" s="18">
        <f t="shared" si="0"/>
        <v>725148199</v>
      </c>
    </row>
    <row r="17" spans="1:15" s="19" customFormat="1" ht="15.95" customHeight="1" thickBot="1">
      <c r="A17" s="20"/>
      <c r="B17" s="2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</row>
    <row r="18" spans="1:15" s="9" customFormat="1" ht="15" customHeight="1" thickBot="1">
      <c r="A18" s="8"/>
      <c r="B18" s="751" t="s">
        <v>54</v>
      </c>
      <c r="C18" s="752"/>
      <c r="D18" s="752"/>
      <c r="E18" s="752"/>
      <c r="F18" s="752"/>
      <c r="G18" s="752"/>
      <c r="H18" s="752"/>
      <c r="I18" s="752"/>
      <c r="J18" s="752"/>
      <c r="K18" s="752"/>
      <c r="L18" s="752"/>
      <c r="M18" s="752"/>
      <c r="N18" s="752"/>
      <c r="O18" s="753"/>
    </row>
    <row r="19" spans="1:15" s="14" customFormat="1" ht="14.1" customHeight="1">
      <c r="A19" s="23" t="s">
        <v>16</v>
      </c>
      <c r="B19" s="24" t="s">
        <v>59</v>
      </c>
      <c r="C19" s="25">
        <f>4518208+788993</f>
        <v>5307201</v>
      </c>
      <c r="D19" s="25">
        <f>4518208+788993</f>
        <v>5307201</v>
      </c>
      <c r="E19" s="25">
        <v>4518208</v>
      </c>
      <c r="F19" s="25">
        <v>4518208</v>
      </c>
      <c r="G19" s="25">
        <v>4518208</v>
      </c>
      <c r="H19" s="25">
        <f>4518208+3960335</f>
        <v>8478543</v>
      </c>
      <c r="I19" s="25">
        <f>4518208+3960335</f>
        <v>8478543</v>
      </c>
      <c r="J19" s="25">
        <f>4518208+3960335</f>
        <v>8478543</v>
      </c>
      <c r="K19" s="25">
        <f>4518208+539700</f>
        <v>5057908</v>
      </c>
      <c r="L19" s="25">
        <v>4518208</v>
      </c>
      <c r="M19" s="25">
        <v>4518208</v>
      </c>
      <c r="N19" s="25">
        <v>4518208</v>
      </c>
      <c r="O19" s="26">
        <f t="shared" ref="O19:O31" si="4">SUM(C19:N19)</f>
        <v>68217187</v>
      </c>
    </row>
    <row r="20" spans="1:15" s="14" customFormat="1" ht="14.1" customHeight="1">
      <c r="A20" s="23" t="s">
        <v>17</v>
      </c>
      <c r="B20" s="24" t="s">
        <v>174</v>
      </c>
      <c r="C20" s="25">
        <f>1258852+100695</f>
        <v>1359547</v>
      </c>
      <c r="D20" s="25">
        <f>1258852+100695</f>
        <v>1359547</v>
      </c>
      <c r="E20" s="25">
        <v>1258852</v>
      </c>
      <c r="F20" s="25">
        <v>1258852</v>
      </c>
      <c r="G20" s="25">
        <v>1258852</v>
      </c>
      <c r="H20" s="25">
        <f>1258852+931970</f>
        <v>2190822</v>
      </c>
      <c r="I20" s="25">
        <f>1258852+931972</f>
        <v>2190824</v>
      </c>
      <c r="J20" s="25">
        <f>1258852+931972</f>
        <v>2190824</v>
      </c>
      <c r="K20" s="25">
        <f>1258852+118734</f>
        <v>1377586</v>
      </c>
      <c r="L20" s="25">
        <f>1258852</f>
        <v>1258852</v>
      </c>
      <c r="M20" s="25">
        <f>1258852</f>
        <v>1258852</v>
      </c>
      <c r="N20" s="25">
        <f>1258852</f>
        <v>1258852</v>
      </c>
      <c r="O20" s="26">
        <f t="shared" si="4"/>
        <v>18222262</v>
      </c>
    </row>
    <row r="21" spans="1:15" s="14" customFormat="1" ht="14.1" customHeight="1">
      <c r="A21" s="23" t="s">
        <v>18</v>
      </c>
      <c r="B21" s="24" t="s">
        <v>133</v>
      </c>
      <c r="C21" s="25">
        <f>9572174</f>
        <v>9572174</v>
      </c>
      <c r="D21" s="25">
        <f>9572174</f>
        <v>9572174</v>
      </c>
      <c r="E21" s="25">
        <f>9572174</f>
        <v>9572174</v>
      </c>
      <c r="F21" s="25">
        <f>9572174</f>
        <v>9572174</v>
      </c>
      <c r="G21" s="25">
        <f>9572174</f>
        <v>9572174</v>
      </c>
      <c r="H21" s="25">
        <f>9572174+21428282</f>
        <v>31000456</v>
      </c>
      <c r="I21" s="25">
        <f>9572174+21428282</f>
        <v>31000456</v>
      </c>
      <c r="J21" s="25">
        <f>9572174+21428282</f>
        <v>31000456</v>
      </c>
      <c r="K21" s="25">
        <f>9572174</f>
        <v>9572174</v>
      </c>
      <c r="L21" s="25">
        <f>9572174</f>
        <v>9572174</v>
      </c>
      <c r="M21" s="25">
        <f>9572174</f>
        <v>9572174</v>
      </c>
      <c r="N21" s="25">
        <f>9572174</f>
        <v>9572174</v>
      </c>
      <c r="O21" s="26">
        <f t="shared" si="4"/>
        <v>179150934</v>
      </c>
    </row>
    <row r="22" spans="1:15" s="14" customFormat="1" ht="14.1" customHeight="1">
      <c r="A22" s="23" t="s">
        <v>19</v>
      </c>
      <c r="B22" s="24" t="s">
        <v>175</v>
      </c>
      <c r="C22" s="25">
        <f>350000+502907</f>
        <v>852907</v>
      </c>
      <c r="D22" s="25">
        <f t="shared" ref="D22:I22" si="5">502906</f>
        <v>502906</v>
      </c>
      <c r="E22" s="25">
        <f t="shared" si="5"/>
        <v>502906</v>
      </c>
      <c r="F22" s="25">
        <f t="shared" si="5"/>
        <v>502906</v>
      </c>
      <c r="G22" s="25">
        <f t="shared" si="5"/>
        <v>502906</v>
      </c>
      <c r="H22" s="25">
        <f t="shared" si="5"/>
        <v>502906</v>
      </c>
      <c r="I22" s="25">
        <f t="shared" si="5"/>
        <v>502906</v>
      </c>
      <c r="J22" s="25">
        <f>350000+502906</f>
        <v>852906</v>
      </c>
      <c r="K22" s="25">
        <f>2150000+502906</f>
        <v>2652906</v>
      </c>
      <c r="L22" s="25">
        <f>2750000+502906</f>
        <v>3252906</v>
      </c>
      <c r="M22" s="25">
        <f>502906</f>
        <v>502906</v>
      </c>
      <c r="N22" s="25">
        <f>1432500+502906</f>
        <v>1935406</v>
      </c>
      <c r="O22" s="26">
        <f t="shared" si="4"/>
        <v>13067373</v>
      </c>
    </row>
    <row r="23" spans="1:15" s="14" customFormat="1" ht="14.1" customHeight="1">
      <c r="A23" s="23"/>
      <c r="B23" s="24" t="s">
        <v>704</v>
      </c>
      <c r="C23" s="25"/>
      <c r="D23" s="25"/>
      <c r="E23" s="25">
        <v>572567</v>
      </c>
      <c r="F23" s="25"/>
      <c r="G23" s="25"/>
      <c r="H23" s="25"/>
      <c r="I23" s="25"/>
      <c r="J23" s="25"/>
      <c r="K23" s="25"/>
      <c r="L23" s="25"/>
      <c r="M23" s="25"/>
      <c r="N23" s="25"/>
      <c r="O23" s="26"/>
    </row>
    <row r="24" spans="1:15" s="14" customFormat="1" ht="14.1" customHeight="1">
      <c r="A24" s="23" t="s">
        <v>20</v>
      </c>
      <c r="B24" s="24" t="s">
        <v>623</v>
      </c>
      <c r="C24" s="25">
        <f>9498329</f>
        <v>9498329</v>
      </c>
      <c r="D24" s="25">
        <f t="shared" ref="D24:N24" si="6">9498327</f>
        <v>9498327</v>
      </c>
      <c r="E24" s="25">
        <f t="shared" si="6"/>
        <v>9498327</v>
      </c>
      <c r="F24" s="25">
        <f t="shared" si="6"/>
        <v>9498327</v>
      </c>
      <c r="G24" s="25">
        <f t="shared" si="6"/>
        <v>9498327</v>
      </c>
      <c r="H24" s="25">
        <f t="shared" si="6"/>
        <v>9498327</v>
      </c>
      <c r="I24" s="25">
        <f t="shared" si="6"/>
        <v>9498327</v>
      </c>
      <c r="J24" s="25">
        <f t="shared" si="6"/>
        <v>9498327</v>
      </c>
      <c r="K24" s="25">
        <f t="shared" si="6"/>
        <v>9498327</v>
      </c>
      <c r="L24" s="25">
        <f t="shared" si="6"/>
        <v>9498327</v>
      </c>
      <c r="M24" s="25">
        <f t="shared" si="6"/>
        <v>9498327</v>
      </c>
      <c r="N24" s="25">
        <f t="shared" si="6"/>
        <v>9498327</v>
      </c>
      <c r="O24" s="26">
        <f t="shared" si="4"/>
        <v>113979926</v>
      </c>
    </row>
    <row r="25" spans="1:15" s="14" customFormat="1" ht="14.1" customHeight="1">
      <c r="A25" s="23" t="s">
        <v>21</v>
      </c>
      <c r="B25" s="24" t="s">
        <v>624</v>
      </c>
      <c r="C25" s="25"/>
      <c r="D25" s="25"/>
      <c r="E25" s="25">
        <f>5450000+1440000</f>
        <v>6890000</v>
      </c>
      <c r="F25" s="25"/>
      <c r="G25" s="25"/>
      <c r="H25" s="25"/>
      <c r="I25" s="25"/>
      <c r="J25" s="25"/>
      <c r="K25" s="25">
        <f>5450000</f>
        <v>5450000</v>
      </c>
      <c r="L25" s="25"/>
      <c r="M25" s="25"/>
      <c r="N25" s="25"/>
      <c r="O25" s="26">
        <f t="shared" si="4"/>
        <v>12340000</v>
      </c>
    </row>
    <row r="26" spans="1:15" s="14" customFormat="1" ht="14.1" customHeight="1">
      <c r="A26" s="23" t="s">
        <v>22</v>
      </c>
      <c r="B26" s="24" t="s">
        <v>558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>
        <v>32761625</v>
      </c>
      <c r="O26" s="26">
        <f t="shared" si="4"/>
        <v>32761625</v>
      </c>
    </row>
    <row r="27" spans="1:15" s="14" customFormat="1" ht="14.1" customHeight="1">
      <c r="A27" s="23" t="s">
        <v>23</v>
      </c>
      <c r="B27" s="24" t="s">
        <v>219</v>
      </c>
      <c r="C27" s="25">
        <f>5452196</f>
        <v>5452196</v>
      </c>
      <c r="D27" s="25">
        <f t="shared" ref="D27:N27" si="7">5452196</f>
        <v>5452196</v>
      </c>
      <c r="E27" s="25">
        <f t="shared" si="7"/>
        <v>5452196</v>
      </c>
      <c r="F27" s="25">
        <f t="shared" si="7"/>
        <v>5452196</v>
      </c>
      <c r="G27" s="25">
        <f t="shared" si="7"/>
        <v>5452196</v>
      </c>
      <c r="H27" s="25">
        <f>5452196+2749333</f>
        <v>8201529</v>
      </c>
      <c r="I27" s="25">
        <f>5452196+2749332</f>
        <v>8201528</v>
      </c>
      <c r="J27" s="25">
        <f>5452196+2749332</f>
        <v>8201528</v>
      </c>
      <c r="K27" s="25">
        <f t="shared" si="7"/>
        <v>5452196</v>
      </c>
      <c r="L27" s="25">
        <f t="shared" si="7"/>
        <v>5452196</v>
      </c>
      <c r="M27" s="25">
        <f t="shared" si="7"/>
        <v>5452196</v>
      </c>
      <c r="N27" s="25">
        <f t="shared" si="7"/>
        <v>5452196</v>
      </c>
      <c r="O27" s="26">
        <f t="shared" si="4"/>
        <v>73674349</v>
      </c>
    </row>
    <row r="28" spans="1:15" s="14" customFormat="1" ht="14.1" customHeight="1">
      <c r="A28" s="23" t="s">
        <v>24</v>
      </c>
      <c r="B28" s="24" t="s">
        <v>178</v>
      </c>
      <c r="C28" s="25">
        <f>3693319</f>
        <v>3693319</v>
      </c>
      <c r="D28" s="25">
        <f t="shared" ref="D28:N28" si="8">3693315</f>
        <v>3693315</v>
      </c>
      <c r="E28" s="25">
        <f t="shared" si="8"/>
        <v>3693315</v>
      </c>
      <c r="F28" s="25">
        <f t="shared" si="8"/>
        <v>3693315</v>
      </c>
      <c r="G28" s="25">
        <f t="shared" si="8"/>
        <v>3693315</v>
      </c>
      <c r="H28" s="25">
        <f t="shared" si="8"/>
        <v>3693315</v>
      </c>
      <c r="I28" s="25">
        <f t="shared" si="8"/>
        <v>3693315</v>
      </c>
      <c r="J28" s="25">
        <f t="shared" si="8"/>
        <v>3693315</v>
      </c>
      <c r="K28" s="25">
        <f t="shared" si="8"/>
        <v>3693315</v>
      </c>
      <c r="L28" s="25">
        <f t="shared" si="8"/>
        <v>3693315</v>
      </c>
      <c r="M28" s="25">
        <f t="shared" si="8"/>
        <v>3693315</v>
      </c>
      <c r="N28" s="25">
        <f t="shared" si="8"/>
        <v>3693315</v>
      </c>
      <c r="O28" s="26">
        <f t="shared" si="4"/>
        <v>44319784</v>
      </c>
    </row>
    <row r="29" spans="1:15" s="14" customFormat="1" ht="14.1" customHeight="1">
      <c r="A29" s="23" t="s">
        <v>25</v>
      </c>
      <c r="B29" s="24" t="s">
        <v>222</v>
      </c>
      <c r="C29" s="25"/>
      <c r="D29" s="25"/>
      <c r="E29" s="25">
        <f>800000</f>
        <v>800000</v>
      </c>
      <c r="F29" s="25"/>
      <c r="G29" s="25"/>
      <c r="H29" s="25">
        <f>400000</f>
        <v>400000</v>
      </c>
      <c r="I29" s="25"/>
      <c r="J29" s="25"/>
      <c r="K29" s="25">
        <f>400000</f>
        <v>400000</v>
      </c>
      <c r="L29" s="25"/>
      <c r="M29" s="25"/>
      <c r="N29" s="25">
        <f>400000</f>
        <v>400000</v>
      </c>
      <c r="O29" s="26">
        <f t="shared" si="4"/>
        <v>2000000</v>
      </c>
    </row>
    <row r="30" spans="1:15" s="14" customFormat="1" ht="14.1" customHeight="1" thickBot="1">
      <c r="A30" s="23" t="s">
        <v>26</v>
      </c>
      <c r="B30" s="24" t="s">
        <v>12</v>
      </c>
      <c r="C30" s="25">
        <f>7777206+13255421</f>
        <v>21032627</v>
      </c>
      <c r="D30" s="25">
        <f>13255415</f>
        <v>13255415</v>
      </c>
      <c r="E30" s="25">
        <f t="shared" ref="E30:N30" si="9">13255415</f>
        <v>13255415</v>
      </c>
      <c r="F30" s="25">
        <f t="shared" si="9"/>
        <v>13255415</v>
      </c>
      <c r="G30" s="25">
        <f t="shared" si="9"/>
        <v>13255415</v>
      </c>
      <c r="H30" s="25">
        <f t="shared" si="9"/>
        <v>13255415</v>
      </c>
      <c r="I30" s="25">
        <f t="shared" si="9"/>
        <v>13255415</v>
      </c>
      <c r="J30" s="25">
        <f t="shared" si="9"/>
        <v>13255415</v>
      </c>
      <c r="K30" s="25">
        <f t="shared" si="9"/>
        <v>13255415</v>
      </c>
      <c r="L30" s="25">
        <f t="shared" si="9"/>
        <v>13255415</v>
      </c>
      <c r="M30" s="25">
        <f t="shared" si="9"/>
        <v>13255415</v>
      </c>
      <c r="N30" s="25">
        <f t="shared" si="9"/>
        <v>13255415</v>
      </c>
      <c r="O30" s="26">
        <f t="shared" si="4"/>
        <v>166842192</v>
      </c>
    </row>
    <row r="31" spans="1:15" s="19" customFormat="1" ht="15.95" customHeight="1" thickBot="1">
      <c r="A31" s="15"/>
      <c r="B31" s="16" t="s">
        <v>107</v>
      </c>
      <c r="C31" s="17">
        <f t="shared" ref="C31:N31" si="10">SUM(C19:C30)</f>
        <v>56768300</v>
      </c>
      <c r="D31" s="17">
        <f t="shared" si="10"/>
        <v>48641081</v>
      </c>
      <c r="E31" s="17">
        <f t="shared" si="10"/>
        <v>56013960</v>
      </c>
      <c r="F31" s="17">
        <f t="shared" si="10"/>
        <v>47751393</v>
      </c>
      <c r="G31" s="17">
        <f t="shared" si="10"/>
        <v>47751393</v>
      </c>
      <c r="H31" s="17">
        <f t="shared" si="10"/>
        <v>77221313</v>
      </c>
      <c r="I31" s="17">
        <f t="shared" si="10"/>
        <v>76821314</v>
      </c>
      <c r="J31" s="17">
        <f t="shared" si="10"/>
        <v>77171314</v>
      </c>
      <c r="K31" s="17">
        <f t="shared" si="10"/>
        <v>56409827</v>
      </c>
      <c r="L31" s="17">
        <f t="shared" si="10"/>
        <v>50501393</v>
      </c>
      <c r="M31" s="17">
        <f t="shared" si="10"/>
        <v>47751393</v>
      </c>
      <c r="N31" s="17">
        <f t="shared" si="10"/>
        <v>82345518</v>
      </c>
      <c r="O31" s="18">
        <f t="shared" si="4"/>
        <v>725148199</v>
      </c>
    </row>
    <row r="32" spans="1:15" s="19" customFormat="1" ht="15.95" customHeight="1" thickBot="1">
      <c r="A32" s="27"/>
      <c r="B32" s="21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</row>
    <row r="33" spans="1:15" ht="16.5" thickBot="1">
      <c r="A33" s="15"/>
      <c r="B33" s="16" t="s">
        <v>108</v>
      </c>
      <c r="C33" s="17">
        <f t="shared" ref="C33:O33" si="11">C16-C31</f>
        <v>188387078</v>
      </c>
      <c r="D33" s="17">
        <f t="shared" si="11"/>
        <v>-13876434</v>
      </c>
      <c r="E33" s="17">
        <f t="shared" si="11"/>
        <v>-15326606</v>
      </c>
      <c r="F33" s="17">
        <f t="shared" si="11"/>
        <v>-13280046</v>
      </c>
      <c r="G33" s="17">
        <f t="shared" si="11"/>
        <v>-13280046</v>
      </c>
      <c r="H33" s="17">
        <f t="shared" si="11"/>
        <v>-11317067</v>
      </c>
      <c r="I33" s="17">
        <f t="shared" si="11"/>
        <v>-10917068</v>
      </c>
      <c r="J33" s="17">
        <f t="shared" si="11"/>
        <v>-11267068</v>
      </c>
      <c r="K33" s="17">
        <f t="shared" si="11"/>
        <v>-21938480</v>
      </c>
      <c r="L33" s="17">
        <f t="shared" si="11"/>
        <v>-16030046</v>
      </c>
      <c r="M33" s="17">
        <f t="shared" si="11"/>
        <v>-13280046</v>
      </c>
      <c r="N33" s="17">
        <f t="shared" si="11"/>
        <v>-47874171</v>
      </c>
      <c r="O33" s="18">
        <f t="shared" si="11"/>
        <v>0</v>
      </c>
    </row>
    <row r="36" spans="1:15" ht="20.25" customHeight="1">
      <c r="A36" s="754" t="s">
        <v>620</v>
      </c>
      <c r="B36" s="755"/>
      <c r="C36" s="755"/>
      <c r="D36" s="755"/>
      <c r="E36" s="755"/>
      <c r="F36" s="755"/>
      <c r="G36" s="755"/>
      <c r="H36" s="755"/>
      <c r="I36" s="755"/>
      <c r="J36" s="755"/>
      <c r="K36" s="755"/>
      <c r="L36" s="755"/>
      <c r="M36" s="755"/>
      <c r="N36" s="755"/>
      <c r="O36" s="755"/>
    </row>
    <row r="37" spans="1:15" ht="21" customHeight="1">
      <c r="A37" s="754" t="s">
        <v>708</v>
      </c>
      <c r="B37" s="754"/>
      <c r="C37" s="754"/>
      <c r="D37" s="754"/>
      <c r="E37" s="754"/>
      <c r="F37" s="754"/>
      <c r="G37" s="754"/>
      <c r="H37" s="754"/>
      <c r="I37" s="754"/>
      <c r="J37" s="754"/>
      <c r="K37" s="754"/>
      <c r="L37" s="754"/>
      <c r="M37" s="754"/>
      <c r="N37" s="754"/>
      <c r="O37" s="754"/>
    </row>
    <row r="38" spans="1:15" ht="21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6.5" thickBot="1">
      <c r="O39" s="4" t="s">
        <v>597</v>
      </c>
    </row>
    <row r="40" spans="1:15" s="3" customFormat="1" ht="31.5" customHeight="1" thickBot="1">
      <c r="A40" s="5" t="s">
        <v>14</v>
      </c>
      <c r="B40" s="6" t="s">
        <v>58</v>
      </c>
      <c r="C40" s="6" t="s">
        <v>70</v>
      </c>
      <c r="D40" s="6" t="s">
        <v>71</v>
      </c>
      <c r="E40" s="6" t="s">
        <v>72</v>
      </c>
      <c r="F40" s="6" t="s">
        <v>73</v>
      </c>
      <c r="G40" s="6" t="s">
        <v>74</v>
      </c>
      <c r="H40" s="6" t="s">
        <v>75</v>
      </c>
      <c r="I40" s="6" t="s">
        <v>76</v>
      </c>
      <c r="J40" s="6" t="s">
        <v>77</v>
      </c>
      <c r="K40" s="6" t="s">
        <v>78</v>
      </c>
      <c r="L40" s="6" t="s">
        <v>79</v>
      </c>
      <c r="M40" s="6" t="s">
        <v>80</v>
      </c>
      <c r="N40" s="6" t="s">
        <v>81</v>
      </c>
      <c r="O40" s="7" t="s">
        <v>48</v>
      </c>
    </row>
    <row r="41" spans="1:15" s="9" customFormat="1" ht="15" customHeight="1" thickBot="1">
      <c r="A41" s="8"/>
      <c r="B41" s="751" t="s">
        <v>53</v>
      </c>
      <c r="C41" s="752"/>
      <c r="D41" s="752"/>
      <c r="E41" s="752"/>
      <c r="F41" s="752"/>
      <c r="G41" s="752"/>
      <c r="H41" s="752"/>
      <c r="I41" s="752"/>
      <c r="J41" s="752"/>
      <c r="K41" s="752"/>
      <c r="L41" s="752"/>
      <c r="M41" s="752"/>
      <c r="N41" s="752"/>
      <c r="O41" s="753"/>
    </row>
    <row r="42" spans="1:15" s="14" customFormat="1" ht="14.1" customHeight="1">
      <c r="A42" s="10" t="s">
        <v>16</v>
      </c>
      <c r="B42" s="11" t="s">
        <v>373</v>
      </c>
      <c r="C42" s="12">
        <f>211201+17824480+109</f>
        <v>18035790</v>
      </c>
      <c r="D42" s="12">
        <v>17824586</v>
      </c>
      <c r="E42" s="12">
        <v>17824586</v>
      </c>
      <c r="F42" s="12">
        <v>17824586</v>
      </c>
      <c r="G42" s="12">
        <f>17824586+279623+694424</f>
        <v>18798633</v>
      </c>
      <c r="H42" s="12">
        <v>17824586</v>
      </c>
      <c r="I42" s="12">
        <v>17824586</v>
      </c>
      <c r="J42" s="12">
        <v>17824586</v>
      </c>
      <c r="K42" s="12">
        <v>17824586</v>
      </c>
      <c r="L42" s="12">
        <v>17824586</v>
      </c>
      <c r="M42" s="12">
        <v>17824586</v>
      </c>
      <c r="N42" s="12">
        <v>17824586</v>
      </c>
      <c r="O42" s="13">
        <f t="shared" ref="O42:O51" si="12">SUM(C42:N42)</f>
        <v>215080283</v>
      </c>
    </row>
    <row r="43" spans="1:15" s="14" customFormat="1" ht="14.1" customHeight="1">
      <c r="A43" s="10" t="s">
        <v>17</v>
      </c>
      <c r="B43" s="11" t="s">
        <v>623</v>
      </c>
      <c r="C43" s="12">
        <f>4737661</f>
        <v>4737661</v>
      </c>
      <c r="D43" s="12">
        <f t="shared" ref="D43:N43" si="13">4737666</f>
        <v>4737666</v>
      </c>
      <c r="E43" s="12">
        <f t="shared" si="13"/>
        <v>4737666</v>
      </c>
      <c r="F43" s="12">
        <f t="shared" si="13"/>
        <v>4737666</v>
      </c>
      <c r="G43" s="12">
        <f>4737666+3753513+100000+467685</f>
        <v>9058864</v>
      </c>
      <c r="H43" s="12">
        <f t="shared" si="13"/>
        <v>4737666</v>
      </c>
      <c r="I43" s="12">
        <f t="shared" si="13"/>
        <v>4737666</v>
      </c>
      <c r="J43" s="12">
        <f t="shared" si="13"/>
        <v>4737666</v>
      </c>
      <c r="K43" s="12">
        <f t="shared" si="13"/>
        <v>4737666</v>
      </c>
      <c r="L43" s="12">
        <f t="shared" si="13"/>
        <v>4737666</v>
      </c>
      <c r="M43" s="12">
        <f t="shared" si="13"/>
        <v>4737666</v>
      </c>
      <c r="N43" s="12">
        <f t="shared" si="13"/>
        <v>4737666</v>
      </c>
      <c r="O43" s="13">
        <f t="shared" si="12"/>
        <v>61173185</v>
      </c>
    </row>
    <row r="44" spans="1:15" s="14" customFormat="1" ht="14.1" customHeight="1">
      <c r="A44" s="10" t="s">
        <v>18</v>
      </c>
      <c r="B44" s="11" t="s">
        <v>622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3">
        <f t="shared" si="12"/>
        <v>0</v>
      </c>
    </row>
    <row r="45" spans="1:15" s="14" customFormat="1" ht="14.1" customHeight="1">
      <c r="A45" s="10" t="s">
        <v>19</v>
      </c>
      <c r="B45" s="11" t="s">
        <v>165</v>
      </c>
      <c r="C45" s="12">
        <f>10410837</f>
        <v>10410837</v>
      </c>
      <c r="D45" s="12">
        <f t="shared" ref="D45:N45" si="14">10410833</f>
        <v>10410833</v>
      </c>
      <c r="E45" s="12">
        <f t="shared" si="14"/>
        <v>10410833</v>
      </c>
      <c r="F45" s="12">
        <f t="shared" si="14"/>
        <v>10410833</v>
      </c>
      <c r="G45" s="12">
        <f t="shared" si="14"/>
        <v>10410833</v>
      </c>
      <c r="H45" s="12">
        <f t="shared" si="14"/>
        <v>10410833</v>
      </c>
      <c r="I45" s="12">
        <f t="shared" si="14"/>
        <v>10410833</v>
      </c>
      <c r="J45" s="12">
        <f t="shared" si="14"/>
        <v>10410833</v>
      </c>
      <c r="K45" s="12">
        <f t="shared" si="14"/>
        <v>10410833</v>
      </c>
      <c r="L45" s="12">
        <f t="shared" si="14"/>
        <v>10410833</v>
      </c>
      <c r="M45" s="12">
        <f t="shared" si="14"/>
        <v>10410833</v>
      </c>
      <c r="N45" s="12">
        <f t="shared" si="14"/>
        <v>10410833</v>
      </c>
      <c r="O45" s="13">
        <f t="shared" si="12"/>
        <v>124930000</v>
      </c>
    </row>
    <row r="46" spans="1:15" s="14" customFormat="1" ht="14.1" customHeight="1">
      <c r="A46" s="10" t="s">
        <v>20</v>
      </c>
      <c r="B46" s="11" t="s">
        <v>419</v>
      </c>
      <c r="C46" s="12">
        <f>1470382</f>
        <v>1470382</v>
      </c>
      <c r="D46" s="12">
        <f>1470382</f>
        <v>1470382</v>
      </c>
      <c r="E46" s="12">
        <f>1470382</f>
        <v>1470382</v>
      </c>
      <c r="F46" s="12">
        <f>1470382</f>
        <v>1470382</v>
      </c>
      <c r="G46" s="12">
        <f>1470382+6400+30000+458216+24000-249000</f>
        <v>1739998</v>
      </c>
      <c r="H46" s="12">
        <f>31432901+1470380</f>
        <v>32903281</v>
      </c>
      <c r="I46" s="12">
        <f>31432901+1470380</f>
        <v>32903281</v>
      </c>
      <c r="J46" s="12">
        <f>31432901+1470380</f>
        <v>32903281</v>
      </c>
      <c r="K46" s="12">
        <f>1470382</f>
        <v>1470382</v>
      </c>
      <c r="L46" s="12">
        <f>1470382</f>
        <v>1470382</v>
      </c>
      <c r="M46" s="12">
        <f>1470382</f>
        <v>1470382</v>
      </c>
      <c r="N46" s="12">
        <f>1470382</f>
        <v>1470382</v>
      </c>
      <c r="O46" s="13">
        <f t="shared" si="12"/>
        <v>112212897</v>
      </c>
    </row>
    <row r="47" spans="1:15" s="14" customFormat="1" ht="14.1" customHeight="1">
      <c r="A47" s="10" t="s">
        <v>21</v>
      </c>
      <c r="B47" s="11" t="s">
        <v>10</v>
      </c>
      <c r="C47" s="12">
        <f>27880</f>
        <v>27880</v>
      </c>
      <c r="D47" s="12">
        <f>27880</f>
        <v>27880</v>
      </c>
      <c r="E47" s="12">
        <f>27887+6216000</f>
        <v>6243887</v>
      </c>
      <c r="F47" s="12">
        <f>27880</f>
        <v>27880</v>
      </c>
      <c r="G47" s="12">
        <f>27880+4997450</f>
        <v>5025330</v>
      </c>
      <c r="H47" s="12">
        <f>27880</f>
        <v>27880</v>
      </c>
      <c r="I47" s="12">
        <f>27880</f>
        <v>27880</v>
      </c>
      <c r="J47" s="12">
        <f>27880</f>
        <v>27880</v>
      </c>
      <c r="K47" s="12">
        <f>27880</f>
        <v>27880</v>
      </c>
      <c r="L47" s="12">
        <f>27880</f>
        <v>27880</v>
      </c>
      <c r="M47" s="12">
        <f>27880</f>
        <v>27880</v>
      </c>
      <c r="N47" s="12">
        <f>27880</f>
        <v>27880</v>
      </c>
      <c r="O47" s="13">
        <f t="shared" si="12"/>
        <v>11548017</v>
      </c>
    </row>
    <row r="48" spans="1:15" s="14" customFormat="1" ht="14.1" customHeight="1">
      <c r="A48" s="10" t="s">
        <v>22</v>
      </c>
      <c r="B48" s="11" t="s">
        <v>375</v>
      </c>
      <c r="C48" s="12"/>
      <c r="D48" s="12">
        <v>293300</v>
      </c>
      <c r="E48" s="12"/>
      <c r="F48" s="12"/>
      <c r="G48" s="12">
        <f>50000</f>
        <v>50000</v>
      </c>
      <c r="H48" s="12"/>
      <c r="I48" s="12"/>
      <c r="J48" s="12"/>
      <c r="K48" s="12"/>
      <c r="L48" s="12"/>
      <c r="M48" s="12"/>
      <c r="N48" s="12"/>
      <c r="O48" s="13">
        <f t="shared" si="12"/>
        <v>343300</v>
      </c>
    </row>
    <row r="49" spans="1:15" s="14" customFormat="1" ht="14.1" customHeight="1">
      <c r="A49" s="10" t="s">
        <v>23</v>
      </c>
      <c r="B49" s="11" t="s">
        <v>407</v>
      </c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3">
        <f t="shared" si="12"/>
        <v>0</v>
      </c>
    </row>
    <row r="50" spans="1:15" s="14" customFormat="1" ht="14.1" customHeight="1" thickBot="1">
      <c r="A50" s="10" t="s">
        <v>24</v>
      </c>
      <c r="B50" s="11" t="s">
        <v>11</v>
      </c>
      <c r="C50" s="12">
        <v>210472828</v>
      </c>
      <c r="D50" s="12"/>
      <c r="E50" s="12"/>
      <c r="F50" s="12"/>
      <c r="G50" s="12">
        <f>12501681</f>
        <v>12501681</v>
      </c>
      <c r="H50" s="12"/>
      <c r="I50" s="12"/>
      <c r="J50" s="12"/>
      <c r="K50" s="12"/>
      <c r="L50" s="12"/>
      <c r="M50" s="12"/>
      <c r="N50" s="12"/>
      <c r="O50" s="13">
        <f t="shared" si="12"/>
        <v>222974509</v>
      </c>
    </row>
    <row r="51" spans="1:15" s="19" customFormat="1" ht="15.95" customHeight="1" thickBot="1">
      <c r="A51" s="15"/>
      <c r="B51" s="16" t="s">
        <v>106</v>
      </c>
      <c r="C51" s="17">
        <f t="shared" ref="C51:N51" si="15">SUM(C42:C50)</f>
        <v>245155378</v>
      </c>
      <c r="D51" s="17">
        <f t="shared" si="15"/>
        <v>34764647</v>
      </c>
      <c r="E51" s="17">
        <f t="shared" si="15"/>
        <v>40687354</v>
      </c>
      <c r="F51" s="17">
        <f t="shared" si="15"/>
        <v>34471347</v>
      </c>
      <c r="G51" s="17">
        <f t="shared" si="15"/>
        <v>57585339</v>
      </c>
      <c r="H51" s="17">
        <f t="shared" si="15"/>
        <v>65904246</v>
      </c>
      <c r="I51" s="17">
        <f t="shared" si="15"/>
        <v>65904246</v>
      </c>
      <c r="J51" s="17">
        <f t="shared" si="15"/>
        <v>65904246</v>
      </c>
      <c r="K51" s="17">
        <f t="shared" si="15"/>
        <v>34471347</v>
      </c>
      <c r="L51" s="17">
        <f t="shared" si="15"/>
        <v>34471347</v>
      </c>
      <c r="M51" s="17">
        <f t="shared" si="15"/>
        <v>34471347</v>
      </c>
      <c r="N51" s="17">
        <f t="shared" si="15"/>
        <v>34471347</v>
      </c>
      <c r="O51" s="18">
        <f t="shared" si="12"/>
        <v>748262191</v>
      </c>
    </row>
    <row r="52" spans="1:15" s="19" customFormat="1" ht="15.95" customHeight="1" thickBot="1">
      <c r="A52" s="20"/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</row>
    <row r="53" spans="1:15" s="9" customFormat="1" ht="15" customHeight="1" thickBot="1">
      <c r="A53" s="8"/>
      <c r="B53" s="751" t="s">
        <v>54</v>
      </c>
      <c r="C53" s="752"/>
      <c r="D53" s="752"/>
      <c r="E53" s="752"/>
      <c r="F53" s="752"/>
      <c r="G53" s="752"/>
      <c r="H53" s="752"/>
      <c r="I53" s="752"/>
      <c r="J53" s="752"/>
      <c r="K53" s="752"/>
      <c r="L53" s="752"/>
      <c r="M53" s="752"/>
      <c r="N53" s="752"/>
      <c r="O53" s="753"/>
    </row>
    <row r="54" spans="1:15" s="14" customFormat="1" ht="14.1" customHeight="1">
      <c r="A54" s="23" t="s">
        <v>16</v>
      </c>
      <c r="B54" s="24" t="s">
        <v>59</v>
      </c>
      <c r="C54" s="25">
        <f>4518208+788993</f>
        <v>5307201</v>
      </c>
      <c r="D54" s="25">
        <f>4518208+788993</f>
        <v>5307201</v>
      </c>
      <c r="E54" s="25">
        <v>4518208</v>
      </c>
      <c r="F54" s="25">
        <v>4518208</v>
      </c>
      <c r="G54" s="25">
        <f>4518208+16000+3381554-782100</f>
        <v>7133662</v>
      </c>
      <c r="H54" s="25">
        <f>4518208+3960335</f>
        <v>8478543</v>
      </c>
      <c r="I54" s="25">
        <f>4518208+3960335</f>
        <v>8478543</v>
      </c>
      <c r="J54" s="25">
        <f>4518208+3960335</f>
        <v>8478543</v>
      </c>
      <c r="K54" s="25">
        <f>4518208+539700</f>
        <v>5057908</v>
      </c>
      <c r="L54" s="25">
        <v>4518208</v>
      </c>
      <c r="M54" s="25">
        <v>4518208</v>
      </c>
      <c r="N54" s="25">
        <v>4518208</v>
      </c>
      <c r="O54" s="26">
        <f>SUM(C54:N54)</f>
        <v>70832641</v>
      </c>
    </row>
    <row r="55" spans="1:15" s="14" customFormat="1" ht="14.1" customHeight="1">
      <c r="A55" s="23" t="s">
        <v>17</v>
      </c>
      <c r="B55" s="24" t="s">
        <v>174</v>
      </c>
      <c r="C55" s="25">
        <f>1258852+100695</f>
        <v>1359547</v>
      </c>
      <c r="D55" s="25">
        <f>1258852+100695</f>
        <v>1359547</v>
      </c>
      <c r="E55" s="25">
        <v>1258852</v>
      </c>
      <c r="F55" s="25">
        <v>1258852</v>
      </c>
      <c r="G55" s="25">
        <f>1258852-16000+371959-172062</f>
        <v>1442749</v>
      </c>
      <c r="H55" s="25">
        <f>1258852+931970</f>
        <v>2190822</v>
      </c>
      <c r="I55" s="25">
        <f>1258852+931972</f>
        <v>2190824</v>
      </c>
      <c r="J55" s="25">
        <f>1258852+931972</f>
        <v>2190824</v>
      </c>
      <c r="K55" s="25">
        <f>1258852+118734</f>
        <v>1377586</v>
      </c>
      <c r="L55" s="25">
        <f>1258852</f>
        <v>1258852</v>
      </c>
      <c r="M55" s="25">
        <f>1258852</f>
        <v>1258852</v>
      </c>
      <c r="N55" s="25">
        <f>1258852</f>
        <v>1258852</v>
      </c>
      <c r="O55" s="26">
        <f>SUM(C55:N55)</f>
        <v>18406159</v>
      </c>
    </row>
    <row r="56" spans="1:15" s="14" customFormat="1" ht="14.1" customHeight="1">
      <c r="A56" s="23" t="s">
        <v>18</v>
      </c>
      <c r="B56" s="24" t="s">
        <v>133</v>
      </c>
      <c r="C56" s="25">
        <f>9572174</f>
        <v>9572174</v>
      </c>
      <c r="D56" s="25">
        <f>9572174</f>
        <v>9572174</v>
      </c>
      <c r="E56" s="25">
        <f>9572174</f>
        <v>9572174</v>
      </c>
      <c r="F56" s="25">
        <f>9572174</f>
        <v>9572174</v>
      </c>
      <c r="G56" s="25">
        <f>9572174+150000+20000+4458</f>
        <v>9746632</v>
      </c>
      <c r="H56" s="25">
        <f>9572174+21428282</f>
        <v>31000456</v>
      </c>
      <c r="I56" s="25">
        <f>9572174+21428282</f>
        <v>31000456</v>
      </c>
      <c r="J56" s="25">
        <f>9572174+21428282</f>
        <v>31000456</v>
      </c>
      <c r="K56" s="25">
        <f>9572174</f>
        <v>9572174</v>
      </c>
      <c r="L56" s="25">
        <f>9572174</f>
        <v>9572174</v>
      </c>
      <c r="M56" s="25">
        <f>9572174</f>
        <v>9572174</v>
      </c>
      <c r="N56" s="25">
        <f>9572174</f>
        <v>9572174</v>
      </c>
      <c r="O56" s="26">
        <f>SUM(C56:N56)</f>
        <v>179325392</v>
      </c>
    </row>
    <row r="57" spans="1:15" s="14" customFormat="1" ht="14.1" customHeight="1">
      <c r="A57" s="23" t="s">
        <v>19</v>
      </c>
      <c r="B57" s="24" t="s">
        <v>175</v>
      </c>
      <c r="C57" s="25">
        <f>350000+502907</f>
        <v>852907</v>
      </c>
      <c r="D57" s="25">
        <f t="shared" ref="D57:I57" si="16">502906</f>
        <v>502906</v>
      </c>
      <c r="E57" s="25">
        <f t="shared" si="16"/>
        <v>502906</v>
      </c>
      <c r="F57" s="25">
        <f t="shared" si="16"/>
        <v>502906</v>
      </c>
      <c r="G57" s="25">
        <f t="shared" si="16"/>
        <v>502906</v>
      </c>
      <c r="H57" s="25">
        <f t="shared" si="16"/>
        <v>502906</v>
      </c>
      <c r="I57" s="25">
        <f t="shared" si="16"/>
        <v>502906</v>
      </c>
      <c r="J57" s="25">
        <f>350000+502906</f>
        <v>852906</v>
      </c>
      <c r="K57" s="25">
        <f>2150000+502906</f>
        <v>2652906</v>
      </c>
      <c r="L57" s="25">
        <f>2750000+502906</f>
        <v>3252906</v>
      </c>
      <c r="M57" s="25">
        <f>502906</f>
        <v>502906</v>
      </c>
      <c r="N57" s="25">
        <f>1432500+502906</f>
        <v>1935406</v>
      </c>
      <c r="O57" s="26">
        <f>SUM(C57:N57)</f>
        <v>13067373</v>
      </c>
    </row>
    <row r="58" spans="1:15" s="14" customFormat="1" ht="14.1" customHeight="1">
      <c r="A58" s="23"/>
      <c r="B58" s="24" t="s">
        <v>704</v>
      </c>
      <c r="C58" s="25"/>
      <c r="D58" s="25"/>
      <c r="E58" s="25">
        <v>572567</v>
      </c>
      <c r="F58" s="25"/>
      <c r="G58" s="25"/>
      <c r="H58" s="25"/>
      <c r="I58" s="25"/>
      <c r="J58" s="25"/>
      <c r="K58" s="25"/>
      <c r="L58" s="25"/>
      <c r="M58" s="25"/>
      <c r="N58" s="25"/>
      <c r="O58" s="26"/>
    </row>
    <row r="59" spans="1:15" s="14" customFormat="1" ht="14.1" customHeight="1">
      <c r="A59" s="23" t="s">
        <v>20</v>
      </c>
      <c r="B59" s="24" t="s">
        <v>623</v>
      </c>
      <c r="C59" s="25">
        <f>9498329</f>
        <v>9498329</v>
      </c>
      <c r="D59" s="25">
        <f t="shared" ref="D59:N59" si="17">9498327</f>
        <v>9498327</v>
      </c>
      <c r="E59" s="25">
        <f t="shared" si="17"/>
        <v>9498327</v>
      </c>
      <c r="F59" s="25">
        <f t="shared" si="17"/>
        <v>9498327</v>
      </c>
      <c r="G59" s="25">
        <f>9498327+15091+1718911+39622+20000</f>
        <v>11291951</v>
      </c>
      <c r="H59" s="25">
        <f t="shared" si="17"/>
        <v>9498327</v>
      </c>
      <c r="I59" s="25">
        <f t="shared" si="17"/>
        <v>9498327</v>
      </c>
      <c r="J59" s="25">
        <f t="shared" si="17"/>
        <v>9498327</v>
      </c>
      <c r="K59" s="25">
        <f t="shared" si="17"/>
        <v>9498327</v>
      </c>
      <c r="L59" s="25">
        <f t="shared" si="17"/>
        <v>9498327</v>
      </c>
      <c r="M59" s="25">
        <f t="shared" si="17"/>
        <v>9498327</v>
      </c>
      <c r="N59" s="25">
        <f t="shared" si="17"/>
        <v>9498327</v>
      </c>
      <c r="O59" s="26">
        <f t="shared" ref="O59:O66" si="18">SUM(C59:N59)</f>
        <v>115773550</v>
      </c>
    </row>
    <row r="60" spans="1:15" s="14" customFormat="1" ht="14.1" customHeight="1">
      <c r="A60" s="23" t="s">
        <v>21</v>
      </c>
      <c r="B60" s="24" t="s">
        <v>624</v>
      </c>
      <c r="C60" s="25"/>
      <c r="D60" s="25"/>
      <c r="E60" s="25">
        <f>5450000+1440000</f>
        <v>6890000</v>
      </c>
      <c r="F60" s="25"/>
      <c r="G60" s="25">
        <f>1200000+30000</f>
        <v>1230000</v>
      </c>
      <c r="H60" s="25"/>
      <c r="I60" s="25"/>
      <c r="J60" s="25"/>
      <c r="K60" s="25">
        <f>5450000</f>
        <v>5450000</v>
      </c>
      <c r="L60" s="25"/>
      <c r="M60" s="25"/>
      <c r="N60" s="25"/>
      <c r="O60" s="26">
        <f t="shared" si="18"/>
        <v>13570000</v>
      </c>
    </row>
    <row r="61" spans="1:15" s="14" customFormat="1" ht="14.1" customHeight="1">
      <c r="A61" s="23" t="s">
        <v>22</v>
      </c>
      <c r="B61" s="24" t="s">
        <v>558</v>
      </c>
      <c r="C61" s="25"/>
      <c r="D61" s="25"/>
      <c r="E61" s="25"/>
      <c r="F61" s="25"/>
      <c r="G61" s="25">
        <f>279623+12501681+6400+100000+30000+50000+458216-15091-37800+24000-1718911+467685-1200000-150000-30000-20000-950000-1575000-5-1094837+694424-39622+954162-249000-611067-20000</f>
        <v>7854858</v>
      </c>
      <c r="H61" s="25"/>
      <c r="I61" s="25"/>
      <c r="J61" s="25"/>
      <c r="K61" s="25"/>
      <c r="L61" s="25"/>
      <c r="M61" s="25"/>
      <c r="N61" s="25">
        <v>32761625</v>
      </c>
      <c r="O61" s="26">
        <f t="shared" si="18"/>
        <v>40616483</v>
      </c>
    </row>
    <row r="62" spans="1:15" s="14" customFormat="1" ht="14.1" customHeight="1">
      <c r="A62" s="23" t="s">
        <v>23</v>
      </c>
      <c r="B62" s="24" t="s">
        <v>219</v>
      </c>
      <c r="C62" s="25">
        <f>5452196</f>
        <v>5452196</v>
      </c>
      <c r="D62" s="25">
        <f t="shared" ref="D62:N62" si="19">5452196</f>
        <v>5452196</v>
      </c>
      <c r="E62" s="25">
        <f t="shared" si="19"/>
        <v>5452196</v>
      </c>
      <c r="F62" s="25">
        <f t="shared" si="19"/>
        <v>5452196</v>
      </c>
      <c r="G62" s="25">
        <f>5452196+4997450+37800+950000+5+4458+8381999</f>
        <v>19823908</v>
      </c>
      <c r="H62" s="25">
        <f>5452196+2749333</f>
        <v>8201529</v>
      </c>
      <c r="I62" s="25">
        <f>5452196+2749332</f>
        <v>8201528</v>
      </c>
      <c r="J62" s="25">
        <f>5452196+2749332</f>
        <v>8201528</v>
      </c>
      <c r="K62" s="25">
        <f t="shared" si="19"/>
        <v>5452196</v>
      </c>
      <c r="L62" s="25">
        <f t="shared" si="19"/>
        <v>5452196</v>
      </c>
      <c r="M62" s="25">
        <f t="shared" si="19"/>
        <v>5452196</v>
      </c>
      <c r="N62" s="25">
        <f t="shared" si="19"/>
        <v>5452196</v>
      </c>
      <c r="O62" s="26">
        <f t="shared" si="18"/>
        <v>88046061</v>
      </c>
    </row>
    <row r="63" spans="1:15" s="14" customFormat="1" ht="14.1" customHeight="1">
      <c r="A63" s="23" t="s">
        <v>24</v>
      </c>
      <c r="B63" s="24" t="s">
        <v>178</v>
      </c>
      <c r="C63" s="25">
        <f>3693319</f>
        <v>3693319</v>
      </c>
      <c r="D63" s="25">
        <f t="shared" ref="D63:N63" si="20">3693315</f>
        <v>3693315</v>
      </c>
      <c r="E63" s="25">
        <f t="shared" si="20"/>
        <v>3693315</v>
      </c>
      <c r="F63" s="25">
        <f t="shared" si="20"/>
        <v>3693315</v>
      </c>
      <c r="G63" s="25">
        <f>3693315+1575000-8381999</f>
        <v>-3113684</v>
      </c>
      <c r="H63" s="25">
        <f t="shared" si="20"/>
        <v>3693315</v>
      </c>
      <c r="I63" s="25">
        <f t="shared" si="20"/>
        <v>3693315</v>
      </c>
      <c r="J63" s="25">
        <f t="shared" si="20"/>
        <v>3693315</v>
      </c>
      <c r="K63" s="25">
        <f t="shared" si="20"/>
        <v>3693315</v>
      </c>
      <c r="L63" s="25">
        <f t="shared" si="20"/>
        <v>3693315</v>
      </c>
      <c r="M63" s="25">
        <f t="shared" si="20"/>
        <v>3693315</v>
      </c>
      <c r="N63" s="25">
        <f t="shared" si="20"/>
        <v>3693315</v>
      </c>
      <c r="O63" s="26">
        <f t="shared" si="18"/>
        <v>37512785</v>
      </c>
    </row>
    <row r="64" spans="1:15" s="14" customFormat="1" ht="14.1" customHeight="1">
      <c r="A64" s="23" t="s">
        <v>25</v>
      </c>
      <c r="B64" s="24" t="s">
        <v>222</v>
      </c>
      <c r="C64" s="25"/>
      <c r="D64" s="25"/>
      <c r="E64" s="25">
        <f>800000</f>
        <v>800000</v>
      </c>
      <c r="F64" s="25"/>
      <c r="G64" s="25"/>
      <c r="H64" s="25">
        <f>400000</f>
        <v>400000</v>
      </c>
      <c r="I64" s="25"/>
      <c r="J64" s="25"/>
      <c r="K64" s="25">
        <f>400000</f>
        <v>400000</v>
      </c>
      <c r="L64" s="25"/>
      <c r="M64" s="25"/>
      <c r="N64" s="25">
        <f>400000</f>
        <v>400000</v>
      </c>
      <c r="O64" s="26">
        <f t="shared" si="18"/>
        <v>2000000</v>
      </c>
    </row>
    <row r="65" spans="1:15" s="14" customFormat="1" ht="14.1" customHeight="1" thickBot="1">
      <c r="A65" s="23" t="s">
        <v>26</v>
      </c>
      <c r="B65" s="24" t="s">
        <v>12</v>
      </c>
      <c r="C65" s="25">
        <f>7777206+13255421</f>
        <v>21032627</v>
      </c>
      <c r="D65" s="25">
        <f>13255415</f>
        <v>13255415</v>
      </c>
      <c r="E65" s="25">
        <f t="shared" ref="E65:N65" si="21">13255415</f>
        <v>13255415</v>
      </c>
      <c r="F65" s="25">
        <f t="shared" si="21"/>
        <v>13255415</v>
      </c>
      <c r="G65" s="25">
        <f>13255415+1094837</f>
        <v>14350252</v>
      </c>
      <c r="H65" s="25">
        <f t="shared" si="21"/>
        <v>13255415</v>
      </c>
      <c r="I65" s="25">
        <f t="shared" si="21"/>
        <v>13255415</v>
      </c>
      <c r="J65" s="25">
        <f t="shared" si="21"/>
        <v>13255415</v>
      </c>
      <c r="K65" s="25">
        <f t="shared" si="21"/>
        <v>13255415</v>
      </c>
      <c r="L65" s="25">
        <f t="shared" si="21"/>
        <v>13255415</v>
      </c>
      <c r="M65" s="25">
        <f t="shared" si="21"/>
        <v>13255415</v>
      </c>
      <c r="N65" s="25">
        <f t="shared" si="21"/>
        <v>13255415</v>
      </c>
      <c r="O65" s="26">
        <f t="shared" si="18"/>
        <v>167937029</v>
      </c>
    </row>
    <row r="66" spans="1:15" s="19" customFormat="1" ht="15.95" customHeight="1" thickBot="1">
      <c r="A66" s="15"/>
      <c r="B66" s="16" t="s">
        <v>107</v>
      </c>
      <c r="C66" s="17">
        <f t="shared" ref="C66:N66" si="22">SUM(C54:C65)</f>
        <v>56768300</v>
      </c>
      <c r="D66" s="17">
        <f t="shared" si="22"/>
        <v>48641081</v>
      </c>
      <c r="E66" s="17">
        <f t="shared" si="22"/>
        <v>56013960</v>
      </c>
      <c r="F66" s="17">
        <f t="shared" si="22"/>
        <v>47751393</v>
      </c>
      <c r="G66" s="17">
        <f t="shared" si="22"/>
        <v>70263234</v>
      </c>
      <c r="H66" s="17">
        <f t="shared" si="22"/>
        <v>77221313</v>
      </c>
      <c r="I66" s="17">
        <f t="shared" si="22"/>
        <v>76821314</v>
      </c>
      <c r="J66" s="17">
        <f t="shared" si="22"/>
        <v>77171314</v>
      </c>
      <c r="K66" s="17">
        <f t="shared" si="22"/>
        <v>56409827</v>
      </c>
      <c r="L66" s="17">
        <f t="shared" si="22"/>
        <v>50501393</v>
      </c>
      <c r="M66" s="17">
        <f t="shared" si="22"/>
        <v>47751393</v>
      </c>
      <c r="N66" s="17">
        <f t="shared" si="22"/>
        <v>82345518</v>
      </c>
      <c r="O66" s="18">
        <f t="shared" si="18"/>
        <v>747660040</v>
      </c>
    </row>
    <row r="67" spans="1:15" s="19" customFormat="1" ht="15.95" customHeight="1" thickBot="1">
      <c r="A67" s="27"/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</row>
    <row r="68" spans="1:15" ht="16.5" thickBot="1">
      <c r="A68" s="15"/>
      <c r="B68" s="16" t="s">
        <v>108</v>
      </c>
      <c r="C68" s="17">
        <f t="shared" ref="C68:O68" si="23">C51-C66</f>
        <v>188387078</v>
      </c>
      <c r="D68" s="17">
        <f t="shared" si="23"/>
        <v>-13876434</v>
      </c>
      <c r="E68" s="17">
        <f t="shared" si="23"/>
        <v>-15326606</v>
      </c>
      <c r="F68" s="17">
        <f t="shared" si="23"/>
        <v>-13280046</v>
      </c>
      <c r="G68" s="17">
        <f t="shared" si="23"/>
        <v>-12677895</v>
      </c>
      <c r="H68" s="17">
        <f t="shared" si="23"/>
        <v>-11317067</v>
      </c>
      <c r="I68" s="17">
        <f t="shared" si="23"/>
        <v>-10917068</v>
      </c>
      <c r="J68" s="17">
        <f t="shared" si="23"/>
        <v>-11267068</v>
      </c>
      <c r="K68" s="17">
        <f t="shared" si="23"/>
        <v>-21938480</v>
      </c>
      <c r="L68" s="17">
        <f t="shared" si="23"/>
        <v>-16030046</v>
      </c>
      <c r="M68" s="17">
        <f t="shared" si="23"/>
        <v>-13280046</v>
      </c>
      <c r="N68" s="17">
        <f t="shared" si="23"/>
        <v>-47874171</v>
      </c>
      <c r="O68" s="18">
        <f t="shared" si="23"/>
        <v>602151</v>
      </c>
    </row>
  </sheetData>
  <mergeCells count="8">
    <mergeCell ref="B41:O41"/>
    <mergeCell ref="B53:O53"/>
    <mergeCell ref="A1:O1"/>
    <mergeCell ref="A2:O2"/>
    <mergeCell ref="B6:O6"/>
    <mergeCell ref="B18:O18"/>
    <mergeCell ref="A36:O36"/>
    <mergeCell ref="A37:O37"/>
  </mergeCells>
  <phoneticPr fontId="0" type="noConversion"/>
  <printOptions horizontalCentered="1"/>
  <pageMargins left="0.78740157480314965" right="0.78740157480314965" top="0.19685039370078741" bottom="0.19685039370078741" header="0.78740157480314965" footer="0.78740157480314965"/>
  <pageSetup paperSize="9" orientation="landscape" r:id="rId1"/>
  <headerFooter alignWithMargins="0">
    <oddHeader>&amp;LVonyarcvashegy Nagyközség Önkormányzata
&amp;R&amp;"Times New Roman CE,Félkövér dőlt"&amp;11 4. tájékoztató tábla a 7/2017. (V.26.) önkormányzati rendelethez</oddHeader>
    <oddFooter>&amp;P. oldal, összesen: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codeName="Munka32">
    <tabColor rgb="FFFFFF00"/>
    <pageSetUpPr fitToPage="1"/>
  </sheetPr>
  <dimension ref="A1:F41"/>
  <sheetViews>
    <sheetView zoomScaleNormal="100" workbookViewId="0">
      <selection activeCell="A47" sqref="A47"/>
    </sheetView>
  </sheetViews>
  <sheetFormatPr defaultRowHeight="15.75"/>
  <cols>
    <col min="1" max="1" width="106.83203125" style="612" bestFit="1" customWidth="1"/>
    <col min="2" max="3" width="31.33203125" style="612" bestFit="1" customWidth="1"/>
    <col min="4" max="16384" width="9.33203125" style="612"/>
  </cols>
  <sheetData>
    <row r="1" spans="1:6" ht="47.25" customHeight="1">
      <c r="A1" s="611" t="s">
        <v>604</v>
      </c>
    </row>
    <row r="2" spans="1:6" ht="47.25" customHeight="1">
      <c r="A2" s="613" t="s">
        <v>618</v>
      </c>
      <c r="B2" s="613"/>
      <c r="C2" s="613"/>
      <c r="D2" s="613"/>
      <c r="E2" s="613"/>
      <c r="F2" s="613"/>
    </row>
    <row r="3" spans="1:6" ht="22.5" customHeight="1">
      <c r="A3" s="614"/>
      <c r="B3" s="615" t="s">
        <v>597</v>
      </c>
      <c r="C3" s="615" t="s">
        <v>597</v>
      </c>
    </row>
    <row r="4" spans="1:6" s="617" customFormat="1" ht="24" customHeight="1">
      <c r="A4" s="616" t="s">
        <v>49</v>
      </c>
      <c r="B4" s="616" t="s">
        <v>617</v>
      </c>
      <c r="C4" s="616" t="s">
        <v>707</v>
      </c>
    </row>
    <row r="5" spans="1:6" s="618" customFormat="1">
      <c r="A5" s="616" t="s">
        <v>487</v>
      </c>
      <c r="B5" s="616" t="s">
        <v>488</v>
      </c>
      <c r="C5" s="616" t="s">
        <v>488</v>
      </c>
    </row>
    <row r="6" spans="1:6">
      <c r="A6" s="619" t="s">
        <v>563</v>
      </c>
      <c r="B6" s="620">
        <f>SUM(B7+B8+B13+B15+B14)</f>
        <v>116822015</v>
      </c>
      <c r="C6" s="620">
        <f>SUM(C7+C8+C13+C15+C14)</f>
        <v>116822015</v>
      </c>
    </row>
    <row r="7" spans="1:6" ht="15.75" customHeight="1">
      <c r="A7" s="621" t="s">
        <v>564</v>
      </c>
      <c r="B7" s="622">
        <v>47448800</v>
      </c>
      <c r="C7" s="622">
        <v>47448800</v>
      </c>
    </row>
    <row r="8" spans="1:6">
      <c r="A8" s="621" t="s">
        <v>565</v>
      </c>
      <c r="B8" s="623">
        <f>B9+B10+B11+B12</f>
        <v>32862214</v>
      </c>
      <c r="C8" s="623">
        <f>C9+C10+C11+C12</f>
        <v>32862214</v>
      </c>
    </row>
    <row r="9" spans="1:6">
      <c r="A9" s="624" t="s">
        <v>566</v>
      </c>
      <c r="B9" s="622">
        <v>7361230</v>
      </c>
      <c r="C9" s="622">
        <v>7361230</v>
      </c>
    </row>
    <row r="10" spans="1:6">
      <c r="A10" s="624" t="s">
        <v>567</v>
      </c>
      <c r="B10" s="622">
        <v>14400000</v>
      </c>
      <c r="C10" s="622">
        <v>14400000</v>
      </c>
    </row>
    <row r="11" spans="1:6">
      <c r="A11" s="624" t="s">
        <v>568</v>
      </c>
      <c r="B11" s="622">
        <v>1744044</v>
      </c>
      <c r="C11" s="622">
        <v>1744044</v>
      </c>
    </row>
    <row r="12" spans="1:6">
      <c r="A12" s="624" t="s">
        <v>569</v>
      </c>
      <c r="B12" s="622">
        <v>9356940</v>
      </c>
      <c r="C12" s="622">
        <v>9356940</v>
      </c>
    </row>
    <row r="13" spans="1:6">
      <c r="A13" s="621" t="s">
        <v>599</v>
      </c>
      <c r="B13" s="622">
        <v>6679800</v>
      </c>
      <c r="C13" s="622">
        <v>6679800</v>
      </c>
    </row>
    <row r="14" spans="1:6">
      <c r="A14" s="621" t="s">
        <v>581</v>
      </c>
      <c r="B14" s="625">
        <v>29620000</v>
      </c>
      <c r="C14" s="625">
        <v>29620000</v>
      </c>
    </row>
    <row r="15" spans="1:6">
      <c r="A15" s="621" t="s">
        <v>619</v>
      </c>
      <c r="B15" s="625">
        <v>211201</v>
      </c>
      <c r="C15" s="625">
        <v>211201</v>
      </c>
    </row>
    <row r="16" spans="1:6" ht="12.75" customHeight="1">
      <c r="A16" s="626" t="s">
        <v>570</v>
      </c>
      <c r="B16" s="627">
        <f>SUM(B17:B18)</f>
        <v>54429080</v>
      </c>
      <c r="C16" s="627">
        <f>SUM(C17:C18)</f>
        <v>54429080</v>
      </c>
    </row>
    <row r="17" spans="1:3" ht="30">
      <c r="A17" s="621" t="s">
        <v>600</v>
      </c>
      <c r="B17" s="622">
        <v>45963180</v>
      </c>
      <c r="C17" s="622">
        <v>45963180</v>
      </c>
    </row>
    <row r="18" spans="1:3">
      <c r="A18" s="621" t="s">
        <v>571</v>
      </c>
      <c r="B18" s="622">
        <v>8465900</v>
      </c>
      <c r="C18" s="622">
        <v>8465900</v>
      </c>
    </row>
    <row r="19" spans="1:3">
      <c r="A19" s="626" t="s">
        <v>602</v>
      </c>
      <c r="B19" s="627">
        <f>B20+B21+B22+B23</f>
        <v>40034781</v>
      </c>
      <c r="C19" s="627">
        <f>C20+C21+C22+C23</f>
        <v>40034781</v>
      </c>
    </row>
    <row r="20" spans="1:3">
      <c r="A20" s="628" t="s">
        <v>572</v>
      </c>
      <c r="B20" s="629">
        <v>16916000</v>
      </c>
      <c r="C20" s="629">
        <v>16916000</v>
      </c>
    </row>
    <row r="21" spans="1:3">
      <c r="A21" s="630" t="s">
        <v>573</v>
      </c>
      <c r="B21" s="631">
        <v>996480</v>
      </c>
      <c r="C21" s="631">
        <v>996480</v>
      </c>
    </row>
    <row r="22" spans="1:3">
      <c r="A22" s="621" t="s">
        <v>579</v>
      </c>
      <c r="B22" s="625">
        <v>10297920</v>
      </c>
      <c r="C22" s="625">
        <v>10297920</v>
      </c>
    </row>
    <row r="23" spans="1:3">
      <c r="A23" s="621" t="s">
        <v>580</v>
      </c>
      <c r="B23" s="625">
        <v>11824381</v>
      </c>
      <c r="C23" s="625">
        <v>11824381</v>
      </c>
    </row>
    <row r="24" spans="1:3" s="634" customFormat="1" ht="12.75">
      <c r="A24" s="632" t="s">
        <v>574</v>
      </c>
      <c r="B24" s="633">
        <f>B25+B27+B28+B26</f>
        <v>0</v>
      </c>
      <c r="C24" s="633">
        <f>C25+C27+C28+C26</f>
        <v>0</v>
      </c>
    </row>
    <row r="25" spans="1:3" s="557" customFormat="1" ht="12.75">
      <c r="A25" s="635" t="s">
        <v>575</v>
      </c>
      <c r="B25" s="636"/>
      <c r="C25" s="636"/>
    </row>
    <row r="26" spans="1:3" s="557" customFormat="1" ht="12.75">
      <c r="A26" s="635" t="s">
        <v>576</v>
      </c>
      <c r="B26" s="636"/>
      <c r="C26" s="636"/>
    </row>
    <row r="27" spans="1:3" s="557" customFormat="1" ht="12.75">
      <c r="A27" s="635" t="s">
        <v>577</v>
      </c>
      <c r="B27" s="636"/>
      <c r="C27" s="636"/>
    </row>
    <row r="28" spans="1:3" s="557" customFormat="1" ht="12.75">
      <c r="A28" s="635" t="s">
        <v>598</v>
      </c>
      <c r="B28" s="636"/>
      <c r="C28" s="636"/>
    </row>
    <row r="29" spans="1:3">
      <c r="A29" s="626" t="s">
        <v>603</v>
      </c>
      <c r="B29" s="637">
        <f>B30+B31</f>
        <v>2820360</v>
      </c>
      <c r="C29" s="637">
        <f>C30+C31</f>
        <v>3099983</v>
      </c>
    </row>
    <row r="30" spans="1:3">
      <c r="A30" s="630" t="s">
        <v>601</v>
      </c>
      <c r="B30" s="631">
        <v>2820360</v>
      </c>
      <c r="C30" s="631">
        <v>2820360</v>
      </c>
    </row>
    <row r="31" spans="1:3">
      <c r="A31" s="630" t="s">
        <v>712</v>
      </c>
      <c r="B31" s="631"/>
      <c r="C31" s="631">
        <v>279623</v>
      </c>
    </row>
    <row r="32" spans="1:3" s="638" customFormat="1" ht="19.5" customHeight="1">
      <c r="A32" s="626" t="s">
        <v>578</v>
      </c>
      <c r="B32" s="637">
        <f>B33+B34+B35+B36</f>
        <v>0</v>
      </c>
      <c r="C32" s="637">
        <f>C33+C34+C35+C36</f>
        <v>694424</v>
      </c>
    </row>
    <row r="33" spans="1:3">
      <c r="A33" s="621" t="s">
        <v>587</v>
      </c>
      <c r="B33" s="625"/>
      <c r="C33" s="625"/>
    </row>
    <row r="34" spans="1:3">
      <c r="A34" s="621" t="s">
        <v>582</v>
      </c>
      <c r="B34" s="625"/>
      <c r="C34" s="625"/>
    </row>
    <row r="35" spans="1:3">
      <c r="A35" s="621" t="s">
        <v>583</v>
      </c>
      <c r="B35" s="625"/>
      <c r="C35" s="625">
        <v>694424</v>
      </c>
    </row>
    <row r="36" spans="1:3">
      <c r="A36" s="621" t="s">
        <v>584</v>
      </c>
      <c r="B36" s="625"/>
      <c r="C36" s="625"/>
    </row>
    <row r="37" spans="1:3">
      <c r="A37" s="626" t="s">
        <v>431</v>
      </c>
      <c r="B37" s="637">
        <f>B38</f>
        <v>0</v>
      </c>
      <c r="C37" s="637">
        <f>C38</f>
        <v>0</v>
      </c>
    </row>
    <row r="38" spans="1:3">
      <c r="A38" s="621"/>
      <c r="B38" s="625"/>
      <c r="C38" s="625"/>
    </row>
    <row r="39" spans="1:3">
      <c r="A39" s="621"/>
      <c r="B39" s="625"/>
      <c r="C39" s="625"/>
    </row>
    <row r="40" spans="1:3">
      <c r="A40" s="621"/>
      <c r="B40" s="625"/>
      <c r="C40" s="625"/>
    </row>
    <row r="41" spans="1:3">
      <c r="A41" s="639" t="s">
        <v>50</v>
      </c>
      <c r="B41" s="620">
        <f>B6+B16+B19+B24+B29+B32+B37</f>
        <v>214106236</v>
      </c>
      <c r="C41" s="620">
        <f>C6+C16+C19+C24+C29+C32+C37</f>
        <v>215080283</v>
      </c>
    </row>
  </sheetData>
  <phoneticPr fontId="0" type="noConversion"/>
  <printOptions horizontalCentered="1"/>
  <pageMargins left="0.19685039370078741" right="0.19685039370078741" top="0.19685039370078741" bottom="0.19685039370078741" header="0.78740157480314965" footer="0.78740157480314965"/>
  <pageSetup paperSize="9" scale="78" orientation="landscape" verticalDpi="300" r:id="rId1"/>
  <headerFooter alignWithMargins="0">
    <oddHeader>&amp;CVonyarcvashegy Nagyközség Önkormányzata&amp;R5. sz. tájékoztató tábla a 7/2017. (V.26.) önkormányzati rendelethez</oddHeader>
    <oddFooter>&amp;P. oldal, összesen: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codeName="Munka33">
    <tabColor rgb="FFFFFF00"/>
  </sheetPr>
  <dimension ref="A1:F19"/>
  <sheetViews>
    <sheetView zoomScaleNormal="100" workbookViewId="0">
      <selection activeCell="G10" sqref="G10"/>
    </sheetView>
  </sheetViews>
  <sheetFormatPr defaultColWidth="14" defaultRowHeight="15.75"/>
  <cols>
    <col min="1" max="1" width="10.5" style="599" bestFit="1" customWidth="1"/>
    <col min="2" max="2" width="78.33203125" style="599" bestFit="1" customWidth="1"/>
    <col min="3" max="3" width="31.1640625" style="599" bestFit="1" customWidth="1"/>
    <col min="4" max="4" width="14.33203125" style="599" bestFit="1" customWidth="1"/>
    <col min="5" max="5" width="14.33203125" style="599" customWidth="1"/>
    <col min="6" max="16384" width="14" style="599"/>
  </cols>
  <sheetData>
    <row r="1" spans="1:6" ht="22.5" customHeight="1">
      <c r="A1" s="757" t="s">
        <v>596</v>
      </c>
      <c r="B1" s="757"/>
      <c r="C1" s="757"/>
      <c r="D1" s="757"/>
    </row>
    <row r="2" spans="1:6" ht="17.25" customHeight="1">
      <c r="A2" s="757" t="s">
        <v>614</v>
      </c>
      <c r="B2" s="757"/>
      <c r="C2" s="757"/>
      <c r="D2" s="757"/>
      <c r="E2" s="598"/>
      <c r="F2" s="598"/>
    </row>
    <row r="3" spans="1:6" ht="17.25" customHeight="1">
      <c r="A3" s="598"/>
      <c r="B3" s="598"/>
      <c r="C3" s="598"/>
      <c r="D3" s="598"/>
      <c r="E3" s="598"/>
      <c r="F3" s="598"/>
    </row>
    <row r="4" spans="1:6" ht="16.5" thickBot="1">
      <c r="A4" s="600"/>
      <c r="B4" s="600"/>
      <c r="C4" s="756" t="s">
        <v>597</v>
      </c>
      <c r="D4" s="756"/>
    </row>
    <row r="5" spans="1:6" ht="55.5" customHeight="1" thickBot="1">
      <c r="A5" s="601" t="s">
        <v>593</v>
      </c>
      <c r="B5" s="601" t="s">
        <v>122</v>
      </c>
      <c r="C5" s="601" t="s">
        <v>123</v>
      </c>
      <c r="D5" s="602" t="s">
        <v>615</v>
      </c>
      <c r="E5" s="602" t="s">
        <v>706</v>
      </c>
    </row>
    <row r="6" spans="1:6" ht="15.95" customHeight="1">
      <c r="A6" s="603" t="s">
        <v>16</v>
      </c>
      <c r="B6" s="604" t="s">
        <v>546</v>
      </c>
      <c r="C6" s="604" t="s">
        <v>586</v>
      </c>
      <c r="D6" s="605">
        <v>200000</v>
      </c>
      <c r="E6" s="605">
        <v>200000</v>
      </c>
    </row>
    <row r="7" spans="1:6" ht="15.95" customHeight="1">
      <c r="A7" s="603" t="s">
        <v>17</v>
      </c>
      <c r="B7" s="606" t="s">
        <v>547</v>
      </c>
      <c r="C7" s="606" t="s">
        <v>586</v>
      </c>
      <c r="D7" s="607">
        <v>100000</v>
      </c>
      <c r="E7" s="607">
        <v>100000</v>
      </c>
    </row>
    <row r="8" spans="1:6" ht="16.5" customHeight="1">
      <c r="A8" s="603" t="s">
        <v>18</v>
      </c>
      <c r="B8" s="606" t="s">
        <v>548</v>
      </c>
      <c r="C8" s="606" t="s">
        <v>586</v>
      </c>
      <c r="D8" s="607">
        <v>750000</v>
      </c>
      <c r="E8" s="607">
        <v>750000</v>
      </c>
    </row>
    <row r="9" spans="1:6" ht="15.95" customHeight="1">
      <c r="A9" s="603" t="s">
        <v>19</v>
      </c>
      <c r="B9" s="606" t="s">
        <v>550</v>
      </c>
      <c r="C9" s="606" t="s">
        <v>586</v>
      </c>
      <c r="D9" s="607">
        <v>200000</v>
      </c>
      <c r="E9" s="607">
        <v>200000</v>
      </c>
    </row>
    <row r="10" spans="1:6" ht="15.95" customHeight="1">
      <c r="A10" s="603" t="s">
        <v>20</v>
      </c>
      <c r="B10" s="606" t="s">
        <v>551</v>
      </c>
      <c r="C10" s="606" t="s">
        <v>586</v>
      </c>
      <c r="D10" s="607">
        <v>7000000</v>
      </c>
      <c r="E10" s="607">
        <f>7000000+1200000</f>
        <v>8200000</v>
      </c>
    </row>
    <row r="11" spans="1:6" ht="15.95" customHeight="1">
      <c r="A11" s="603" t="s">
        <v>21</v>
      </c>
      <c r="B11" s="606" t="s">
        <v>552</v>
      </c>
      <c r="C11" s="606" t="s">
        <v>586</v>
      </c>
      <c r="D11" s="607">
        <v>700000</v>
      </c>
      <c r="E11" s="607">
        <v>700000</v>
      </c>
    </row>
    <row r="12" spans="1:6" ht="15.95" customHeight="1">
      <c r="A12" s="603" t="s">
        <v>22</v>
      </c>
      <c r="B12" s="606" t="s">
        <v>553</v>
      </c>
      <c r="C12" s="606" t="s">
        <v>586</v>
      </c>
      <c r="D12" s="607">
        <v>200000</v>
      </c>
      <c r="E12" s="607">
        <v>200000</v>
      </c>
    </row>
    <row r="13" spans="1:6" ht="15.95" customHeight="1">
      <c r="A13" s="603" t="s">
        <v>23</v>
      </c>
      <c r="B13" s="606" t="s">
        <v>554</v>
      </c>
      <c r="C13" s="606" t="s">
        <v>586</v>
      </c>
      <c r="D13" s="607">
        <v>100000</v>
      </c>
      <c r="E13" s="607">
        <v>100000</v>
      </c>
    </row>
    <row r="14" spans="1:6" ht="18.75" customHeight="1">
      <c r="A14" s="603" t="s">
        <v>24</v>
      </c>
      <c r="B14" s="608" t="s">
        <v>549</v>
      </c>
      <c r="C14" s="606" t="s">
        <v>586</v>
      </c>
      <c r="D14" s="607">
        <v>1150000</v>
      </c>
      <c r="E14" s="607">
        <v>1150000</v>
      </c>
    </row>
    <row r="15" spans="1:6" ht="15.95" customHeight="1">
      <c r="A15" s="603" t="s">
        <v>25</v>
      </c>
      <c r="B15" s="606" t="s">
        <v>595</v>
      </c>
      <c r="C15" s="606" t="s">
        <v>586</v>
      </c>
      <c r="D15" s="607">
        <v>500000</v>
      </c>
      <c r="E15" s="607">
        <v>500000</v>
      </c>
    </row>
    <row r="16" spans="1:6" ht="15.95" customHeight="1">
      <c r="A16" s="603" t="s">
        <v>26</v>
      </c>
      <c r="B16" s="606" t="s">
        <v>688</v>
      </c>
      <c r="C16" s="606" t="s">
        <v>689</v>
      </c>
      <c r="D16" s="607">
        <v>95000</v>
      </c>
      <c r="E16" s="607">
        <v>95000</v>
      </c>
    </row>
    <row r="17" spans="1:5" ht="15.95" customHeight="1">
      <c r="A17" s="603" t="s">
        <v>27</v>
      </c>
      <c r="B17" s="606" t="s">
        <v>594</v>
      </c>
      <c r="C17" s="606" t="s">
        <v>586</v>
      </c>
      <c r="D17" s="607">
        <v>1440000</v>
      </c>
      <c r="E17" s="607">
        <v>1440000</v>
      </c>
    </row>
    <row r="18" spans="1:5" ht="15.95" customHeight="1" thickBot="1">
      <c r="A18" s="603" t="s">
        <v>28</v>
      </c>
      <c r="B18" s="606" t="s">
        <v>715</v>
      </c>
      <c r="C18" s="606" t="s">
        <v>716</v>
      </c>
      <c r="D18" s="607"/>
      <c r="E18" s="607">
        <v>30000</v>
      </c>
    </row>
    <row r="19" spans="1:5" ht="15.95" customHeight="1" thickBot="1">
      <c r="A19" s="758" t="s">
        <v>50</v>
      </c>
      <c r="B19" s="759"/>
      <c r="C19" s="609"/>
      <c r="D19" s="610">
        <f>SUM(D6:D18)</f>
        <v>12435000</v>
      </c>
      <c r="E19" s="610">
        <f>SUM(E6:E18)</f>
        <v>13665000</v>
      </c>
    </row>
  </sheetData>
  <mergeCells count="4">
    <mergeCell ref="C4:D4"/>
    <mergeCell ref="A1:D1"/>
    <mergeCell ref="A19:B19"/>
    <mergeCell ref="A2:D2"/>
  </mergeCells>
  <phoneticPr fontId="6" type="noConversion"/>
  <printOptions horizontalCentered="1"/>
  <pageMargins left="0.19685039370078741" right="0.19685039370078741" top="0.19685039370078741" bottom="0.19685039370078741" header="0.78740157480314965" footer="0.78740157480314965"/>
  <pageSetup paperSize="9" scale="88" orientation="landscape" copies="4" r:id="rId1"/>
  <headerFooter alignWithMargins="0">
    <oddHeader>&amp;LVonyarcvashegy Nagyközség Önkormányzata&amp;R&amp;"Times New Roman CE,Félkövér dőlt"&amp;11 6. tájékoztató tábla a 7/2017. (V.26.) önkormányzati rendelethez</oddHeader>
    <oddFooter>&amp;P. oldal, összesen: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codeName="Munka34">
    <tabColor rgb="FFFFFF00"/>
  </sheetPr>
  <dimension ref="A1:F48"/>
  <sheetViews>
    <sheetView tabSelected="1" view="pageLayout" zoomScaleNormal="120" zoomScaleSheetLayoutView="100" workbookViewId="0">
      <selection activeCell="E14" sqref="E14"/>
    </sheetView>
  </sheetViews>
  <sheetFormatPr defaultRowHeight="15.75"/>
  <cols>
    <col min="1" max="1" width="9" style="98" customWidth="1"/>
    <col min="2" max="2" width="66.33203125" style="98" bestFit="1" customWidth="1"/>
    <col min="3" max="3" width="15.5" style="173" customWidth="1"/>
    <col min="4" max="5" width="15.5" style="98" customWidth="1"/>
    <col min="6" max="6" width="9" style="98" customWidth="1"/>
    <col min="7" max="16384" width="9.33203125" style="98"/>
  </cols>
  <sheetData>
    <row r="1" spans="1:5" ht="15.95" customHeight="1">
      <c r="A1" s="691" t="s">
        <v>13</v>
      </c>
      <c r="B1" s="691"/>
      <c r="C1" s="691"/>
      <c r="D1" s="691"/>
      <c r="E1" s="691"/>
    </row>
    <row r="2" spans="1:5" ht="15.95" customHeight="1" thickBot="1">
      <c r="A2" s="690" t="s">
        <v>144</v>
      </c>
      <c r="B2" s="690"/>
      <c r="D2" s="175"/>
      <c r="E2" s="99" t="s">
        <v>597</v>
      </c>
    </row>
    <row r="3" spans="1:5" ht="38.1" customHeight="1" thickBot="1">
      <c r="A3" s="100" t="s">
        <v>66</v>
      </c>
      <c r="B3" s="101" t="s">
        <v>15</v>
      </c>
      <c r="C3" s="101" t="s">
        <v>591</v>
      </c>
      <c r="D3" s="668" t="s">
        <v>592</v>
      </c>
      <c r="E3" s="669" t="s">
        <v>616</v>
      </c>
    </row>
    <row r="4" spans="1:5" s="105" customFormat="1" ht="12" customHeight="1" thickBot="1">
      <c r="A4" s="143" t="s">
        <v>487</v>
      </c>
      <c r="B4" s="144" t="s">
        <v>488</v>
      </c>
      <c r="C4" s="144" t="s">
        <v>489</v>
      </c>
      <c r="D4" s="144" t="s">
        <v>491</v>
      </c>
      <c r="E4" s="670" t="s">
        <v>490</v>
      </c>
    </row>
    <row r="5" spans="1:5" s="109" customFormat="1" ht="12" customHeight="1" thickBot="1">
      <c r="A5" s="106" t="s">
        <v>16</v>
      </c>
      <c r="B5" s="107" t="s">
        <v>526</v>
      </c>
      <c r="C5" s="671">
        <v>214106236</v>
      </c>
      <c r="D5" s="671">
        <v>214106236</v>
      </c>
      <c r="E5" s="671">
        <v>214106236</v>
      </c>
    </row>
    <row r="6" spans="1:5" s="109" customFormat="1" ht="12" customHeight="1" thickBot="1">
      <c r="A6" s="106" t="s">
        <v>17</v>
      </c>
      <c r="B6" s="119" t="s">
        <v>374</v>
      </c>
      <c r="C6" s="671">
        <v>57862861</v>
      </c>
      <c r="D6" s="671">
        <v>57862861</v>
      </c>
      <c r="E6" s="671">
        <v>57862861</v>
      </c>
    </row>
    <row r="7" spans="1:5" s="109" customFormat="1" ht="12" customHeight="1" thickBot="1">
      <c r="A7" s="106" t="s">
        <v>18</v>
      </c>
      <c r="B7" s="107" t="s">
        <v>382</v>
      </c>
      <c r="C7" s="671"/>
      <c r="D7" s="671"/>
      <c r="E7" s="671"/>
    </row>
    <row r="8" spans="1:5" s="109" customFormat="1" ht="12" customHeight="1" thickBot="1">
      <c r="A8" s="106" t="s">
        <v>164</v>
      </c>
      <c r="B8" s="107" t="s">
        <v>260</v>
      </c>
      <c r="C8" s="672">
        <f>+C9+C13+C14+C15</f>
        <v>124930000</v>
      </c>
      <c r="D8" s="672">
        <f>+D9+D13+D14+D15</f>
        <v>124930000</v>
      </c>
      <c r="E8" s="672">
        <f>+E9+E13+E14+E15</f>
        <v>124930000</v>
      </c>
    </row>
    <row r="9" spans="1:5" s="109" customFormat="1" ht="12" customHeight="1">
      <c r="A9" s="110" t="s">
        <v>261</v>
      </c>
      <c r="B9" s="111" t="s">
        <v>437</v>
      </c>
      <c r="C9" s="673">
        <f>+C10+C11+C12</f>
        <v>117400000</v>
      </c>
      <c r="D9" s="673">
        <f>+D10+D11+D12</f>
        <v>117400000</v>
      </c>
      <c r="E9" s="673">
        <f>+E10+E11+E12</f>
        <v>117400000</v>
      </c>
    </row>
    <row r="10" spans="1:5" s="109" customFormat="1" ht="12" customHeight="1">
      <c r="A10" s="113" t="s">
        <v>262</v>
      </c>
      <c r="B10" s="114" t="s">
        <v>267</v>
      </c>
      <c r="C10" s="674">
        <v>117400000</v>
      </c>
      <c r="D10" s="674">
        <v>117400000</v>
      </c>
      <c r="E10" s="674">
        <v>117400000</v>
      </c>
    </row>
    <row r="11" spans="1:5" s="109" customFormat="1" ht="12" customHeight="1">
      <c r="A11" s="113" t="s">
        <v>263</v>
      </c>
      <c r="B11" s="114" t="s">
        <v>268</v>
      </c>
      <c r="C11" s="674"/>
      <c r="D11" s="674"/>
      <c r="E11" s="674"/>
    </row>
    <row r="12" spans="1:5" s="109" customFormat="1" ht="12" customHeight="1">
      <c r="A12" s="113" t="s">
        <v>435</v>
      </c>
      <c r="B12" s="124" t="s">
        <v>436</v>
      </c>
      <c r="C12" s="674"/>
      <c r="D12" s="674"/>
      <c r="E12" s="674"/>
    </row>
    <row r="13" spans="1:5" s="109" customFormat="1" ht="12" customHeight="1">
      <c r="A13" s="113" t="s">
        <v>264</v>
      </c>
      <c r="B13" s="114" t="s">
        <v>269</v>
      </c>
      <c r="C13" s="674">
        <v>7400000</v>
      </c>
      <c r="D13" s="674">
        <v>7400000</v>
      </c>
      <c r="E13" s="674">
        <v>7400000</v>
      </c>
    </row>
    <row r="14" spans="1:5" s="109" customFormat="1" ht="12" customHeight="1">
      <c r="A14" s="113" t="s">
        <v>265</v>
      </c>
      <c r="B14" s="114" t="s">
        <v>270</v>
      </c>
      <c r="C14" s="674"/>
      <c r="D14" s="674"/>
      <c r="E14" s="674"/>
    </row>
    <row r="15" spans="1:5" s="109" customFormat="1" ht="12" customHeight="1" thickBot="1">
      <c r="A15" s="117" t="s">
        <v>266</v>
      </c>
      <c r="B15" s="121" t="s">
        <v>271</v>
      </c>
      <c r="C15" s="675">
        <v>130000</v>
      </c>
      <c r="D15" s="675">
        <v>130000</v>
      </c>
      <c r="E15" s="675">
        <v>130000</v>
      </c>
    </row>
    <row r="16" spans="1:5" s="109" customFormat="1" ht="12" customHeight="1" thickBot="1">
      <c r="A16" s="106" t="s">
        <v>20</v>
      </c>
      <c r="B16" s="107" t="s">
        <v>529</v>
      </c>
      <c r="C16" s="671">
        <v>105450315</v>
      </c>
      <c r="D16" s="671">
        <v>105450315</v>
      </c>
      <c r="E16" s="671">
        <v>105450315</v>
      </c>
    </row>
    <row r="17" spans="1:6" s="109" customFormat="1" ht="12" customHeight="1" thickBot="1">
      <c r="A17" s="106" t="s">
        <v>21</v>
      </c>
      <c r="B17" s="107" t="s">
        <v>10</v>
      </c>
      <c r="C17" s="671">
        <v>334567</v>
      </c>
      <c r="D17" s="671">
        <v>334567</v>
      </c>
      <c r="E17" s="671">
        <v>334567</v>
      </c>
    </row>
    <row r="18" spans="1:6" s="109" customFormat="1" ht="12" customHeight="1" thickBot="1">
      <c r="A18" s="106" t="s">
        <v>171</v>
      </c>
      <c r="B18" s="107" t="s">
        <v>528</v>
      </c>
      <c r="C18" s="671"/>
      <c r="D18" s="671"/>
      <c r="E18" s="671"/>
    </row>
    <row r="19" spans="1:6" s="109" customFormat="1" ht="12" customHeight="1" thickBot="1">
      <c r="A19" s="106" t="s">
        <v>23</v>
      </c>
      <c r="B19" s="119" t="s">
        <v>527</v>
      </c>
      <c r="C19" s="671"/>
      <c r="D19" s="671"/>
      <c r="E19" s="671"/>
    </row>
    <row r="20" spans="1:6" s="109" customFormat="1" ht="12" customHeight="1" thickBot="1">
      <c r="A20" s="106" t="s">
        <v>24</v>
      </c>
      <c r="B20" s="107" t="s">
        <v>304</v>
      </c>
      <c r="C20" s="672">
        <f>+C5+C6+C7+C8+C16+C17+C18+C19</f>
        <v>502683979</v>
      </c>
      <c r="D20" s="672">
        <f>+D5+D6+D7+D8+D16+D17+D18+D19</f>
        <v>502683979</v>
      </c>
      <c r="E20" s="672">
        <f>+E5+E6+E7+E8+E16+E17+E18+E19</f>
        <v>502683979</v>
      </c>
    </row>
    <row r="21" spans="1:6" s="109" customFormat="1" ht="12" customHeight="1" thickBot="1">
      <c r="A21" s="106" t="s">
        <v>25</v>
      </c>
      <c r="B21" s="107" t="s">
        <v>530</v>
      </c>
      <c r="C21" s="676"/>
      <c r="D21" s="676"/>
      <c r="E21" s="676"/>
    </row>
    <row r="22" spans="1:6" s="109" customFormat="1" ht="12" customHeight="1" thickBot="1">
      <c r="A22" s="106" t="s">
        <v>26</v>
      </c>
      <c r="B22" s="107" t="s">
        <v>531</v>
      </c>
      <c r="C22" s="672">
        <f>+C20+C21</f>
        <v>502683979</v>
      </c>
      <c r="D22" s="672">
        <f>+D20+D21</f>
        <v>502683979</v>
      </c>
      <c r="E22" s="672">
        <f>+E20+E21</f>
        <v>502683979</v>
      </c>
    </row>
    <row r="23" spans="1:6" s="109" customFormat="1" ht="12" customHeight="1">
      <c r="A23" s="677"/>
      <c r="B23" s="678"/>
      <c r="C23" s="679"/>
      <c r="D23" s="680"/>
      <c r="E23" s="681"/>
    </row>
    <row r="24" spans="1:6" s="109" customFormat="1" ht="12" customHeight="1">
      <c r="A24" s="691" t="s">
        <v>44</v>
      </c>
      <c r="B24" s="691"/>
      <c r="C24" s="691"/>
      <c r="D24" s="691"/>
      <c r="E24" s="691"/>
    </row>
    <row r="25" spans="1:6" s="109" customFormat="1" ht="12" customHeight="1" thickBot="1">
      <c r="A25" s="692" t="s">
        <v>145</v>
      </c>
      <c r="B25" s="692"/>
      <c r="C25" s="173"/>
      <c r="D25" s="175"/>
      <c r="E25" s="99" t="s">
        <v>597</v>
      </c>
    </row>
    <row r="26" spans="1:6" s="109" customFormat="1" ht="24" customHeight="1" thickBot="1">
      <c r="A26" s="100" t="s">
        <v>14</v>
      </c>
      <c r="B26" s="101" t="s">
        <v>45</v>
      </c>
      <c r="C26" s="101" t="str">
        <f>+C3</f>
        <v>2018. évi</v>
      </c>
      <c r="D26" s="101" t="str">
        <f>+D3</f>
        <v>2019. évi</v>
      </c>
      <c r="E26" s="669" t="str">
        <f>+E3</f>
        <v>2020. évi</v>
      </c>
      <c r="F26" s="682"/>
    </row>
    <row r="27" spans="1:6" s="109" customFormat="1" ht="12" customHeight="1" thickBot="1">
      <c r="A27" s="102" t="s">
        <v>487</v>
      </c>
      <c r="B27" s="103" t="s">
        <v>488</v>
      </c>
      <c r="C27" s="103" t="s">
        <v>489</v>
      </c>
      <c r="D27" s="103" t="s">
        <v>491</v>
      </c>
      <c r="E27" s="683" t="s">
        <v>490</v>
      </c>
      <c r="F27" s="682"/>
    </row>
    <row r="28" spans="1:6" s="109" customFormat="1" ht="15" customHeight="1" thickBot="1">
      <c r="A28" s="106" t="s">
        <v>16</v>
      </c>
      <c r="B28" s="174" t="s">
        <v>532</v>
      </c>
      <c r="C28" s="671">
        <v>341203734</v>
      </c>
      <c r="D28" s="671">
        <v>341203734</v>
      </c>
      <c r="E28" s="671">
        <v>341203734</v>
      </c>
      <c r="F28" s="682"/>
    </row>
    <row r="29" spans="1:6" ht="12" customHeight="1" thickBot="1">
      <c r="A29" s="160" t="s">
        <v>17</v>
      </c>
      <c r="B29" s="684" t="s">
        <v>537</v>
      </c>
      <c r="C29" s="685">
        <f>+C30+C31+C32</f>
        <v>0</v>
      </c>
      <c r="D29" s="685">
        <f>+D30+D31+D32</f>
        <v>0</v>
      </c>
      <c r="E29" s="685">
        <f>+E30+E31+E32</f>
        <v>0</v>
      </c>
    </row>
    <row r="30" spans="1:6" ht="12" customHeight="1">
      <c r="A30" s="110" t="s">
        <v>101</v>
      </c>
      <c r="B30" s="59" t="s">
        <v>219</v>
      </c>
      <c r="C30" s="686"/>
      <c r="D30" s="686"/>
      <c r="E30" s="686"/>
    </row>
    <row r="31" spans="1:6" ht="12" customHeight="1">
      <c r="A31" s="110" t="s">
        <v>102</v>
      </c>
      <c r="B31" s="163" t="s">
        <v>178</v>
      </c>
      <c r="C31" s="674"/>
      <c r="D31" s="674"/>
      <c r="E31" s="674"/>
    </row>
    <row r="32" spans="1:6" ht="12" customHeight="1" thickBot="1">
      <c r="A32" s="110" t="s">
        <v>103</v>
      </c>
      <c r="B32" s="118" t="s">
        <v>222</v>
      </c>
      <c r="C32" s="674"/>
      <c r="D32" s="674"/>
      <c r="E32" s="674"/>
    </row>
    <row r="33" spans="1:6" ht="12" customHeight="1" thickBot="1">
      <c r="A33" s="106" t="s">
        <v>18</v>
      </c>
      <c r="B33" s="67" t="s">
        <v>448</v>
      </c>
      <c r="C33" s="687">
        <f>+C28+C29</f>
        <v>341203734</v>
      </c>
      <c r="D33" s="687">
        <f>+D28+D29</f>
        <v>341203734</v>
      </c>
      <c r="E33" s="687">
        <f>+E28+E29</f>
        <v>341203734</v>
      </c>
    </row>
    <row r="34" spans="1:6" ht="15" customHeight="1" thickBot="1">
      <c r="A34" s="106" t="s">
        <v>19</v>
      </c>
      <c r="B34" s="67" t="s">
        <v>533</v>
      </c>
      <c r="C34" s="688">
        <v>161480245</v>
      </c>
      <c r="D34" s="688">
        <v>161480245</v>
      </c>
      <c r="E34" s="688">
        <v>161480245</v>
      </c>
      <c r="F34" s="170"/>
    </row>
    <row r="35" spans="1:6" s="109" customFormat="1" ht="12.95" customHeight="1" thickBot="1">
      <c r="A35" s="171" t="s">
        <v>20</v>
      </c>
      <c r="B35" s="172" t="s">
        <v>534</v>
      </c>
      <c r="C35" s="689">
        <f>+C33+C34</f>
        <v>502683979</v>
      </c>
      <c r="D35" s="689">
        <f>+D33+D34</f>
        <v>502683979</v>
      </c>
      <c r="E35" s="689">
        <f>+E33+E34</f>
        <v>502683979</v>
      </c>
    </row>
    <row r="36" spans="1:6">
      <c r="C36" s="98"/>
    </row>
    <row r="37" spans="1:6">
      <c r="C37" s="98"/>
    </row>
    <row r="38" spans="1:6">
      <c r="C38" s="98"/>
    </row>
    <row r="39" spans="1:6" ht="16.5" customHeight="1">
      <c r="C39" s="98"/>
    </row>
    <row r="40" spans="1:6">
      <c r="C40" s="98"/>
    </row>
    <row r="41" spans="1:6">
      <c r="C41" s="98"/>
    </row>
    <row r="42" spans="1:6">
      <c r="C42" s="98"/>
    </row>
    <row r="43" spans="1:6">
      <c r="C43" s="98"/>
    </row>
    <row r="44" spans="1:6">
      <c r="C44" s="98"/>
    </row>
    <row r="45" spans="1:6">
      <c r="C45" s="98"/>
    </row>
    <row r="46" spans="1:6">
      <c r="C46" s="98"/>
    </row>
    <row r="47" spans="1:6">
      <c r="C47" s="98"/>
    </row>
    <row r="48" spans="1:6">
      <c r="C48" s="98"/>
    </row>
  </sheetData>
  <mergeCells count="4">
    <mergeCell ref="A1:E1"/>
    <mergeCell ref="A2:B2"/>
    <mergeCell ref="A24:E24"/>
    <mergeCell ref="A25:B25"/>
  </mergeCells>
  <phoneticPr fontId="6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>
    <oddHeader>&amp;C&amp;"Times New Roman CE,Félkövér"&amp;12Vonyarcvashegy Nagyközség Önkormányzata
2017. ÉVI KÖLTSÉGVETÉSI ÉVET KÖVETŐ 3 ÉV TERVEZETT BEVÉTELEI, KIADÁSAI&amp;R&amp;"Times New Roman CE,Félkövér dőlt"&amp;11 7. számú tájékoztató tábla a 7/2017. (V.26.) önkormányzati rendelet</oddHeader>
    <oddFooter>&amp;P. oldal, összesen: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4">
    <tabColor rgb="FFFFC000"/>
  </sheetPr>
  <dimension ref="A1:E159"/>
  <sheetViews>
    <sheetView view="pageLayout" topLeftCell="A89" zoomScaleNormal="100" zoomScaleSheetLayoutView="100" workbookViewId="0">
      <selection activeCell="B161" sqref="B161"/>
    </sheetView>
  </sheetViews>
  <sheetFormatPr defaultRowHeight="15.75"/>
  <cols>
    <col min="1" max="1" width="9.5" style="98" customWidth="1"/>
    <col min="2" max="2" width="91.6640625" style="98" customWidth="1"/>
    <col min="3" max="4" width="21.6640625" style="173" customWidth="1"/>
    <col min="5" max="16384" width="9.33203125" style="98"/>
  </cols>
  <sheetData>
    <row r="1" spans="1:4" ht="15.95" customHeight="1">
      <c r="A1" s="691" t="s">
        <v>13</v>
      </c>
      <c r="B1" s="691"/>
      <c r="C1" s="691"/>
      <c r="D1" s="98"/>
    </row>
    <row r="2" spans="1:4" ht="15.95" customHeight="1" thickBot="1">
      <c r="A2" s="690" t="s">
        <v>144</v>
      </c>
      <c r="B2" s="690"/>
      <c r="C2" s="99" t="s">
        <v>597</v>
      </c>
      <c r="D2" s="99" t="s">
        <v>597</v>
      </c>
    </row>
    <row r="3" spans="1:4" ht="38.1" customHeight="1" thickBot="1">
      <c r="A3" s="100" t="s">
        <v>66</v>
      </c>
      <c r="B3" s="101" t="s">
        <v>15</v>
      </c>
      <c r="C3" s="43" t="s">
        <v>613</v>
      </c>
      <c r="D3" s="43" t="s">
        <v>709</v>
      </c>
    </row>
    <row r="4" spans="1:4" s="105" customFormat="1" ht="12" customHeight="1" thickBot="1">
      <c r="A4" s="102" t="s">
        <v>487</v>
      </c>
      <c r="B4" s="103" t="s">
        <v>488</v>
      </c>
      <c r="C4" s="104" t="s">
        <v>489</v>
      </c>
      <c r="D4" s="104" t="s">
        <v>489</v>
      </c>
    </row>
    <row r="5" spans="1:4" s="109" customFormat="1" ht="12" customHeight="1" thickBot="1">
      <c r="A5" s="106" t="s">
        <v>16</v>
      </c>
      <c r="B5" s="107" t="s">
        <v>245</v>
      </c>
      <c r="C5" s="108">
        <f>+C6+C7+C8+C9+C10+C11</f>
        <v>0</v>
      </c>
      <c r="D5" s="108">
        <f>+D6+D7+D8+D9+D10+D11</f>
        <v>0</v>
      </c>
    </row>
    <row r="6" spans="1:4" s="109" customFormat="1" ht="12" customHeight="1">
      <c r="A6" s="110" t="s">
        <v>95</v>
      </c>
      <c r="B6" s="111" t="s">
        <v>246</v>
      </c>
      <c r="C6" s="112"/>
      <c r="D6" s="112"/>
    </row>
    <row r="7" spans="1:4" s="109" customFormat="1" ht="12" customHeight="1">
      <c r="A7" s="113" t="s">
        <v>96</v>
      </c>
      <c r="B7" s="114" t="s">
        <v>247</v>
      </c>
      <c r="C7" s="115"/>
      <c r="D7" s="115"/>
    </row>
    <row r="8" spans="1:4" s="109" customFormat="1" ht="12" customHeight="1">
      <c r="A8" s="113" t="s">
        <v>97</v>
      </c>
      <c r="B8" s="114" t="s">
        <v>248</v>
      </c>
      <c r="C8" s="115"/>
      <c r="D8" s="115"/>
    </row>
    <row r="9" spans="1:4" s="109" customFormat="1" ht="12" customHeight="1">
      <c r="A9" s="113" t="s">
        <v>98</v>
      </c>
      <c r="B9" s="114" t="s">
        <v>249</v>
      </c>
      <c r="C9" s="115"/>
      <c r="D9" s="115"/>
    </row>
    <row r="10" spans="1:4" s="109" customFormat="1" ht="12" customHeight="1">
      <c r="A10" s="113" t="s">
        <v>141</v>
      </c>
      <c r="B10" s="116" t="s">
        <v>430</v>
      </c>
      <c r="C10" s="115"/>
      <c r="D10" s="115"/>
    </row>
    <row r="11" spans="1:4" s="109" customFormat="1" ht="12" customHeight="1" thickBot="1">
      <c r="A11" s="117" t="s">
        <v>99</v>
      </c>
      <c r="B11" s="118" t="s">
        <v>431</v>
      </c>
      <c r="C11" s="115"/>
      <c r="D11" s="115"/>
    </row>
    <row r="12" spans="1:4" s="109" customFormat="1" ht="12" customHeight="1" thickBot="1">
      <c r="A12" s="106" t="s">
        <v>17</v>
      </c>
      <c r="B12" s="119" t="s">
        <v>250</v>
      </c>
      <c r="C12" s="108">
        <f>+C13+C14+C15+C16+C17</f>
        <v>0</v>
      </c>
      <c r="D12" s="108">
        <f>+D13+D14+D15+D16+D17</f>
        <v>0</v>
      </c>
    </row>
    <row r="13" spans="1:4" s="109" customFormat="1" ht="12" customHeight="1">
      <c r="A13" s="110" t="s">
        <v>101</v>
      </c>
      <c r="B13" s="111" t="s">
        <v>251</v>
      </c>
      <c r="C13" s="112"/>
      <c r="D13" s="112"/>
    </row>
    <row r="14" spans="1:4" s="109" customFormat="1" ht="12" customHeight="1">
      <c r="A14" s="113" t="s">
        <v>102</v>
      </c>
      <c r="B14" s="114" t="s">
        <v>252</v>
      </c>
      <c r="C14" s="115"/>
      <c r="D14" s="115"/>
    </row>
    <row r="15" spans="1:4" s="109" customFormat="1" ht="12" customHeight="1">
      <c r="A15" s="113" t="s">
        <v>103</v>
      </c>
      <c r="B15" s="114" t="s">
        <v>420</v>
      </c>
      <c r="C15" s="115"/>
      <c r="D15" s="115"/>
    </row>
    <row r="16" spans="1:4" s="109" customFormat="1" ht="12" customHeight="1">
      <c r="A16" s="113" t="s">
        <v>104</v>
      </c>
      <c r="B16" s="114" t="s">
        <v>421</v>
      </c>
      <c r="C16" s="115"/>
      <c r="D16" s="115"/>
    </row>
    <row r="17" spans="1:4" s="109" customFormat="1" ht="12" customHeight="1">
      <c r="A17" s="113" t="s">
        <v>105</v>
      </c>
      <c r="B17" s="114" t="s">
        <v>253</v>
      </c>
      <c r="C17" s="115"/>
      <c r="D17" s="115"/>
    </row>
    <row r="18" spans="1:4" s="109" customFormat="1" ht="12" customHeight="1" thickBot="1">
      <c r="A18" s="117" t="s">
        <v>114</v>
      </c>
      <c r="B18" s="118" t="s">
        <v>254</v>
      </c>
      <c r="C18" s="120"/>
      <c r="D18" s="120"/>
    </row>
    <row r="19" spans="1:4" s="109" customFormat="1" ht="12" customHeight="1" thickBot="1">
      <c r="A19" s="106" t="s">
        <v>18</v>
      </c>
      <c r="B19" s="107" t="s">
        <v>255</v>
      </c>
      <c r="C19" s="108">
        <f>+C20+C21+C22+C23+C24</f>
        <v>0</v>
      </c>
      <c r="D19" s="108">
        <f>+D20+D21+D22+D23+D24</f>
        <v>0</v>
      </c>
    </row>
    <row r="20" spans="1:4" s="109" customFormat="1" ht="12" customHeight="1">
      <c r="A20" s="110" t="s">
        <v>84</v>
      </c>
      <c r="B20" s="111" t="s">
        <v>256</v>
      </c>
      <c r="C20" s="112"/>
      <c r="D20" s="112"/>
    </row>
    <row r="21" spans="1:4" s="109" customFormat="1" ht="12" customHeight="1">
      <c r="A21" s="113" t="s">
        <v>85</v>
      </c>
      <c r="B21" s="114" t="s">
        <v>257</v>
      </c>
      <c r="C21" s="115"/>
      <c r="D21" s="115"/>
    </row>
    <row r="22" spans="1:4" s="109" customFormat="1" ht="12" customHeight="1">
      <c r="A22" s="113" t="s">
        <v>86</v>
      </c>
      <c r="B22" s="114" t="s">
        <v>422</v>
      </c>
      <c r="C22" s="115"/>
      <c r="D22" s="115"/>
    </row>
    <row r="23" spans="1:4" s="109" customFormat="1" ht="12" customHeight="1">
      <c r="A23" s="113" t="s">
        <v>87</v>
      </c>
      <c r="B23" s="114" t="s">
        <v>423</v>
      </c>
      <c r="C23" s="115"/>
      <c r="D23" s="115"/>
    </row>
    <row r="24" spans="1:4" s="109" customFormat="1" ht="12" customHeight="1">
      <c r="A24" s="113" t="s">
        <v>162</v>
      </c>
      <c r="B24" s="114" t="s">
        <v>258</v>
      </c>
      <c r="C24" s="115"/>
      <c r="D24" s="115"/>
    </row>
    <row r="25" spans="1:4" s="109" customFormat="1" ht="12" customHeight="1" thickBot="1">
      <c r="A25" s="117" t="s">
        <v>163</v>
      </c>
      <c r="B25" s="121" t="s">
        <v>259</v>
      </c>
      <c r="C25" s="120"/>
      <c r="D25" s="120"/>
    </row>
    <row r="26" spans="1:4" s="109" customFormat="1" ht="12" customHeight="1" thickBot="1">
      <c r="A26" s="106" t="s">
        <v>164</v>
      </c>
      <c r="B26" s="107" t="s">
        <v>260</v>
      </c>
      <c r="C26" s="122">
        <f>+C27+C31+C32+C33</f>
        <v>0</v>
      </c>
      <c r="D26" s="122">
        <f>+D27+D31+D32+D33</f>
        <v>0</v>
      </c>
    </row>
    <row r="27" spans="1:4" s="109" customFormat="1" ht="12" customHeight="1">
      <c r="A27" s="110" t="s">
        <v>261</v>
      </c>
      <c r="B27" s="111" t="s">
        <v>437</v>
      </c>
      <c r="C27" s="123">
        <f>+C28+C29+C30</f>
        <v>0</v>
      </c>
      <c r="D27" s="123">
        <f>+D28+D29+D30</f>
        <v>0</v>
      </c>
    </row>
    <row r="28" spans="1:4" s="109" customFormat="1" ht="12" customHeight="1">
      <c r="A28" s="113" t="s">
        <v>262</v>
      </c>
      <c r="B28" s="114" t="s">
        <v>267</v>
      </c>
      <c r="C28" s="115"/>
      <c r="D28" s="115"/>
    </row>
    <row r="29" spans="1:4" s="109" customFormat="1" ht="12" customHeight="1">
      <c r="A29" s="113" t="s">
        <v>263</v>
      </c>
      <c r="B29" s="114" t="s">
        <v>268</v>
      </c>
      <c r="C29" s="115"/>
      <c r="D29" s="115"/>
    </row>
    <row r="30" spans="1:4" s="109" customFormat="1" ht="12" customHeight="1">
      <c r="A30" s="113" t="s">
        <v>435</v>
      </c>
      <c r="B30" s="124" t="s">
        <v>436</v>
      </c>
      <c r="C30" s="115"/>
      <c r="D30" s="115"/>
    </row>
    <row r="31" spans="1:4" s="109" customFormat="1" ht="12" customHeight="1">
      <c r="A31" s="113" t="s">
        <v>264</v>
      </c>
      <c r="B31" s="114" t="s">
        <v>269</v>
      </c>
      <c r="C31" s="115"/>
      <c r="D31" s="115"/>
    </row>
    <row r="32" spans="1:4" s="109" customFormat="1" ht="12" customHeight="1">
      <c r="A32" s="113" t="s">
        <v>265</v>
      </c>
      <c r="B32" s="114" t="s">
        <v>270</v>
      </c>
      <c r="C32" s="115"/>
      <c r="D32" s="115"/>
    </row>
    <row r="33" spans="1:4" s="109" customFormat="1" ht="12" customHeight="1" thickBot="1">
      <c r="A33" s="117" t="s">
        <v>266</v>
      </c>
      <c r="B33" s="121" t="s">
        <v>271</v>
      </c>
      <c r="C33" s="120"/>
      <c r="D33" s="120"/>
    </row>
    <row r="34" spans="1:4" s="109" customFormat="1" ht="12" customHeight="1" thickBot="1">
      <c r="A34" s="106" t="s">
        <v>20</v>
      </c>
      <c r="B34" s="107" t="s">
        <v>432</v>
      </c>
      <c r="C34" s="108">
        <f>SUM(C35:C45)</f>
        <v>0</v>
      </c>
      <c r="D34" s="108">
        <f>SUM(D35:D45)</f>
        <v>0</v>
      </c>
    </row>
    <row r="35" spans="1:4" s="109" customFormat="1" ht="12" customHeight="1">
      <c r="A35" s="110" t="s">
        <v>88</v>
      </c>
      <c r="B35" s="111" t="s">
        <v>274</v>
      </c>
      <c r="C35" s="112"/>
      <c r="D35" s="112"/>
    </row>
    <row r="36" spans="1:4" s="109" customFormat="1" ht="12" customHeight="1">
      <c r="A36" s="113" t="s">
        <v>89</v>
      </c>
      <c r="B36" s="114" t="s">
        <v>275</v>
      </c>
      <c r="C36" s="115"/>
      <c r="D36" s="115"/>
    </row>
    <row r="37" spans="1:4" s="109" customFormat="1" ht="12" customHeight="1">
      <c r="A37" s="113" t="s">
        <v>90</v>
      </c>
      <c r="B37" s="114" t="s">
        <v>276</v>
      </c>
      <c r="C37" s="115"/>
      <c r="D37" s="115"/>
    </row>
    <row r="38" spans="1:4" s="109" customFormat="1" ht="12" customHeight="1">
      <c r="A38" s="113" t="s">
        <v>166</v>
      </c>
      <c r="B38" s="114" t="s">
        <v>277</v>
      </c>
      <c r="C38" s="115"/>
      <c r="D38" s="115"/>
    </row>
    <row r="39" spans="1:4" s="109" customFormat="1" ht="12" customHeight="1">
      <c r="A39" s="113" t="s">
        <v>167</v>
      </c>
      <c r="B39" s="114" t="s">
        <v>278</v>
      </c>
      <c r="C39" s="115"/>
      <c r="D39" s="115"/>
    </row>
    <row r="40" spans="1:4" s="109" customFormat="1" ht="12" customHeight="1">
      <c r="A40" s="113" t="s">
        <v>168</v>
      </c>
      <c r="B40" s="114" t="s">
        <v>279</v>
      </c>
      <c r="C40" s="115"/>
      <c r="D40" s="115"/>
    </row>
    <row r="41" spans="1:4" s="109" customFormat="1" ht="12" customHeight="1">
      <c r="A41" s="113" t="s">
        <v>169</v>
      </c>
      <c r="B41" s="114" t="s">
        <v>280</v>
      </c>
      <c r="C41" s="115"/>
      <c r="D41" s="115"/>
    </row>
    <row r="42" spans="1:4" s="109" customFormat="1" ht="12" customHeight="1">
      <c r="A42" s="113" t="s">
        <v>170</v>
      </c>
      <c r="B42" s="114" t="s">
        <v>281</v>
      </c>
      <c r="C42" s="115"/>
      <c r="D42" s="115"/>
    </row>
    <row r="43" spans="1:4" s="109" customFormat="1" ht="12" customHeight="1">
      <c r="A43" s="113" t="s">
        <v>272</v>
      </c>
      <c r="B43" s="114" t="s">
        <v>282</v>
      </c>
      <c r="C43" s="125"/>
      <c r="D43" s="125"/>
    </row>
    <row r="44" spans="1:4" s="109" customFormat="1" ht="12" customHeight="1">
      <c r="A44" s="117" t="s">
        <v>273</v>
      </c>
      <c r="B44" s="121" t="s">
        <v>434</v>
      </c>
      <c r="C44" s="126"/>
      <c r="D44" s="126"/>
    </row>
    <row r="45" spans="1:4" s="109" customFormat="1" ht="12" customHeight="1" thickBot="1">
      <c r="A45" s="117" t="s">
        <v>433</v>
      </c>
      <c r="B45" s="118" t="s">
        <v>283</v>
      </c>
      <c r="C45" s="126"/>
      <c r="D45" s="126"/>
    </row>
    <row r="46" spans="1:4" s="109" customFormat="1" ht="12" customHeight="1" thickBot="1">
      <c r="A46" s="106" t="s">
        <v>21</v>
      </c>
      <c r="B46" s="107" t="s">
        <v>284</v>
      </c>
      <c r="C46" s="108">
        <f>SUM(C47:C51)</f>
        <v>0</v>
      </c>
      <c r="D46" s="108">
        <f>SUM(D47:D51)</f>
        <v>0</v>
      </c>
    </row>
    <row r="47" spans="1:4" s="109" customFormat="1" ht="12" customHeight="1">
      <c r="A47" s="110" t="s">
        <v>91</v>
      </c>
      <c r="B47" s="111" t="s">
        <v>288</v>
      </c>
      <c r="C47" s="127"/>
      <c r="D47" s="127"/>
    </row>
    <row r="48" spans="1:4" s="109" customFormat="1" ht="12" customHeight="1">
      <c r="A48" s="113" t="s">
        <v>92</v>
      </c>
      <c r="B48" s="114" t="s">
        <v>289</v>
      </c>
      <c r="C48" s="125"/>
      <c r="D48" s="125"/>
    </row>
    <row r="49" spans="1:4" s="109" customFormat="1" ht="12" customHeight="1">
      <c r="A49" s="113" t="s">
        <v>285</v>
      </c>
      <c r="B49" s="114" t="s">
        <v>290</v>
      </c>
      <c r="C49" s="125"/>
      <c r="D49" s="125"/>
    </row>
    <row r="50" spans="1:4" s="109" customFormat="1" ht="12" customHeight="1">
      <c r="A50" s="113" t="s">
        <v>286</v>
      </c>
      <c r="B50" s="114" t="s">
        <v>291</v>
      </c>
      <c r="C50" s="125"/>
      <c r="D50" s="125"/>
    </row>
    <row r="51" spans="1:4" s="109" customFormat="1" ht="12" customHeight="1" thickBot="1">
      <c r="A51" s="117" t="s">
        <v>287</v>
      </c>
      <c r="B51" s="118" t="s">
        <v>292</v>
      </c>
      <c r="C51" s="126"/>
      <c r="D51" s="126"/>
    </row>
    <row r="52" spans="1:4" s="109" customFormat="1" ht="12" customHeight="1" thickBot="1">
      <c r="A52" s="106" t="s">
        <v>171</v>
      </c>
      <c r="B52" s="107" t="s">
        <v>293</v>
      </c>
      <c r="C52" s="108">
        <f>SUM(C53:C55)</f>
        <v>0</v>
      </c>
      <c r="D52" s="108">
        <f>SUM(D53:D55)</f>
        <v>0</v>
      </c>
    </row>
    <row r="53" spans="1:4" s="109" customFormat="1" ht="12" customHeight="1">
      <c r="A53" s="110" t="s">
        <v>93</v>
      </c>
      <c r="B53" s="111" t="s">
        <v>294</v>
      </c>
      <c r="C53" s="112"/>
      <c r="D53" s="112"/>
    </row>
    <row r="54" spans="1:4" s="109" customFormat="1" ht="12" customHeight="1">
      <c r="A54" s="113" t="s">
        <v>94</v>
      </c>
      <c r="B54" s="114" t="s">
        <v>424</v>
      </c>
      <c r="C54" s="115"/>
      <c r="D54" s="115"/>
    </row>
    <row r="55" spans="1:4" s="109" customFormat="1" ht="12" customHeight="1">
      <c r="A55" s="113" t="s">
        <v>297</v>
      </c>
      <c r="B55" s="114" t="s">
        <v>295</v>
      </c>
      <c r="C55" s="115"/>
      <c r="D55" s="115"/>
    </row>
    <row r="56" spans="1:4" s="109" customFormat="1" ht="12" customHeight="1" thickBot="1">
      <c r="A56" s="117" t="s">
        <v>298</v>
      </c>
      <c r="B56" s="118" t="s">
        <v>296</v>
      </c>
      <c r="C56" s="120"/>
      <c r="D56" s="120"/>
    </row>
    <row r="57" spans="1:4" s="109" customFormat="1" ht="12" customHeight="1" thickBot="1">
      <c r="A57" s="106" t="s">
        <v>23</v>
      </c>
      <c r="B57" s="119" t="s">
        <v>299</v>
      </c>
      <c r="C57" s="108">
        <f>SUM(C58:C60)</f>
        <v>0</v>
      </c>
      <c r="D57" s="108">
        <f>SUM(D58:D60)</f>
        <v>0</v>
      </c>
    </row>
    <row r="58" spans="1:4" s="109" customFormat="1" ht="12" customHeight="1">
      <c r="A58" s="110" t="s">
        <v>172</v>
      </c>
      <c r="B58" s="111" t="s">
        <v>301</v>
      </c>
      <c r="C58" s="125"/>
      <c r="D58" s="125"/>
    </row>
    <row r="59" spans="1:4" s="109" customFormat="1" ht="12" customHeight="1">
      <c r="A59" s="113" t="s">
        <v>173</v>
      </c>
      <c r="B59" s="114" t="s">
        <v>425</v>
      </c>
      <c r="C59" s="125"/>
      <c r="D59" s="125"/>
    </row>
    <row r="60" spans="1:4" s="109" customFormat="1" ht="12" customHeight="1">
      <c r="A60" s="113" t="s">
        <v>221</v>
      </c>
      <c r="B60" s="114" t="s">
        <v>302</v>
      </c>
      <c r="C60" s="125"/>
      <c r="D60" s="125"/>
    </row>
    <row r="61" spans="1:4" s="109" customFormat="1" ht="12" customHeight="1" thickBot="1">
      <c r="A61" s="117" t="s">
        <v>300</v>
      </c>
      <c r="B61" s="118" t="s">
        <v>303</v>
      </c>
      <c r="C61" s="125"/>
      <c r="D61" s="125"/>
    </row>
    <row r="62" spans="1:4" s="109" customFormat="1" ht="12" customHeight="1" thickBot="1">
      <c r="A62" s="128" t="s">
        <v>476</v>
      </c>
      <c r="B62" s="107" t="s">
        <v>304</v>
      </c>
      <c r="C62" s="122">
        <f>+C5+C12+C19+C26+C34+C46+C52+C57</f>
        <v>0</v>
      </c>
      <c r="D62" s="122">
        <f>+D5+D12+D19+D26+D34+D46+D52+D57</f>
        <v>0</v>
      </c>
    </row>
    <row r="63" spans="1:4" s="109" customFormat="1" ht="12" customHeight="1" thickBot="1">
      <c r="A63" s="129" t="s">
        <v>305</v>
      </c>
      <c r="B63" s="119" t="s">
        <v>306</v>
      </c>
      <c r="C63" s="108">
        <f>SUM(C64:C66)</f>
        <v>0</v>
      </c>
      <c r="D63" s="108">
        <f>SUM(D64:D66)</f>
        <v>0</v>
      </c>
    </row>
    <row r="64" spans="1:4" s="109" customFormat="1" ht="12" customHeight="1">
      <c r="A64" s="110" t="s">
        <v>337</v>
      </c>
      <c r="B64" s="111" t="s">
        <v>307</v>
      </c>
      <c r="C64" s="125"/>
      <c r="D64" s="125"/>
    </row>
    <row r="65" spans="1:4" s="109" customFormat="1" ht="12" customHeight="1">
      <c r="A65" s="113" t="s">
        <v>346</v>
      </c>
      <c r="B65" s="114" t="s">
        <v>308</v>
      </c>
      <c r="C65" s="125"/>
      <c r="D65" s="125"/>
    </row>
    <row r="66" spans="1:4" s="109" customFormat="1" ht="12" customHeight="1" thickBot="1">
      <c r="A66" s="117" t="s">
        <v>347</v>
      </c>
      <c r="B66" s="130" t="s">
        <v>461</v>
      </c>
      <c r="C66" s="125"/>
      <c r="D66" s="125"/>
    </row>
    <row r="67" spans="1:4" s="109" customFormat="1" ht="12" customHeight="1" thickBot="1">
      <c r="A67" s="129" t="s">
        <v>310</v>
      </c>
      <c r="B67" s="119" t="s">
        <v>311</v>
      </c>
      <c r="C67" s="108">
        <f>SUM(C68:C71)</f>
        <v>0</v>
      </c>
      <c r="D67" s="108">
        <f>SUM(D68:D71)</f>
        <v>0</v>
      </c>
    </row>
    <row r="68" spans="1:4" s="109" customFormat="1" ht="12" customHeight="1">
      <c r="A68" s="110" t="s">
        <v>142</v>
      </c>
      <c r="B68" s="111" t="s">
        <v>312</v>
      </c>
      <c r="C68" s="125"/>
      <c r="D68" s="125"/>
    </row>
    <row r="69" spans="1:4" s="109" customFormat="1" ht="12" customHeight="1">
      <c r="A69" s="113" t="s">
        <v>143</v>
      </c>
      <c r="B69" s="114" t="s">
        <v>313</v>
      </c>
      <c r="C69" s="125"/>
      <c r="D69" s="125"/>
    </row>
    <row r="70" spans="1:4" s="109" customFormat="1" ht="12" customHeight="1">
      <c r="A70" s="113" t="s">
        <v>338</v>
      </c>
      <c r="B70" s="114" t="s">
        <v>314</v>
      </c>
      <c r="C70" s="125"/>
      <c r="D70" s="125"/>
    </row>
    <row r="71" spans="1:4" s="109" customFormat="1" ht="12" customHeight="1" thickBot="1">
      <c r="A71" s="117" t="s">
        <v>339</v>
      </c>
      <c r="B71" s="118" t="s">
        <v>315</v>
      </c>
      <c r="C71" s="125"/>
      <c r="D71" s="125"/>
    </row>
    <row r="72" spans="1:4" s="109" customFormat="1" ht="12" customHeight="1" thickBot="1">
      <c r="A72" s="129" t="s">
        <v>316</v>
      </c>
      <c r="B72" s="119" t="s">
        <v>317</v>
      </c>
      <c r="C72" s="108">
        <f>SUM(C73:C74)</f>
        <v>0</v>
      </c>
      <c r="D72" s="108">
        <f>SUM(D73:D74)</f>
        <v>0</v>
      </c>
    </row>
    <row r="73" spans="1:4" s="109" customFormat="1" ht="12" customHeight="1">
      <c r="A73" s="110" t="s">
        <v>340</v>
      </c>
      <c r="B73" s="111" t="s">
        <v>318</v>
      </c>
      <c r="C73" s="125"/>
      <c r="D73" s="125"/>
    </row>
    <row r="74" spans="1:4" s="109" customFormat="1" ht="12" customHeight="1" thickBot="1">
      <c r="A74" s="117" t="s">
        <v>341</v>
      </c>
      <c r="B74" s="118" t="s">
        <v>319</v>
      </c>
      <c r="C74" s="125"/>
      <c r="D74" s="125"/>
    </row>
    <row r="75" spans="1:4" s="109" customFormat="1" ht="12" customHeight="1" thickBot="1">
      <c r="A75" s="129" t="s">
        <v>320</v>
      </c>
      <c r="B75" s="119" t="s">
        <v>321</v>
      </c>
      <c r="C75" s="108">
        <f>SUM(C76:C78)</f>
        <v>0</v>
      </c>
      <c r="D75" s="108">
        <f>SUM(D76:D78)</f>
        <v>0</v>
      </c>
    </row>
    <row r="76" spans="1:4" s="109" customFormat="1" ht="12" customHeight="1">
      <c r="A76" s="110" t="s">
        <v>342</v>
      </c>
      <c r="B76" s="111" t="s">
        <v>322</v>
      </c>
      <c r="C76" s="125"/>
      <c r="D76" s="125"/>
    </row>
    <row r="77" spans="1:4" s="109" customFormat="1" ht="12" customHeight="1">
      <c r="A77" s="113" t="s">
        <v>343</v>
      </c>
      <c r="B77" s="114" t="s">
        <v>323</v>
      </c>
      <c r="C77" s="125"/>
      <c r="D77" s="125"/>
    </row>
    <row r="78" spans="1:4" s="109" customFormat="1" ht="12" customHeight="1" thickBot="1">
      <c r="A78" s="117" t="s">
        <v>344</v>
      </c>
      <c r="B78" s="118" t="s">
        <v>324</v>
      </c>
      <c r="C78" s="125"/>
      <c r="D78" s="125"/>
    </row>
    <row r="79" spans="1:4" s="109" customFormat="1" ht="12" customHeight="1" thickBot="1">
      <c r="A79" s="129" t="s">
        <v>325</v>
      </c>
      <c r="B79" s="119" t="s">
        <v>345</v>
      </c>
      <c r="C79" s="108">
        <f>SUM(C80:C83)</f>
        <v>0</v>
      </c>
      <c r="D79" s="108">
        <f>SUM(D80:D83)</f>
        <v>0</v>
      </c>
    </row>
    <row r="80" spans="1:4" s="109" customFormat="1" ht="12" customHeight="1">
      <c r="A80" s="131" t="s">
        <v>326</v>
      </c>
      <c r="B80" s="111" t="s">
        <v>327</v>
      </c>
      <c r="C80" s="125"/>
      <c r="D80" s="125"/>
    </row>
    <row r="81" spans="1:4" s="109" customFormat="1" ht="12" customHeight="1">
      <c r="A81" s="132" t="s">
        <v>328</v>
      </c>
      <c r="B81" s="114" t="s">
        <v>329</v>
      </c>
      <c r="C81" s="125"/>
      <c r="D81" s="125"/>
    </row>
    <row r="82" spans="1:4" s="109" customFormat="1" ht="12" customHeight="1">
      <c r="A82" s="132" t="s">
        <v>330</v>
      </c>
      <c r="B82" s="114" t="s">
        <v>331</v>
      </c>
      <c r="C82" s="125"/>
      <c r="D82" s="125"/>
    </row>
    <row r="83" spans="1:4" s="109" customFormat="1" ht="12" customHeight="1" thickBot="1">
      <c r="A83" s="133" t="s">
        <v>332</v>
      </c>
      <c r="B83" s="118" t="s">
        <v>333</v>
      </c>
      <c r="C83" s="125"/>
      <c r="D83" s="125"/>
    </row>
    <row r="84" spans="1:4" s="109" customFormat="1" ht="12" customHeight="1" thickBot="1">
      <c r="A84" s="129" t="s">
        <v>334</v>
      </c>
      <c r="B84" s="119" t="s">
        <v>475</v>
      </c>
      <c r="C84" s="134"/>
      <c r="D84" s="134"/>
    </row>
    <row r="85" spans="1:4" s="109" customFormat="1" ht="13.5" customHeight="1" thickBot="1">
      <c r="A85" s="129" t="s">
        <v>336</v>
      </c>
      <c r="B85" s="119" t="s">
        <v>335</v>
      </c>
      <c r="C85" s="134"/>
      <c r="D85" s="134"/>
    </row>
    <row r="86" spans="1:4" s="109" customFormat="1" ht="15.75" customHeight="1" thickBot="1">
      <c r="A86" s="129" t="s">
        <v>348</v>
      </c>
      <c r="B86" s="135" t="s">
        <v>478</v>
      </c>
      <c r="C86" s="122">
        <f>+C63+C67+C72+C75+C79+C85+C84</f>
        <v>0</v>
      </c>
      <c r="D86" s="122">
        <f>+D63+D67+D72+D75+D79+D85+D84</f>
        <v>0</v>
      </c>
    </row>
    <row r="87" spans="1:4" s="109" customFormat="1" ht="16.5" customHeight="1" thickBot="1">
      <c r="A87" s="136" t="s">
        <v>477</v>
      </c>
      <c r="B87" s="137" t="s">
        <v>479</v>
      </c>
      <c r="C87" s="122">
        <f>+C62+C86</f>
        <v>0</v>
      </c>
      <c r="D87" s="122">
        <f>+D62+D86</f>
        <v>0</v>
      </c>
    </row>
    <row r="88" spans="1:4" s="109" customFormat="1" ht="83.25" customHeight="1">
      <c r="A88" s="138"/>
      <c r="B88" s="139"/>
      <c r="C88" s="140"/>
      <c r="D88" s="140"/>
    </row>
    <row r="89" spans="1:4" ht="16.5" customHeight="1">
      <c r="A89" s="691" t="s">
        <v>44</v>
      </c>
      <c r="B89" s="691"/>
      <c r="C89" s="691"/>
      <c r="D89" s="98"/>
    </row>
    <row r="90" spans="1:4" s="142" customFormat="1" ht="16.5" customHeight="1" thickBot="1">
      <c r="A90" s="692" t="s">
        <v>145</v>
      </c>
      <c r="B90" s="692"/>
      <c r="C90" s="141" t="s">
        <v>220</v>
      </c>
      <c r="D90" s="141" t="s">
        <v>220</v>
      </c>
    </row>
    <row r="91" spans="1:4" ht="38.1" customHeight="1" thickBot="1">
      <c r="A91" s="100" t="s">
        <v>66</v>
      </c>
      <c r="B91" s="101" t="s">
        <v>45</v>
      </c>
      <c r="C91" s="43" t="str">
        <f>+C3</f>
        <v>Eredeti előirányzat (2017.01)</v>
      </c>
      <c r="D91" s="43" t="str">
        <f>+D3</f>
        <v>Módosított előirányzat (2017.05)</v>
      </c>
    </row>
    <row r="92" spans="1:4" s="105" customFormat="1" ht="12" customHeight="1" thickBot="1">
      <c r="A92" s="143" t="s">
        <v>487</v>
      </c>
      <c r="B92" s="144" t="s">
        <v>488</v>
      </c>
      <c r="C92" s="145" t="s">
        <v>489</v>
      </c>
      <c r="D92" s="145" t="s">
        <v>489</v>
      </c>
    </row>
    <row r="93" spans="1:4" ht="12" customHeight="1" thickBot="1">
      <c r="A93" s="146" t="s">
        <v>16</v>
      </c>
      <c r="B93" s="147" t="s">
        <v>710</v>
      </c>
      <c r="C93" s="148">
        <f>C94+C95+C96+C97+C98+C111</f>
        <v>0</v>
      </c>
      <c r="D93" s="148">
        <f>D94+D95+D96+D97+D98+D111</f>
        <v>0</v>
      </c>
    </row>
    <row r="94" spans="1:4" ht="12" customHeight="1">
      <c r="A94" s="149" t="s">
        <v>95</v>
      </c>
      <c r="B94" s="56" t="s">
        <v>46</v>
      </c>
      <c r="C94" s="150"/>
      <c r="D94" s="150"/>
    </row>
    <row r="95" spans="1:4" ht="12" customHeight="1">
      <c r="A95" s="113" t="s">
        <v>96</v>
      </c>
      <c r="B95" s="59" t="s">
        <v>174</v>
      </c>
      <c r="C95" s="115"/>
      <c r="D95" s="115"/>
    </row>
    <row r="96" spans="1:4" ht="12" customHeight="1">
      <c r="A96" s="113" t="s">
        <v>97</v>
      </c>
      <c r="B96" s="59" t="s">
        <v>133</v>
      </c>
      <c r="C96" s="120"/>
      <c r="D96" s="120"/>
    </row>
    <row r="97" spans="1:4" ht="12" customHeight="1">
      <c r="A97" s="113" t="s">
        <v>98</v>
      </c>
      <c r="B97" s="151" t="s">
        <v>175</v>
      </c>
      <c r="C97" s="120"/>
      <c r="D97" s="120"/>
    </row>
    <row r="98" spans="1:4" ht="12" customHeight="1">
      <c r="A98" s="113" t="s">
        <v>109</v>
      </c>
      <c r="B98" s="152" t="s">
        <v>176</v>
      </c>
      <c r="C98" s="120"/>
      <c r="D98" s="120"/>
    </row>
    <row r="99" spans="1:4" ht="12" customHeight="1">
      <c r="A99" s="113" t="s">
        <v>99</v>
      </c>
      <c r="B99" s="59" t="s">
        <v>442</v>
      </c>
      <c r="C99" s="120"/>
      <c r="D99" s="120"/>
    </row>
    <row r="100" spans="1:4" ht="12" customHeight="1">
      <c r="A100" s="113" t="s">
        <v>100</v>
      </c>
      <c r="B100" s="153" t="s">
        <v>441</v>
      </c>
      <c r="C100" s="120"/>
      <c r="D100" s="120"/>
    </row>
    <row r="101" spans="1:4" ht="12" customHeight="1">
      <c r="A101" s="113" t="s">
        <v>110</v>
      </c>
      <c r="B101" s="153" t="s">
        <v>440</v>
      </c>
      <c r="C101" s="120"/>
      <c r="D101" s="120"/>
    </row>
    <row r="102" spans="1:4" ht="12" customHeight="1">
      <c r="A102" s="113" t="s">
        <v>111</v>
      </c>
      <c r="B102" s="154" t="s">
        <v>351</v>
      </c>
      <c r="C102" s="120"/>
      <c r="D102" s="120"/>
    </row>
    <row r="103" spans="1:4" ht="12" customHeight="1">
      <c r="A103" s="113" t="s">
        <v>112</v>
      </c>
      <c r="B103" s="155" t="s">
        <v>352</v>
      </c>
      <c r="C103" s="120"/>
      <c r="D103" s="120"/>
    </row>
    <row r="104" spans="1:4" ht="12" customHeight="1">
      <c r="A104" s="113" t="s">
        <v>113</v>
      </c>
      <c r="B104" s="155" t="s">
        <v>353</v>
      </c>
      <c r="C104" s="120"/>
      <c r="D104" s="120"/>
    </row>
    <row r="105" spans="1:4" ht="12" customHeight="1">
      <c r="A105" s="113" t="s">
        <v>115</v>
      </c>
      <c r="B105" s="154" t="s">
        <v>354</v>
      </c>
      <c r="C105" s="120"/>
      <c r="D105" s="120"/>
    </row>
    <row r="106" spans="1:4" ht="12" customHeight="1">
      <c r="A106" s="113" t="s">
        <v>177</v>
      </c>
      <c r="B106" s="154" t="s">
        <v>355</v>
      </c>
      <c r="C106" s="120"/>
      <c r="D106" s="120"/>
    </row>
    <row r="107" spans="1:4" ht="12" customHeight="1">
      <c r="A107" s="113" t="s">
        <v>349</v>
      </c>
      <c r="B107" s="155" t="s">
        <v>356</v>
      </c>
      <c r="C107" s="120"/>
      <c r="D107" s="120"/>
    </row>
    <row r="108" spans="1:4" ht="12" customHeight="1">
      <c r="A108" s="156" t="s">
        <v>350</v>
      </c>
      <c r="B108" s="153" t="s">
        <v>357</v>
      </c>
      <c r="C108" s="120"/>
      <c r="D108" s="120"/>
    </row>
    <row r="109" spans="1:4" ht="12" customHeight="1">
      <c r="A109" s="113" t="s">
        <v>438</v>
      </c>
      <c r="B109" s="153" t="s">
        <v>358</v>
      </c>
      <c r="C109" s="120"/>
      <c r="D109" s="120"/>
    </row>
    <row r="110" spans="1:4" ht="12" customHeight="1">
      <c r="A110" s="117" t="s">
        <v>439</v>
      </c>
      <c r="B110" s="153" t="s">
        <v>359</v>
      </c>
      <c r="C110" s="120"/>
      <c r="D110" s="120"/>
    </row>
    <row r="111" spans="1:4" ht="12" customHeight="1">
      <c r="A111" s="113" t="s">
        <v>443</v>
      </c>
      <c r="B111" s="151" t="s">
        <v>47</v>
      </c>
      <c r="C111" s="115"/>
      <c r="D111" s="115"/>
    </row>
    <row r="112" spans="1:4" ht="12" customHeight="1">
      <c r="A112" s="113" t="s">
        <v>444</v>
      </c>
      <c r="B112" s="59" t="s">
        <v>446</v>
      </c>
      <c r="C112" s="115"/>
      <c r="D112" s="115"/>
    </row>
    <row r="113" spans="1:4" ht="12" customHeight="1" thickBot="1">
      <c r="A113" s="157" t="s">
        <v>445</v>
      </c>
      <c r="B113" s="158" t="s">
        <v>447</v>
      </c>
      <c r="C113" s="159"/>
      <c r="D113" s="159"/>
    </row>
    <row r="114" spans="1:4" ht="12" customHeight="1" thickBot="1">
      <c r="A114" s="160" t="s">
        <v>17</v>
      </c>
      <c r="B114" s="161" t="s">
        <v>711</v>
      </c>
      <c r="C114" s="162">
        <f>+C115+C117+C119</f>
        <v>0</v>
      </c>
      <c r="D114" s="162">
        <f>+D115+D117+D119</f>
        <v>0</v>
      </c>
    </row>
    <row r="115" spans="1:4" ht="12" customHeight="1">
      <c r="A115" s="110" t="s">
        <v>101</v>
      </c>
      <c r="B115" s="59" t="s">
        <v>219</v>
      </c>
      <c r="C115" s="112"/>
      <c r="D115" s="112"/>
    </row>
    <row r="116" spans="1:4" ht="12" customHeight="1">
      <c r="A116" s="110" t="s">
        <v>102</v>
      </c>
      <c r="B116" s="163" t="s">
        <v>363</v>
      </c>
      <c r="C116" s="112"/>
      <c r="D116" s="112"/>
    </row>
    <row r="117" spans="1:4" ht="12" customHeight="1">
      <c r="A117" s="110" t="s">
        <v>103</v>
      </c>
      <c r="B117" s="163" t="s">
        <v>178</v>
      </c>
      <c r="C117" s="115"/>
      <c r="D117" s="115"/>
    </row>
    <row r="118" spans="1:4" ht="12" customHeight="1">
      <c r="A118" s="110" t="s">
        <v>104</v>
      </c>
      <c r="B118" s="163" t="s">
        <v>364</v>
      </c>
      <c r="C118" s="164"/>
      <c r="D118" s="164"/>
    </row>
    <row r="119" spans="1:4" ht="12" customHeight="1">
      <c r="A119" s="110" t="s">
        <v>105</v>
      </c>
      <c r="B119" s="118" t="s">
        <v>222</v>
      </c>
      <c r="C119" s="164"/>
      <c r="D119" s="164"/>
    </row>
    <row r="120" spans="1:4" ht="12" customHeight="1">
      <c r="A120" s="110" t="s">
        <v>114</v>
      </c>
      <c r="B120" s="116" t="s">
        <v>426</v>
      </c>
      <c r="C120" s="164"/>
      <c r="D120" s="164"/>
    </row>
    <row r="121" spans="1:4" ht="12" customHeight="1">
      <c r="A121" s="110" t="s">
        <v>116</v>
      </c>
      <c r="B121" s="165" t="s">
        <v>369</v>
      </c>
      <c r="C121" s="164"/>
      <c r="D121" s="164"/>
    </row>
    <row r="122" spans="1:4">
      <c r="A122" s="110" t="s">
        <v>179</v>
      </c>
      <c r="B122" s="155" t="s">
        <v>353</v>
      </c>
      <c r="C122" s="164"/>
      <c r="D122" s="164"/>
    </row>
    <row r="123" spans="1:4" ht="12" customHeight="1">
      <c r="A123" s="110" t="s">
        <v>180</v>
      </c>
      <c r="B123" s="155" t="s">
        <v>368</v>
      </c>
      <c r="C123" s="164"/>
      <c r="D123" s="164"/>
    </row>
    <row r="124" spans="1:4" ht="12" customHeight="1">
      <c r="A124" s="110" t="s">
        <v>181</v>
      </c>
      <c r="B124" s="155" t="s">
        <v>367</v>
      </c>
      <c r="C124" s="164"/>
      <c r="D124" s="164"/>
    </row>
    <row r="125" spans="1:4" ht="12" customHeight="1">
      <c r="A125" s="110" t="s">
        <v>360</v>
      </c>
      <c r="B125" s="155" t="s">
        <v>356</v>
      </c>
      <c r="C125" s="164"/>
      <c r="D125" s="164"/>
    </row>
    <row r="126" spans="1:4" ht="12" customHeight="1">
      <c r="A126" s="110" t="s">
        <v>361</v>
      </c>
      <c r="B126" s="155" t="s">
        <v>366</v>
      </c>
      <c r="C126" s="164"/>
      <c r="D126" s="164"/>
    </row>
    <row r="127" spans="1:4" ht="16.5" thickBot="1">
      <c r="A127" s="156" t="s">
        <v>362</v>
      </c>
      <c r="B127" s="155" t="s">
        <v>365</v>
      </c>
      <c r="C127" s="166"/>
      <c r="D127" s="166"/>
    </row>
    <row r="128" spans="1:4" ht="12" customHeight="1" thickBot="1">
      <c r="A128" s="106" t="s">
        <v>18</v>
      </c>
      <c r="B128" s="67" t="s">
        <v>448</v>
      </c>
      <c r="C128" s="108">
        <f>+C93+C114</f>
        <v>0</v>
      </c>
      <c r="D128" s="108">
        <f>+D93+D114</f>
        <v>0</v>
      </c>
    </row>
    <row r="129" spans="1:4" ht="12" customHeight="1" thickBot="1">
      <c r="A129" s="106" t="s">
        <v>19</v>
      </c>
      <c r="B129" s="67" t="s">
        <v>449</v>
      </c>
      <c r="C129" s="108">
        <f>+C130+C131+C132</f>
        <v>0</v>
      </c>
      <c r="D129" s="108">
        <f>+D130+D131+D132</f>
        <v>0</v>
      </c>
    </row>
    <row r="130" spans="1:4" ht="12" customHeight="1">
      <c r="A130" s="110" t="s">
        <v>261</v>
      </c>
      <c r="B130" s="163" t="s">
        <v>456</v>
      </c>
      <c r="C130" s="164"/>
      <c r="D130" s="164"/>
    </row>
    <row r="131" spans="1:4" ht="12" customHeight="1">
      <c r="A131" s="110" t="s">
        <v>264</v>
      </c>
      <c r="B131" s="163" t="s">
        <v>457</v>
      </c>
      <c r="C131" s="164"/>
      <c r="D131" s="164"/>
    </row>
    <row r="132" spans="1:4" ht="12" customHeight="1" thickBot="1">
      <c r="A132" s="156" t="s">
        <v>265</v>
      </c>
      <c r="B132" s="163" t="s">
        <v>458</v>
      </c>
      <c r="C132" s="164"/>
      <c r="D132" s="164"/>
    </row>
    <row r="133" spans="1:4" ht="12" customHeight="1" thickBot="1">
      <c r="A133" s="106" t="s">
        <v>20</v>
      </c>
      <c r="B133" s="67" t="s">
        <v>450</v>
      </c>
      <c r="C133" s="108">
        <f>SUM(C134:C139)</f>
        <v>0</v>
      </c>
      <c r="D133" s="108">
        <f>SUM(D134:D139)</f>
        <v>0</v>
      </c>
    </row>
    <row r="134" spans="1:4" ht="12" customHeight="1">
      <c r="A134" s="110" t="s">
        <v>88</v>
      </c>
      <c r="B134" s="65" t="s">
        <v>459</v>
      </c>
      <c r="C134" s="164"/>
      <c r="D134" s="164"/>
    </row>
    <row r="135" spans="1:4" ht="12" customHeight="1">
      <c r="A135" s="110" t="s">
        <v>89</v>
      </c>
      <c r="B135" s="65" t="s">
        <v>451</v>
      </c>
      <c r="C135" s="164"/>
      <c r="D135" s="164"/>
    </row>
    <row r="136" spans="1:4" ht="12" customHeight="1">
      <c r="A136" s="110" t="s">
        <v>90</v>
      </c>
      <c r="B136" s="65" t="s">
        <v>452</v>
      </c>
      <c r="C136" s="164"/>
      <c r="D136" s="164"/>
    </row>
    <row r="137" spans="1:4" ht="12" customHeight="1">
      <c r="A137" s="110" t="s">
        <v>166</v>
      </c>
      <c r="B137" s="65" t="s">
        <v>453</v>
      </c>
      <c r="C137" s="164"/>
      <c r="D137" s="164"/>
    </row>
    <row r="138" spans="1:4" ht="12" customHeight="1">
      <c r="A138" s="110" t="s">
        <v>167</v>
      </c>
      <c r="B138" s="65" t="s">
        <v>454</v>
      </c>
      <c r="C138" s="164"/>
      <c r="D138" s="164"/>
    </row>
    <row r="139" spans="1:4" ht="12" customHeight="1" thickBot="1">
      <c r="A139" s="156" t="s">
        <v>168</v>
      </c>
      <c r="B139" s="65" t="s">
        <v>455</v>
      </c>
      <c r="C139" s="164"/>
      <c r="D139" s="164"/>
    </row>
    <row r="140" spans="1:4" ht="12" customHeight="1" thickBot="1">
      <c r="A140" s="106" t="s">
        <v>21</v>
      </c>
      <c r="B140" s="67" t="s">
        <v>463</v>
      </c>
      <c r="C140" s="122">
        <f>+C141+C142+C143+C144</f>
        <v>0</v>
      </c>
      <c r="D140" s="122">
        <f>+D141+D142+D143+D144</f>
        <v>0</v>
      </c>
    </row>
    <row r="141" spans="1:4" ht="12" customHeight="1">
      <c r="A141" s="110" t="s">
        <v>91</v>
      </c>
      <c r="B141" s="65" t="s">
        <v>370</v>
      </c>
      <c r="C141" s="164"/>
      <c r="D141" s="164"/>
    </row>
    <row r="142" spans="1:4" ht="12" customHeight="1">
      <c r="A142" s="110" t="s">
        <v>92</v>
      </c>
      <c r="B142" s="65" t="s">
        <v>371</v>
      </c>
      <c r="C142" s="164"/>
      <c r="D142" s="164"/>
    </row>
    <row r="143" spans="1:4" ht="12" customHeight="1">
      <c r="A143" s="110" t="s">
        <v>285</v>
      </c>
      <c r="B143" s="65" t="s">
        <v>464</v>
      </c>
      <c r="C143" s="164"/>
      <c r="D143" s="164"/>
    </row>
    <row r="144" spans="1:4" ht="12" customHeight="1" thickBot="1">
      <c r="A144" s="156" t="s">
        <v>286</v>
      </c>
      <c r="B144" s="61" t="s">
        <v>390</v>
      </c>
      <c r="C144" s="164"/>
      <c r="D144" s="164"/>
    </row>
    <row r="145" spans="1:5" ht="12" customHeight="1" thickBot="1">
      <c r="A145" s="106" t="s">
        <v>22</v>
      </c>
      <c r="B145" s="67" t="s">
        <v>465</v>
      </c>
      <c r="C145" s="167">
        <f>SUM(C146:C150)</f>
        <v>0</v>
      </c>
      <c r="D145" s="167">
        <f>SUM(D146:D150)</f>
        <v>0</v>
      </c>
    </row>
    <row r="146" spans="1:5" ht="12" customHeight="1">
      <c r="A146" s="110" t="s">
        <v>93</v>
      </c>
      <c r="B146" s="65" t="s">
        <v>460</v>
      </c>
      <c r="C146" s="164"/>
      <c r="D146" s="164"/>
    </row>
    <row r="147" spans="1:5" ht="12" customHeight="1">
      <c r="A147" s="110" t="s">
        <v>94</v>
      </c>
      <c r="B147" s="65" t="s">
        <v>467</v>
      </c>
      <c r="C147" s="164"/>
      <c r="D147" s="164"/>
    </row>
    <row r="148" spans="1:5" ht="12" customHeight="1">
      <c r="A148" s="110" t="s">
        <v>297</v>
      </c>
      <c r="B148" s="65" t="s">
        <v>462</v>
      </c>
      <c r="C148" s="164"/>
      <c r="D148" s="164"/>
    </row>
    <row r="149" spans="1:5" ht="12" customHeight="1">
      <c r="A149" s="110" t="s">
        <v>298</v>
      </c>
      <c r="B149" s="65" t="s">
        <v>468</v>
      </c>
      <c r="C149" s="164"/>
      <c r="D149" s="164"/>
    </row>
    <row r="150" spans="1:5" ht="12" customHeight="1" thickBot="1">
      <c r="A150" s="110" t="s">
        <v>466</v>
      </c>
      <c r="B150" s="65" t="s">
        <v>469</v>
      </c>
      <c r="C150" s="164"/>
      <c r="D150" s="164"/>
    </row>
    <row r="151" spans="1:5" ht="12" customHeight="1" thickBot="1">
      <c r="A151" s="106" t="s">
        <v>23</v>
      </c>
      <c r="B151" s="67" t="s">
        <v>470</v>
      </c>
      <c r="C151" s="168"/>
      <c r="D151" s="168"/>
    </row>
    <row r="152" spans="1:5" ht="12" customHeight="1" thickBot="1">
      <c r="A152" s="106" t="s">
        <v>24</v>
      </c>
      <c r="B152" s="67" t="s">
        <v>471</v>
      </c>
      <c r="C152" s="168"/>
      <c r="D152" s="168"/>
    </row>
    <row r="153" spans="1:5" ht="15" customHeight="1" thickBot="1">
      <c r="A153" s="106" t="s">
        <v>25</v>
      </c>
      <c r="B153" s="67" t="s">
        <v>473</v>
      </c>
      <c r="C153" s="169">
        <f>+C129+C133+C140+C145+C151+C152</f>
        <v>0</v>
      </c>
      <c r="D153" s="169">
        <f>+D129+D133+D140+D145+D151+D152</f>
        <v>0</v>
      </c>
      <c r="E153" s="170"/>
    </row>
    <row r="154" spans="1:5" s="109" customFormat="1" ht="12.95" customHeight="1" thickBot="1">
      <c r="A154" s="171" t="s">
        <v>26</v>
      </c>
      <c r="B154" s="172" t="s">
        <v>472</v>
      </c>
      <c r="C154" s="169">
        <f>+C128+C153</f>
        <v>0</v>
      </c>
      <c r="D154" s="169">
        <f>+D128+D153</f>
        <v>0</v>
      </c>
    </row>
    <row r="155" spans="1:5" ht="7.5" customHeight="1"/>
    <row r="156" spans="1:5">
      <c r="A156" s="693" t="s">
        <v>372</v>
      </c>
      <c r="B156" s="693"/>
      <c r="C156" s="693"/>
      <c r="D156" s="98"/>
    </row>
    <row r="157" spans="1:5" ht="15" customHeight="1" thickBot="1">
      <c r="A157" s="690" t="s">
        <v>146</v>
      </c>
      <c r="B157" s="690"/>
      <c r="C157" s="99" t="s">
        <v>220</v>
      </c>
      <c r="D157" s="99" t="s">
        <v>220</v>
      </c>
    </row>
    <row r="158" spans="1:5" ht="13.5" customHeight="1" thickBot="1">
      <c r="A158" s="106">
        <v>1</v>
      </c>
      <c r="B158" s="174" t="s">
        <v>474</v>
      </c>
      <c r="C158" s="108">
        <f>+C62-C128</f>
        <v>0</v>
      </c>
      <c r="D158" s="108">
        <f>+D62-D128</f>
        <v>0</v>
      </c>
    </row>
    <row r="159" spans="1:5" ht="27.75" customHeight="1" thickBot="1">
      <c r="A159" s="106" t="s">
        <v>17</v>
      </c>
      <c r="B159" s="174" t="s">
        <v>480</v>
      </c>
      <c r="C159" s="108">
        <f>+C86-C153</f>
        <v>0</v>
      </c>
      <c r="D159" s="108">
        <f>+D86-D153</f>
        <v>0</v>
      </c>
    </row>
  </sheetData>
  <mergeCells count="6">
    <mergeCell ref="A156:C156"/>
    <mergeCell ref="A157:B157"/>
    <mergeCell ref="A1:C1"/>
    <mergeCell ref="A2:B2"/>
    <mergeCell ref="A89:C89"/>
    <mergeCell ref="A90:B90"/>
  </mergeCells>
  <phoneticPr fontId="6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45" fitToHeight="2" orientation="portrait" r:id="rId1"/>
  <headerFooter alignWithMargins="0">
    <oddHeader>&amp;C&amp;"Times New Roman CE,Félkövér"&amp;12
Vonyarcvashegy Nagyközség Önkormányzata
2017. ÉVI KÖLTSÉGVETÉS
ÁLLAMI (ÁLLAMIGAZGATÁSI) FELADATOK MÉRLEGE
&amp;R&amp;"Times New Roman CE,Félkövér dőlt"&amp;11 1.4. melléklet a 7/2017. (V.26.) önkormányzati rendelethez</oddHeader>
    <oddFooter>&amp;P. oldal, összesen: &amp;N</oddFooter>
  </headerFooter>
  <rowBreaks count="1" manualBreakCount="1">
    <brk id="88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5">
    <tabColor rgb="FFFFFF00"/>
  </sheetPr>
  <dimension ref="A1:G34"/>
  <sheetViews>
    <sheetView zoomScale="115" zoomScaleNormal="115" zoomScaleSheetLayoutView="100" workbookViewId="0">
      <selection activeCell="E1" sqref="E1:F1"/>
    </sheetView>
  </sheetViews>
  <sheetFormatPr defaultRowHeight="12.75"/>
  <cols>
    <col min="1" max="1" width="4.83203125" style="260" bestFit="1" customWidth="1"/>
    <col min="2" max="2" width="47.6640625" style="264" bestFit="1" customWidth="1"/>
    <col min="3" max="4" width="12.83203125" style="260" bestFit="1" customWidth="1"/>
    <col min="5" max="5" width="43.33203125" style="260" bestFit="1" customWidth="1"/>
    <col min="6" max="6" width="15.6640625" style="260" bestFit="1" customWidth="1"/>
    <col min="7" max="7" width="18.83203125" style="260" bestFit="1" customWidth="1"/>
    <col min="8" max="16384" width="9.33203125" style="260"/>
  </cols>
  <sheetData>
    <row r="1" spans="1:7" ht="19.5" customHeight="1">
      <c r="B1" s="260"/>
      <c r="E1" s="697" t="s">
        <v>727</v>
      </c>
      <c r="F1" s="697"/>
    </row>
    <row r="2" spans="1:7" ht="39.75" customHeight="1">
      <c r="B2" s="262" t="s">
        <v>149</v>
      </c>
      <c r="C2" s="263"/>
      <c r="D2" s="263"/>
      <c r="E2" s="263"/>
      <c r="F2" s="263"/>
      <c r="G2" s="263"/>
    </row>
    <row r="3" spans="1:7" ht="14.25" thickBot="1">
      <c r="F3" s="265" t="s">
        <v>597</v>
      </c>
      <c r="G3" s="265" t="s">
        <v>597</v>
      </c>
    </row>
    <row r="4" spans="1:7" ht="18" customHeight="1" thickBot="1">
      <c r="A4" s="694" t="s">
        <v>66</v>
      </c>
      <c r="B4" s="266" t="s">
        <v>53</v>
      </c>
      <c r="C4" s="267"/>
      <c r="D4" s="267"/>
      <c r="E4" s="266" t="s">
        <v>54</v>
      </c>
      <c r="F4" s="268"/>
      <c r="G4" s="268"/>
    </row>
    <row r="5" spans="1:7" s="271" customFormat="1" ht="35.25" customHeight="1" thickBot="1">
      <c r="A5" s="695"/>
      <c r="B5" s="269" t="s">
        <v>58</v>
      </c>
      <c r="C5" s="270" t="s">
        <v>613</v>
      </c>
      <c r="D5" s="270" t="s">
        <v>709</v>
      </c>
      <c r="E5" s="269" t="s">
        <v>58</v>
      </c>
      <c r="F5" s="270" t="s">
        <v>613</v>
      </c>
      <c r="G5" s="270" t="s">
        <v>709</v>
      </c>
    </row>
    <row r="6" spans="1:7" s="304" customFormat="1" ht="12" customHeight="1" thickBot="1">
      <c r="A6" s="272" t="s">
        <v>487</v>
      </c>
      <c r="B6" s="273" t="s">
        <v>488</v>
      </c>
      <c r="C6" s="274" t="s">
        <v>489</v>
      </c>
      <c r="D6" s="274" t="s">
        <v>489</v>
      </c>
      <c r="E6" s="273" t="s">
        <v>491</v>
      </c>
      <c r="F6" s="275" t="s">
        <v>490</v>
      </c>
      <c r="G6" s="275" t="s">
        <v>490</v>
      </c>
    </row>
    <row r="7" spans="1:7" ht="12.95" customHeight="1">
      <c r="A7" s="276" t="s">
        <v>16</v>
      </c>
      <c r="B7" s="277" t="s">
        <v>373</v>
      </c>
      <c r="C7" s="278">
        <v>214106236</v>
      </c>
      <c r="D7" s="278">
        <f>214106236+279623+694424</f>
        <v>215080283</v>
      </c>
      <c r="E7" s="277" t="s">
        <v>59</v>
      </c>
      <c r="F7" s="71">
        <v>68217187</v>
      </c>
      <c r="G7" s="71">
        <f>68217187+16000+3381554-782100</f>
        <v>70832641</v>
      </c>
    </row>
    <row r="8" spans="1:7" ht="12.95" customHeight="1">
      <c r="A8" s="279" t="s">
        <v>17</v>
      </c>
      <c r="B8" s="280" t="s">
        <v>374</v>
      </c>
      <c r="C8" s="281">
        <v>56851987</v>
      </c>
      <c r="D8" s="281">
        <f>56851987+3753513+100000+467685</f>
        <v>61173185</v>
      </c>
      <c r="E8" s="280" t="s">
        <v>174</v>
      </c>
      <c r="F8" s="90">
        <v>18222262</v>
      </c>
      <c r="G8" s="90">
        <f>18222262-16000+371959-172062</f>
        <v>18406159</v>
      </c>
    </row>
    <row r="9" spans="1:7" ht="12.95" customHeight="1">
      <c r="A9" s="279" t="s">
        <v>18</v>
      </c>
      <c r="B9" s="280" t="s">
        <v>395</v>
      </c>
      <c r="C9" s="281"/>
      <c r="D9" s="281"/>
      <c r="E9" s="280" t="s">
        <v>225</v>
      </c>
      <c r="F9" s="90">
        <v>179150934</v>
      </c>
      <c r="G9" s="90">
        <f>179150934+150000+20000+4458</f>
        <v>179325392</v>
      </c>
    </row>
    <row r="10" spans="1:7" ht="12.95" customHeight="1">
      <c r="A10" s="279" t="s">
        <v>19</v>
      </c>
      <c r="B10" s="280" t="s">
        <v>165</v>
      </c>
      <c r="C10" s="281">
        <v>124930000</v>
      </c>
      <c r="D10" s="281">
        <v>124930000</v>
      </c>
      <c r="E10" s="280" t="s">
        <v>175</v>
      </c>
      <c r="F10" s="90">
        <v>13067373</v>
      </c>
      <c r="G10" s="90">
        <v>13067373</v>
      </c>
    </row>
    <row r="11" spans="1:7" ht="12.95" customHeight="1">
      <c r="A11" s="279" t="s">
        <v>20</v>
      </c>
      <c r="B11" s="305" t="s">
        <v>419</v>
      </c>
      <c r="C11" s="281">
        <v>111943281</v>
      </c>
      <c r="D11" s="281">
        <f>111943281+6400+30000+458216+24000-249000</f>
        <v>112212897</v>
      </c>
      <c r="E11" s="280" t="s">
        <v>176</v>
      </c>
      <c r="F11" s="90">
        <v>126892493</v>
      </c>
      <c r="G11" s="90">
        <f>126892493+15091+1718911+1200000+30000+39622+20000</f>
        <v>129916117</v>
      </c>
    </row>
    <row r="12" spans="1:7" ht="12.95" customHeight="1">
      <c r="A12" s="279" t="s">
        <v>21</v>
      </c>
      <c r="B12" s="280" t="s">
        <v>375</v>
      </c>
      <c r="C12" s="282">
        <v>293300</v>
      </c>
      <c r="D12" s="282">
        <f>293300+50000</f>
        <v>343300</v>
      </c>
      <c r="E12" s="280" t="s">
        <v>47</v>
      </c>
      <c r="F12" s="90">
        <v>32761625</v>
      </c>
      <c r="G12" s="90">
        <f>32761625+279623+12501681+6400+100000+30000+50000+458216-15091-37800+24000-1718911+467685-1200000-150000-30000-20000-950000-1575000-5-1094837+694424-39622+954162-249000-611067-20000</f>
        <v>40616483</v>
      </c>
    </row>
    <row r="13" spans="1:7" ht="12.95" customHeight="1">
      <c r="A13" s="279" t="s">
        <v>22</v>
      </c>
      <c r="B13" s="280" t="s">
        <v>481</v>
      </c>
      <c r="C13" s="281"/>
      <c r="D13" s="281"/>
      <c r="E13" s="284"/>
      <c r="F13" s="90"/>
      <c r="G13" s="90"/>
    </row>
    <row r="14" spans="1:7" ht="12.95" customHeight="1">
      <c r="A14" s="279" t="s">
        <v>23</v>
      </c>
      <c r="B14" s="284"/>
      <c r="C14" s="281"/>
      <c r="D14" s="281"/>
      <c r="E14" s="284"/>
      <c r="F14" s="90"/>
      <c r="G14" s="90"/>
    </row>
    <row r="15" spans="1:7" ht="12.95" customHeight="1">
      <c r="A15" s="279" t="s">
        <v>24</v>
      </c>
      <c r="B15" s="306"/>
      <c r="C15" s="282"/>
      <c r="D15" s="282"/>
      <c r="E15" s="284"/>
      <c r="F15" s="90"/>
      <c r="G15" s="90"/>
    </row>
    <row r="16" spans="1:7" ht="12.95" customHeight="1">
      <c r="A16" s="279" t="s">
        <v>25</v>
      </c>
      <c r="B16" s="284"/>
      <c r="C16" s="281"/>
      <c r="D16" s="281"/>
      <c r="E16" s="284"/>
      <c r="F16" s="90"/>
      <c r="G16" s="90"/>
    </row>
    <row r="17" spans="1:7" ht="12.95" customHeight="1">
      <c r="A17" s="279" t="s">
        <v>26</v>
      </c>
      <c r="B17" s="284"/>
      <c r="C17" s="281"/>
      <c r="D17" s="281"/>
      <c r="E17" s="284"/>
      <c r="F17" s="90"/>
      <c r="G17" s="90"/>
    </row>
    <row r="18" spans="1:7" ht="12.95" customHeight="1" thickBot="1">
      <c r="A18" s="279" t="s">
        <v>27</v>
      </c>
      <c r="B18" s="307"/>
      <c r="C18" s="308"/>
      <c r="D18" s="308"/>
      <c r="E18" s="284"/>
      <c r="F18" s="309"/>
      <c r="G18" s="309"/>
    </row>
    <row r="19" spans="1:7" ht="15.95" customHeight="1" thickBot="1">
      <c r="A19" s="290" t="s">
        <v>28</v>
      </c>
      <c r="B19" s="291" t="s">
        <v>482</v>
      </c>
      <c r="C19" s="292">
        <f>SUM(C7:C18)</f>
        <v>508124804</v>
      </c>
      <c r="D19" s="292">
        <f>SUM(D7:D18)</f>
        <v>513739665</v>
      </c>
      <c r="E19" s="291" t="s">
        <v>381</v>
      </c>
      <c r="F19" s="53">
        <f>SUM(F7:F18)</f>
        <v>438311874</v>
      </c>
      <c r="G19" s="53">
        <f>SUM(G7:G18)</f>
        <v>452164165</v>
      </c>
    </row>
    <row r="20" spans="1:7" ht="12.95" customHeight="1">
      <c r="A20" s="286" t="s">
        <v>29</v>
      </c>
      <c r="B20" s="289" t="s">
        <v>378</v>
      </c>
      <c r="C20" s="310">
        <f>+C21+C22+C23+C24</f>
        <v>97029262</v>
      </c>
      <c r="D20" s="310">
        <f>+D21+D22+D23+D24</f>
        <v>106361529</v>
      </c>
      <c r="E20" s="280" t="s">
        <v>182</v>
      </c>
      <c r="F20" s="73"/>
      <c r="G20" s="73"/>
    </row>
    <row r="21" spans="1:7" ht="12.95" customHeight="1">
      <c r="A21" s="279" t="s">
        <v>30</v>
      </c>
      <c r="B21" s="280" t="s">
        <v>217</v>
      </c>
      <c r="C21" s="281">
        <v>97029262</v>
      </c>
      <c r="D21" s="281">
        <f>97029262+12501681-37800-950000-1575000-5-606609</f>
        <v>106361529</v>
      </c>
      <c r="E21" s="280" t="s">
        <v>380</v>
      </c>
      <c r="F21" s="90"/>
      <c r="G21" s="90"/>
    </row>
    <row r="22" spans="1:7" ht="12.95" customHeight="1">
      <c r="A22" s="279" t="s">
        <v>31</v>
      </c>
      <c r="B22" s="280" t="s">
        <v>218</v>
      </c>
      <c r="C22" s="281"/>
      <c r="D22" s="281"/>
      <c r="E22" s="280" t="s">
        <v>147</v>
      </c>
      <c r="F22" s="90"/>
      <c r="G22" s="90"/>
    </row>
    <row r="23" spans="1:7" ht="12.95" customHeight="1">
      <c r="A23" s="279" t="s">
        <v>32</v>
      </c>
      <c r="B23" s="280" t="s">
        <v>223</v>
      </c>
      <c r="C23" s="281"/>
      <c r="D23" s="281"/>
      <c r="E23" s="280" t="s">
        <v>148</v>
      </c>
      <c r="F23" s="90"/>
      <c r="G23" s="90"/>
    </row>
    <row r="24" spans="1:7" ht="12.95" customHeight="1">
      <c r="A24" s="279" t="s">
        <v>33</v>
      </c>
      <c r="B24" s="280" t="s">
        <v>224</v>
      </c>
      <c r="C24" s="281"/>
      <c r="D24" s="281"/>
      <c r="E24" s="289" t="s">
        <v>226</v>
      </c>
      <c r="F24" s="90"/>
      <c r="G24" s="90"/>
    </row>
    <row r="25" spans="1:7" ht="12.95" customHeight="1">
      <c r="A25" s="279" t="s">
        <v>34</v>
      </c>
      <c r="B25" s="280" t="s">
        <v>379</v>
      </c>
      <c r="C25" s="298">
        <f>+C26+C27</f>
        <v>0</v>
      </c>
      <c r="D25" s="298">
        <f>+D26+D27</f>
        <v>0</v>
      </c>
      <c r="E25" s="280" t="s">
        <v>183</v>
      </c>
      <c r="F25" s="90"/>
      <c r="G25" s="90"/>
    </row>
    <row r="26" spans="1:7" ht="12.95" customHeight="1">
      <c r="A26" s="286" t="s">
        <v>35</v>
      </c>
      <c r="B26" s="289" t="s">
        <v>376</v>
      </c>
      <c r="C26" s="311"/>
      <c r="D26" s="311"/>
      <c r="E26" s="277" t="s">
        <v>464</v>
      </c>
      <c r="F26" s="73"/>
      <c r="G26" s="73"/>
    </row>
    <row r="27" spans="1:7" ht="12.95" customHeight="1">
      <c r="A27" s="279" t="s">
        <v>36</v>
      </c>
      <c r="B27" s="280" t="s">
        <v>377</v>
      </c>
      <c r="C27" s="281"/>
      <c r="D27" s="281"/>
      <c r="E27" s="280" t="s">
        <v>470</v>
      </c>
      <c r="F27" s="90"/>
      <c r="G27" s="90"/>
    </row>
    <row r="28" spans="1:7" ht="12.95" customHeight="1">
      <c r="A28" s="279" t="s">
        <v>37</v>
      </c>
      <c r="B28" s="280" t="s">
        <v>475</v>
      </c>
      <c r="C28" s="281"/>
      <c r="D28" s="281"/>
      <c r="E28" s="280" t="s">
        <v>589</v>
      </c>
      <c r="F28" s="90">
        <v>7777206</v>
      </c>
      <c r="G28" s="90">
        <v>7777206</v>
      </c>
    </row>
    <row r="29" spans="1:7" ht="12.95" customHeight="1" thickBot="1">
      <c r="A29" s="286" t="s">
        <v>38</v>
      </c>
      <c r="B29" s="289" t="s">
        <v>335</v>
      </c>
      <c r="C29" s="311"/>
      <c r="D29" s="311"/>
      <c r="E29" s="287" t="s">
        <v>545</v>
      </c>
      <c r="F29" s="73">
        <v>159064986</v>
      </c>
      <c r="G29" s="73">
        <f>159064986+1094837</f>
        <v>160159823</v>
      </c>
    </row>
    <row r="30" spans="1:7" ht="15.95" customHeight="1" thickBot="1">
      <c r="A30" s="290" t="s">
        <v>39</v>
      </c>
      <c r="B30" s="291" t="s">
        <v>483</v>
      </c>
      <c r="C30" s="292">
        <f>+C20+C25+C28+C29</f>
        <v>97029262</v>
      </c>
      <c r="D30" s="292">
        <f>+D20+D25+D28+D29</f>
        <v>106361529</v>
      </c>
      <c r="E30" s="291" t="s">
        <v>485</v>
      </c>
      <c r="F30" s="53">
        <f>SUM(F20:F29)</f>
        <v>166842192</v>
      </c>
      <c r="G30" s="53">
        <f>SUM(G20:G29)</f>
        <v>167937029</v>
      </c>
    </row>
    <row r="31" spans="1:7" ht="26.25" thickBot="1">
      <c r="A31" s="290" t="s">
        <v>40</v>
      </c>
      <c r="B31" s="302" t="s">
        <v>484</v>
      </c>
      <c r="C31" s="303">
        <f>+C19+C30</f>
        <v>605154066</v>
      </c>
      <c r="D31" s="303">
        <f>+D19+D30</f>
        <v>620101194</v>
      </c>
      <c r="E31" s="302" t="s">
        <v>486</v>
      </c>
      <c r="F31" s="303">
        <f>+F19+F30</f>
        <v>605154066</v>
      </c>
      <c r="G31" s="303">
        <f>+G19+G30</f>
        <v>620101194</v>
      </c>
    </row>
    <row r="32" spans="1:7" ht="26.25" thickBot="1">
      <c r="A32" s="290" t="s">
        <v>41</v>
      </c>
      <c r="B32" s="302" t="s">
        <v>160</v>
      </c>
      <c r="C32" s="303"/>
      <c r="D32" s="303"/>
      <c r="E32" s="302" t="s">
        <v>161</v>
      </c>
      <c r="F32" s="303"/>
      <c r="G32" s="303"/>
    </row>
    <row r="33" spans="1:7" ht="26.25" thickBot="1">
      <c r="A33" s="290" t="s">
        <v>42</v>
      </c>
      <c r="B33" s="302" t="s">
        <v>227</v>
      </c>
      <c r="C33" s="303"/>
      <c r="D33" s="303"/>
      <c r="E33" s="302" t="s">
        <v>228</v>
      </c>
      <c r="F33" s="303"/>
      <c r="G33" s="303"/>
    </row>
    <row r="34" spans="1:7" ht="18.75">
      <c r="B34" s="696"/>
      <c r="C34" s="696"/>
      <c r="D34" s="696"/>
      <c r="E34" s="696"/>
    </row>
  </sheetData>
  <mergeCells count="3">
    <mergeCell ref="A4:A5"/>
    <mergeCell ref="B34:E34"/>
    <mergeCell ref="E1:F1"/>
  </mergeCells>
  <phoneticPr fontId="0" type="noConversion"/>
  <printOptions horizontalCentered="1"/>
  <pageMargins left="0.33" right="0.48" top="0.9055118110236221" bottom="0.5" header="0.6692913385826772" footer="0.28000000000000003"/>
  <pageSetup paperSize="9" scale="54" orientation="landscape" verticalDpi="300" r:id="rId1"/>
  <headerFooter alignWithMargins="0">
    <oddHeader xml:space="preserve">&amp;CVonyarcvashegy Nagyközség Önkormányzata&amp;R&amp;"Times New Roman CE,Félkövér dőlt"&amp;11 </oddHeader>
    <oddFooter>&amp;P. oldal, összesen: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Munka6">
    <tabColor rgb="FFFFFF00"/>
  </sheetPr>
  <dimension ref="A1:G34"/>
  <sheetViews>
    <sheetView topLeftCell="B1" zoomScaleNormal="100" zoomScaleSheetLayoutView="115" workbookViewId="0">
      <selection activeCell="E1" sqref="E1"/>
    </sheetView>
  </sheetViews>
  <sheetFormatPr defaultRowHeight="12.75"/>
  <cols>
    <col min="1" max="1" width="6.83203125" style="260" customWidth="1"/>
    <col min="2" max="2" width="55.1640625" style="264" customWidth="1"/>
    <col min="3" max="4" width="16.33203125" style="260" customWidth="1"/>
    <col min="5" max="5" width="55.1640625" style="260" customWidth="1"/>
    <col min="6" max="7" width="16.33203125" style="260" customWidth="1"/>
    <col min="8" max="16384" width="9.33203125" style="260"/>
  </cols>
  <sheetData>
    <row r="1" spans="1:7" ht="19.5" customHeight="1">
      <c r="B1" s="260"/>
      <c r="E1" s="261" t="s">
        <v>728</v>
      </c>
      <c r="F1" s="261"/>
      <c r="G1" s="261"/>
    </row>
    <row r="2" spans="1:7" ht="31.5" customHeight="1">
      <c r="B2" s="262" t="s">
        <v>150</v>
      </c>
      <c r="C2" s="263"/>
      <c r="D2" s="263"/>
      <c r="E2" s="263"/>
      <c r="F2" s="263"/>
      <c r="G2" s="263"/>
    </row>
    <row r="3" spans="1:7" ht="14.25" thickBot="1">
      <c r="F3" s="265" t="s">
        <v>597</v>
      </c>
      <c r="G3" s="265" t="s">
        <v>597</v>
      </c>
    </row>
    <row r="4" spans="1:7" ht="13.5" thickBot="1">
      <c r="A4" s="698" t="s">
        <v>66</v>
      </c>
      <c r="B4" s="266" t="s">
        <v>53</v>
      </c>
      <c r="C4" s="267"/>
      <c r="D4" s="267"/>
      <c r="E4" s="266" t="s">
        <v>54</v>
      </c>
      <c r="F4" s="268"/>
      <c r="G4" s="268"/>
    </row>
    <row r="5" spans="1:7" s="271" customFormat="1" ht="36.75" thickBot="1">
      <c r="A5" s="699"/>
      <c r="B5" s="269" t="s">
        <v>58</v>
      </c>
      <c r="C5" s="270" t="s">
        <v>613</v>
      </c>
      <c r="D5" s="270" t="s">
        <v>709</v>
      </c>
      <c r="E5" s="269" t="s">
        <v>58</v>
      </c>
      <c r="F5" s="270" t="s">
        <v>613</v>
      </c>
      <c r="G5" s="270" t="s">
        <v>709</v>
      </c>
    </row>
    <row r="6" spans="1:7" s="271" customFormat="1" ht="13.5" thickBot="1">
      <c r="A6" s="272" t="s">
        <v>487</v>
      </c>
      <c r="B6" s="273" t="s">
        <v>488</v>
      </c>
      <c r="C6" s="274" t="s">
        <v>489</v>
      </c>
      <c r="D6" s="274" t="s">
        <v>489</v>
      </c>
      <c r="E6" s="273" t="s">
        <v>491</v>
      </c>
      <c r="F6" s="275" t="s">
        <v>490</v>
      </c>
      <c r="G6" s="275" t="s">
        <v>490</v>
      </c>
    </row>
    <row r="7" spans="1:7" ht="12.95" customHeight="1">
      <c r="A7" s="276" t="s">
        <v>16</v>
      </c>
      <c r="B7" s="277" t="s">
        <v>382</v>
      </c>
      <c r="C7" s="278"/>
      <c r="D7" s="278">
        <f>4997450</f>
        <v>4997450</v>
      </c>
      <c r="E7" s="277" t="s">
        <v>219</v>
      </c>
      <c r="F7" s="71">
        <v>73674349</v>
      </c>
      <c r="G7" s="71">
        <f>73674349+4997450+37800+950000+5+606609+8381999</f>
        <v>88648212</v>
      </c>
    </row>
    <row r="8" spans="1:7">
      <c r="A8" s="279" t="s">
        <v>17</v>
      </c>
      <c r="B8" s="280" t="s">
        <v>383</v>
      </c>
      <c r="C8" s="281"/>
      <c r="D8" s="281"/>
      <c r="E8" s="280" t="s">
        <v>388</v>
      </c>
      <c r="F8" s="90"/>
      <c r="G8" s="90"/>
    </row>
    <row r="9" spans="1:7" ht="12.95" customHeight="1">
      <c r="A9" s="279" t="s">
        <v>18</v>
      </c>
      <c r="B9" s="280" t="s">
        <v>10</v>
      </c>
      <c r="C9" s="281">
        <v>6550567</v>
      </c>
      <c r="D9" s="281">
        <v>6550567</v>
      </c>
      <c r="E9" s="280" t="s">
        <v>178</v>
      </c>
      <c r="F9" s="90">
        <v>44319784</v>
      </c>
      <c r="G9" s="90">
        <f>44319784+1575000-8381999</f>
        <v>37512785</v>
      </c>
    </row>
    <row r="10" spans="1:7" ht="12.95" customHeight="1">
      <c r="A10" s="279" t="s">
        <v>19</v>
      </c>
      <c r="B10" s="280" t="s">
        <v>384</v>
      </c>
      <c r="C10" s="281"/>
      <c r="D10" s="281"/>
      <c r="E10" s="280" t="s">
        <v>389</v>
      </c>
      <c r="F10" s="90"/>
      <c r="G10" s="90"/>
    </row>
    <row r="11" spans="1:7" ht="12.75" customHeight="1">
      <c r="A11" s="279" t="s">
        <v>20</v>
      </c>
      <c r="B11" s="280" t="s">
        <v>385</v>
      </c>
      <c r="C11" s="281"/>
      <c r="D11" s="281"/>
      <c r="E11" s="280" t="s">
        <v>222</v>
      </c>
      <c r="F11" s="90">
        <v>2000000</v>
      </c>
      <c r="G11" s="90">
        <v>2000000</v>
      </c>
    </row>
    <row r="12" spans="1:7" ht="12.95" customHeight="1">
      <c r="A12" s="279" t="s">
        <v>21</v>
      </c>
      <c r="B12" s="280" t="s">
        <v>386</v>
      </c>
      <c r="C12" s="282"/>
      <c r="D12" s="282"/>
      <c r="E12" s="283"/>
      <c r="F12" s="90"/>
      <c r="G12" s="90"/>
    </row>
    <row r="13" spans="1:7" ht="12.95" customHeight="1">
      <c r="A13" s="279" t="s">
        <v>22</v>
      </c>
      <c r="B13" s="284"/>
      <c r="C13" s="281"/>
      <c r="D13" s="281"/>
      <c r="E13" s="283"/>
      <c r="F13" s="90"/>
      <c r="G13" s="90"/>
    </row>
    <row r="14" spans="1:7" ht="12.95" customHeight="1">
      <c r="A14" s="279" t="s">
        <v>23</v>
      </c>
      <c r="B14" s="284"/>
      <c r="C14" s="281"/>
      <c r="D14" s="281"/>
      <c r="E14" s="283"/>
      <c r="F14" s="90"/>
      <c r="G14" s="90"/>
    </row>
    <row r="15" spans="1:7" ht="12.95" customHeight="1">
      <c r="A15" s="279" t="s">
        <v>24</v>
      </c>
      <c r="B15" s="285"/>
      <c r="C15" s="282"/>
      <c r="D15" s="282"/>
      <c r="E15" s="283"/>
      <c r="F15" s="90"/>
      <c r="G15" s="90"/>
    </row>
    <row r="16" spans="1:7">
      <c r="A16" s="279" t="s">
        <v>25</v>
      </c>
      <c r="B16" s="284"/>
      <c r="C16" s="282"/>
      <c r="D16" s="282"/>
      <c r="E16" s="283"/>
      <c r="F16" s="90"/>
      <c r="G16" s="90"/>
    </row>
    <row r="17" spans="1:7" ht="12.95" customHeight="1" thickBot="1">
      <c r="A17" s="286" t="s">
        <v>26</v>
      </c>
      <c r="B17" s="287"/>
      <c r="C17" s="288"/>
      <c r="D17" s="288"/>
      <c r="E17" s="289" t="s">
        <v>47</v>
      </c>
      <c r="F17" s="73"/>
      <c r="G17" s="73"/>
    </row>
    <row r="18" spans="1:7" ht="15.95" customHeight="1" thickBot="1">
      <c r="A18" s="290" t="s">
        <v>27</v>
      </c>
      <c r="B18" s="291" t="s">
        <v>396</v>
      </c>
      <c r="C18" s="292">
        <f>+C7+C9+C10+C12+C13+C14+C15+C16+C17</f>
        <v>6550567</v>
      </c>
      <c r="D18" s="292">
        <f>+D7+D9+D10+D12+D13+D14+D15+D16+D17</f>
        <v>11548017</v>
      </c>
      <c r="E18" s="291" t="s">
        <v>397</v>
      </c>
      <c r="F18" s="53">
        <f>+F7+F9+F11+F12+F13+F14+F15+F16+F17</f>
        <v>119994133</v>
      </c>
      <c r="G18" s="53">
        <f>+G7+G9+G11+G12+G13+G14+G15+G16+G17</f>
        <v>128160997</v>
      </c>
    </row>
    <row r="19" spans="1:7" ht="12.95" customHeight="1">
      <c r="A19" s="276" t="s">
        <v>28</v>
      </c>
      <c r="B19" s="293" t="s">
        <v>240</v>
      </c>
      <c r="C19" s="294">
        <f>+C20+C21+C22+C23+C24</f>
        <v>113443566</v>
      </c>
      <c r="D19" s="294">
        <f>+D20+D21+D22+D23+D24</f>
        <v>116612980</v>
      </c>
      <c r="E19" s="280" t="s">
        <v>182</v>
      </c>
      <c r="F19" s="71"/>
      <c r="G19" s="71"/>
    </row>
    <row r="20" spans="1:7" ht="12.95" customHeight="1">
      <c r="A20" s="279" t="s">
        <v>29</v>
      </c>
      <c r="B20" s="295" t="s">
        <v>229</v>
      </c>
      <c r="C20" s="281">
        <v>113443566</v>
      </c>
      <c r="D20" s="281">
        <f>113443566+37800+950000+1575000+5+606609</f>
        <v>116612980</v>
      </c>
      <c r="E20" s="280" t="s">
        <v>185</v>
      </c>
      <c r="F20" s="90"/>
      <c r="G20" s="90"/>
    </row>
    <row r="21" spans="1:7" ht="12.95" customHeight="1">
      <c r="A21" s="276" t="s">
        <v>30</v>
      </c>
      <c r="B21" s="295" t="s">
        <v>230</v>
      </c>
      <c r="C21" s="281"/>
      <c r="D21" s="281"/>
      <c r="E21" s="280" t="s">
        <v>147</v>
      </c>
      <c r="F21" s="90"/>
      <c r="G21" s="90"/>
    </row>
    <row r="22" spans="1:7" ht="12.95" customHeight="1">
      <c r="A22" s="279" t="s">
        <v>31</v>
      </c>
      <c r="B22" s="295" t="s">
        <v>231</v>
      </c>
      <c r="C22" s="281"/>
      <c r="D22" s="281"/>
      <c r="E22" s="280" t="s">
        <v>148</v>
      </c>
      <c r="F22" s="90"/>
      <c r="G22" s="90"/>
    </row>
    <row r="23" spans="1:7" ht="12.95" customHeight="1">
      <c r="A23" s="276" t="s">
        <v>32</v>
      </c>
      <c r="B23" s="295" t="s">
        <v>232</v>
      </c>
      <c r="C23" s="281"/>
      <c r="D23" s="281"/>
      <c r="E23" s="289" t="s">
        <v>226</v>
      </c>
      <c r="F23" s="90"/>
      <c r="G23" s="90"/>
    </row>
    <row r="24" spans="1:7" ht="12.95" customHeight="1">
      <c r="A24" s="279" t="s">
        <v>33</v>
      </c>
      <c r="B24" s="296" t="s">
        <v>233</v>
      </c>
      <c r="C24" s="281"/>
      <c r="D24" s="281"/>
      <c r="E24" s="280" t="s">
        <v>186</v>
      </c>
      <c r="F24" s="90"/>
      <c r="G24" s="90"/>
    </row>
    <row r="25" spans="1:7" ht="12.95" customHeight="1">
      <c r="A25" s="276" t="s">
        <v>34</v>
      </c>
      <c r="B25" s="297" t="s">
        <v>234</v>
      </c>
      <c r="C25" s="298">
        <f>+C26+C27+C28+C29+C30</f>
        <v>0</v>
      </c>
      <c r="D25" s="298">
        <f>+D26+D27+D28+D29+D30</f>
        <v>0</v>
      </c>
      <c r="E25" s="277" t="s">
        <v>184</v>
      </c>
      <c r="F25" s="90"/>
      <c r="G25" s="90"/>
    </row>
    <row r="26" spans="1:7" ht="12.95" customHeight="1">
      <c r="A26" s="279" t="s">
        <v>35</v>
      </c>
      <c r="B26" s="296" t="s">
        <v>235</v>
      </c>
      <c r="C26" s="281"/>
      <c r="D26" s="281"/>
      <c r="E26" s="277" t="s">
        <v>390</v>
      </c>
      <c r="F26" s="90"/>
      <c r="G26" s="90"/>
    </row>
    <row r="27" spans="1:7" ht="12.95" customHeight="1">
      <c r="A27" s="276" t="s">
        <v>36</v>
      </c>
      <c r="B27" s="296" t="s">
        <v>236</v>
      </c>
      <c r="C27" s="281"/>
      <c r="D27" s="281"/>
      <c r="E27" s="299"/>
      <c r="F27" s="90"/>
      <c r="G27" s="90"/>
    </row>
    <row r="28" spans="1:7" ht="12.95" customHeight="1">
      <c r="A28" s="279" t="s">
        <v>37</v>
      </c>
      <c r="B28" s="295" t="s">
        <v>237</v>
      </c>
      <c r="C28" s="281"/>
      <c r="D28" s="281"/>
      <c r="E28" s="299"/>
      <c r="F28" s="90"/>
      <c r="G28" s="90"/>
    </row>
    <row r="29" spans="1:7" ht="12.95" customHeight="1">
      <c r="A29" s="276" t="s">
        <v>38</v>
      </c>
      <c r="B29" s="300" t="s">
        <v>238</v>
      </c>
      <c r="C29" s="281"/>
      <c r="D29" s="281"/>
      <c r="E29" s="284"/>
      <c r="F29" s="90"/>
      <c r="G29" s="90"/>
    </row>
    <row r="30" spans="1:7" ht="12.95" customHeight="1" thickBot="1">
      <c r="A30" s="279" t="s">
        <v>39</v>
      </c>
      <c r="B30" s="301" t="s">
        <v>239</v>
      </c>
      <c r="C30" s="281"/>
      <c r="D30" s="281"/>
      <c r="E30" s="299"/>
      <c r="F30" s="90"/>
      <c r="G30" s="90"/>
    </row>
    <row r="31" spans="1:7" ht="21.75" customHeight="1" thickBot="1">
      <c r="A31" s="290" t="s">
        <v>40</v>
      </c>
      <c r="B31" s="291" t="s">
        <v>387</v>
      </c>
      <c r="C31" s="292">
        <f>+C19+C25</f>
        <v>113443566</v>
      </c>
      <c r="D31" s="292">
        <f>+D19+D25</f>
        <v>116612980</v>
      </c>
      <c r="E31" s="291" t="s">
        <v>391</v>
      </c>
      <c r="F31" s="53">
        <f>SUM(F19:F30)</f>
        <v>0</v>
      </c>
      <c r="G31" s="53">
        <f>SUM(G19:G30)</f>
        <v>0</v>
      </c>
    </row>
    <row r="32" spans="1:7" ht="13.5" thickBot="1">
      <c r="A32" s="290" t="s">
        <v>41</v>
      </c>
      <c r="B32" s="302" t="s">
        <v>392</v>
      </c>
      <c r="C32" s="303">
        <f>C18+C31</f>
        <v>119994133</v>
      </c>
      <c r="D32" s="303">
        <f>D18+D31</f>
        <v>128160997</v>
      </c>
      <c r="E32" s="302" t="s">
        <v>393</v>
      </c>
      <c r="F32" s="303">
        <f>F18+F31</f>
        <v>119994133</v>
      </c>
      <c r="G32" s="303">
        <f>G18+G31</f>
        <v>128160997</v>
      </c>
    </row>
    <row r="33" spans="1:7" ht="13.5" thickBot="1">
      <c r="A33" s="290" t="s">
        <v>42</v>
      </c>
      <c r="B33" s="302" t="s">
        <v>160</v>
      </c>
      <c r="C33" s="303"/>
      <c r="D33" s="303"/>
      <c r="E33" s="302" t="s">
        <v>161</v>
      </c>
      <c r="F33" s="303"/>
      <c r="G33" s="303"/>
    </row>
    <row r="34" spans="1:7" ht="13.5" thickBot="1">
      <c r="A34" s="290" t="s">
        <v>43</v>
      </c>
      <c r="B34" s="302" t="s">
        <v>227</v>
      </c>
      <c r="C34" s="303"/>
      <c r="D34" s="303"/>
      <c r="E34" s="302" t="s">
        <v>228</v>
      </c>
      <c r="F34" s="303"/>
      <c r="G34" s="303"/>
    </row>
  </sheetData>
  <mergeCells count="1">
    <mergeCell ref="A4:A5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50" orientation="landscape" verticalDpi="300" r:id="rId1"/>
  <headerFooter alignWithMargins="0">
    <oddHeader>&amp;CVonyarcvashegy Nagyközség Önkormányzata</oddHeader>
    <oddFooter>&amp;P. oldal, összesen: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Munka7">
    <tabColor rgb="FFFFFF00"/>
  </sheetPr>
  <dimension ref="A1:G11"/>
  <sheetViews>
    <sheetView view="pageLayout" topLeftCell="A137" zoomScaleNormal="120" workbookViewId="0">
      <selection activeCell="B161" sqref="B161"/>
    </sheetView>
  </sheetViews>
  <sheetFormatPr defaultRowHeight="15"/>
  <cols>
    <col min="1" max="1" width="5.1640625" style="201" bestFit="1" customWidth="1"/>
    <col min="2" max="2" width="28.83203125" style="201" bestFit="1" customWidth="1"/>
    <col min="3" max="6" width="16.5" style="201" bestFit="1" customWidth="1"/>
    <col min="7" max="16384" width="9.33203125" style="201"/>
  </cols>
  <sheetData>
    <row r="1" spans="1:7" ht="33" customHeight="1">
      <c r="A1" s="700" t="s">
        <v>543</v>
      </c>
      <c r="B1" s="700"/>
      <c r="C1" s="700"/>
      <c r="D1" s="700"/>
      <c r="E1" s="700"/>
      <c r="F1" s="700"/>
    </row>
    <row r="2" spans="1:7" ht="15.95" customHeight="1" thickBot="1">
      <c r="A2" s="202"/>
      <c r="B2" s="202"/>
      <c r="C2" s="701"/>
      <c r="D2" s="701"/>
      <c r="E2" s="708" t="s">
        <v>597</v>
      </c>
      <c r="F2" s="708"/>
      <c r="G2" s="204"/>
    </row>
    <row r="3" spans="1:7" ht="63" customHeight="1">
      <c r="A3" s="704" t="s">
        <v>14</v>
      </c>
      <c r="B3" s="706" t="s">
        <v>188</v>
      </c>
      <c r="C3" s="706" t="s">
        <v>244</v>
      </c>
      <c r="D3" s="706"/>
      <c r="E3" s="706"/>
      <c r="F3" s="702" t="s">
        <v>497</v>
      </c>
    </row>
    <row r="4" spans="1:7" ht="15.75" thickBot="1">
      <c r="A4" s="705"/>
      <c r="B4" s="707"/>
      <c r="C4" s="241" t="s">
        <v>606</v>
      </c>
      <c r="D4" s="241" t="s">
        <v>634</v>
      </c>
      <c r="E4" s="241" t="s">
        <v>635</v>
      </c>
      <c r="F4" s="703"/>
    </row>
    <row r="5" spans="1:7" ht="15.75" thickBot="1">
      <c r="A5" s="242" t="s">
        <v>487</v>
      </c>
      <c r="B5" s="243" t="s">
        <v>488</v>
      </c>
      <c r="C5" s="243" t="s">
        <v>489</v>
      </c>
      <c r="D5" s="243" t="s">
        <v>491</v>
      </c>
      <c r="E5" s="243" t="s">
        <v>490</v>
      </c>
      <c r="F5" s="244" t="s">
        <v>492</v>
      </c>
    </row>
    <row r="6" spans="1:7">
      <c r="A6" s="245" t="s">
        <v>16</v>
      </c>
      <c r="B6" s="246" t="s">
        <v>561</v>
      </c>
      <c r="C6" s="247">
        <v>117400000</v>
      </c>
      <c r="D6" s="247">
        <v>117400000</v>
      </c>
      <c r="E6" s="247">
        <v>117400000</v>
      </c>
      <c r="F6" s="248">
        <f>SUM(C6:E6)</f>
        <v>352200000</v>
      </c>
    </row>
    <row r="7" spans="1:7">
      <c r="A7" s="249" t="s">
        <v>17</v>
      </c>
      <c r="B7" s="250" t="s">
        <v>562</v>
      </c>
      <c r="C7" s="251">
        <v>130000</v>
      </c>
      <c r="D7" s="251">
        <v>130000</v>
      </c>
      <c r="E7" s="251">
        <v>130000</v>
      </c>
      <c r="F7" s="252">
        <f>SUM(C7:E7)</f>
        <v>390000</v>
      </c>
    </row>
    <row r="8" spans="1:7">
      <c r="A8" s="249" t="s">
        <v>18</v>
      </c>
      <c r="B8" s="250"/>
      <c r="C8" s="251"/>
      <c r="D8" s="251"/>
      <c r="E8" s="251"/>
      <c r="F8" s="252">
        <f>SUM(C8:E8)</f>
        <v>0</v>
      </c>
    </row>
    <row r="9" spans="1:7">
      <c r="A9" s="249" t="s">
        <v>19</v>
      </c>
      <c r="B9" s="250"/>
      <c r="C9" s="251"/>
      <c r="D9" s="251"/>
      <c r="E9" s="251"/>
      <c r="F9" s="252">
        <f>SUM(C9:E9)</f>
        <v>0</v>
      </c>
    </row>
    <row r="10" spans="1:7" ht="15.75" thickBot="1">
      <c r="A10" s="253" t="s">
        <v>20</v>
      </c>
      <c r="B10" s="254"/>
      <c r="C10" s="255"/>
      <c r="D10" s="255"/>
      <c r="E10" s="255"/>
      <c r="F10" s="252">
        <f>SUM(C10:E10)</f>
        <v>0</v>
      </c>
    </row>
    <row r="11" spans="1:7" s="223" customFormat="1" thickBot="1">
      <c r="A11" s="256" t="s">
        <v>21</v>
      </c>
      <c r="B11" s="257" t="s">
        <v>189</v>
      </c>
      <c r="C11" s="258">
        <f>SUM(C6:C10)</f>
        <v>117530000</v>
      </c>
      <c r="D11" s="258">
        <f>SUM(D6:D10)</f>
        <v>117530000</v>
      </c>
      <c r="E11" s="258">
        <f>SUM(E6:E10)</f>
        <v>117530000</v>
      </c>
      <c r="F11" s="259">
        <f>SUM(F6:F10)</f>
        <v>352590000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7/2017. (V.26.)
 önkormányzati rendelethez</oddHeader>
    <oddFooter>&amp;P. oldal, összesen: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Munka8">
    <tabColor rgb="FFFFFF00"/>
  </sheetPr>
  <dimension ref="A1:D12"/>
  <sheetViews>
    <sheetView view="pageLayout" topLeftCell="A122" zoomScaleNormal="120" workbookViewId="0">
      <selection activeCell="B161" sqref="B161"/>
    </sheetView>
  </sheetViews>
  <sheetFormatPr defaultRowHeight="15"/>
  <cols>
    <col min="1" max="1" width="5.6640625" style="201" customWidth="1"/>
    <col min="2" max="2" width="68.6640625" style="201" customWidth="1"/>
    <col min="3" max="4" width="19.5" style="201" customWidth="1"/>
    <col min="5" max="16384" width="9.33203125" style="201"/>
  </cols>
  <sheetData>
    <row r="1" spans="1:4" ht="43.5" customHeight="1">
      <c r="A1" s="700" t="s">
        <v>544</v>
      </c>
      <c r="B1" s="700"/>
      <c r="C1" s="700"/>
    </row>
    <row r="2" spans="1:4" ht="15.95" customHeight="1" thickBot="1">
      <c r="A2" s="202"/>
      <c r="B2" s="202"/>
      <c r="C2" s="203" t="s">
        <v>597</v>
      </c>
      <c r="D2" s="203" t="s">
        <v>597</v>
      </c>
    </row>
    <row r="3" spans="1:4" ht="26.25" customHeight="1" thickBot="1">
      <c r="A3" s="224" t="s">
        <v>14</v>
      </c>
      <c r="B3" s="225" t="s">
        <v>187</v>
      </c>
      <c r="C3" s="226" t="s">
        <v>613</v>
      </c>
      <c r="D3" s="226" t="s">
        <v>709</v>
      </c>
    </row>
    <row r="4" spans="1:4" ht="15.75" thickBot="1">
      <c r="A4" s="227" t="s">
        <v>487</v>
      </c>
      <c r="B4" s="228" t="s">
        <v>488</v>
      </c>
      <c r="C4" s="229" t="s">
        <v>489</v>
      </c>
      <c r="D4" s="229" t="s">
        <v>489</v>
      </c>
    </row>
    <row r="5" spans="1:4">
      <c r="A5" s="230" t="s">
        <v>16</v>
      </c>
      <c r="B5" s="231" t="s">
        <v>498</v>
      </c>
      <c r="C5" s="232">
        <v>117400000</v>
      </c>
      <c r="D5" s="232">
        <v>117400000</v>
      </c>
    </row>
    <row r="6" spans="1:4" ht="24.75">
      <c r="A6" s="233" t="s">
        <v>17</v>
      </c>
      <c r="B6" s="234" t="s">
        <v>241</v>
      </c>
      <c r="C6" s="235"/>
      <c r="D6" s="235"/>
    </row>
    <row r="7" spans="1:4">
      <c r="A7" s="233" t="s">
        <v>18</v>
      </c>
      <c r="B7" s="236" t="s">
        <v>499</v>
      </c>
      <c r="C7" s="235"/>
      <c r="D7" s="235"/>
    </row>
    <row r="8" spans="1:4" ht="24.75">
      <c r="A8" s="233" t="s">
        <v>19</v>
      </c>
      <c r="B8" s="236" t="s">
        <v>243</v>
      </c>
      <c r="C8" s="235"/>
      <c r="D8" s="235"/>
    </row>
    <row r="9" spans="1:4">
      <c r="A9" s="237" t="s">
        <v>20</v>
      </c>
      <c r="B9" s="236" t="s">
        <v>242</v>
      </c>
      <c r="C9" s="238">
        <v>130000</v>
      </c>
      <c r="D9" s="238">
        <v>130000</v>
      </c>
    </row>
    <row r="10" spans="1:4" ht="15.75" thickBot="1">
      <c r="A10" s="233" t="s">
        <v>21</v>
      </c>
      <c r="B10" s="239" t="s">
        <v>500</v>
      </c>
      <c r="C10" s="235"/>
      <c r="D10" s="235"/>
    </row>
    <row r="11" spans="1:4" ht="15.75" thickBot="1">
      <c r="A11" s="709" t="s">
        <v>190</v>
      </c>
      <c r="B11" s="710"/>
      <c r="C11" s="240">
        <f>SUM(C5:C10)</f>
        <v>117530000</v>
      </c>
      <c r="D11" s="240">
        <f>SUM(D5:D10)</f>
        <v>117530000</v>
      </c>
    </row>
    <row r="12" spans="1:4" ht="23.25" customHeight="1">
      <c r="A12" s="711" t="s">
        <v>216</v>
      </c>
      <c r="B12" s="711"/>
      <c r="C12" s="711"/>
    </row>
  </sheetData>
  <mergeCells count="3">
    <mergeCell ref="A1:C1"/>
    <mergeCell ref="A11:B11"/>
    <mergeCell ref="A12:C12"/>
  </mergeCells>
  <phoneticPr fontId="6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71" orientation="portrait" r:id="rId1"/>
  <headerFooter alignWithMargins="0">
    <oddHeader>&amp;R&amp;"Times New Roman CE,Félkövér dőlt"&amp;11 4. melléklet a 7/2017. (V.26.) önkormányzati rendelethez</oddHeader>
    <oddFooter>&amp;P. oldal, összesen: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Munka9">
    <tabColor rgb="FFFFFF00"/>
  </sheetPr>
  <dimension ref="A1:D8"/>
  <sheetViews>
    <sheetView view="pageLayout" topLeftCell="A137" zoomScaleNormal="120" workbookViewId="0">
      <selection activeCell="B161" sqref="B161"/>
    </sheetView>
  </sheetViews>
  <sheetFormatPr defaultRowHeight="15"/>
  <cols>
    <col min="1" max="1" width="5.6640625" style="201" customWidth="1"/>
    <col min="2" max="2" width="66.83203125" style="201" customWidth="1"/>
    <col min="3" max="3" width="27" style="201" customWidth="1"/>
    <col min="4" max="16384" width="9.33203125" style="201"/>
  </cols>
  <sheetData>
    <row r="1" spans="1:4" ht="33" customHeight="1">
      <c r="A1" s="700" t="s">
        <v>636</v>
      </c>
      <c r="B1" s="700"/>
      <c r="C1" s="700"/>
    </row>
    <row r="2" spans="1:4" ht="15.95" customHeight="1" thickBot="1">
      <c r="A2" s="202"/>
      <c r="B2" s="202"/>
      <c r="C2" s="203" t="s">
        <v>597</v>
      </c>
      <c r="D2" s="204"/>
    </row>
    <row r="3" spans="1:4" ht="26.25" customHeight="1" thickBot="1">
      <c r="A3" s="205" t="s">
        <v>14</v>
      </c>
      <c r="B3" s="206" t="s">
        <v>191</v>
      </c>
      <c r="C3" s="207" t="s">
        <v>215</v>
      </c>
    </row>
    <row r="4" spans="1:4" ht="15.75" thickBot="1">
      <c r="A4" s="208" t="s">
        <v>487</v>
      </c>
      <c r="B4" s="209" t="s">
        <v>488</v>
      </c>
      <c r="C4" s="210" t="s">
        <v>489</v>
      </c>
    </row>
    <row r="5" spans="1:4">
      <c r="A5" s="211" t="s">
        <v>16</v>
      </c>
      <c r="B5" s="212"/>
      <c r="C5" s="213"/>
    </row>
    <row r="6" spans="1:4">
      <c r="A6" s="214" t="s">
        <v>17</v>
      </c>
      <c r="B6" s="215"/>
      <c r="C6" s="216"/>
    </row>
    <row r="7" spans="1:4" ht="15.75" thickBot="1">
      <c r="A7" s="217" t="s">
        <v>18</v>
      </c>
      <c r="B7" s="218"/>
      <c r="C7" s="219"/>
    </row>
    <row r="8" spans="1:4" s="223" customFormat="1" ht="17.25" customHeight="1" thickBot="1">
      <c r="A8" s="220" t="s">
        <v>19</v>
      </c>
      <c r="B8" s="221" t="s">
        <v>192</v>
      </c>
      <c r="C8" s="222">
        <f>SUM(C5:C7)</f>
        <v>0</v>
      </c>
    </row>
  </sheetData>
  <mergeCells count="1">
    <mergeCell ref="A1:C1"/>
  </mergeCells>
  <phoneticPr fontId="6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7/2017. (V.26.) önkormányzati rendelethez</oddHeader>
    <oddFooter>&amp;P. oldal, összesen: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34</vt:i4>
      </vt:variant>
      <vt:variant>
        <vt:lpstr>Névvel ellátott tartományok</vt:lpstr>
      </vt:variant>
      <vt:variant>
        <vt:i4>20</vt:i4>
      </vt:variant>
    </vt:vector>
  </HeadingPairs>
  <TitlesOfParts>
    <vt:vector size="54" baseType="lpstr">
      <vt:lpstr>1.1.sz.mell.</vt:lpstr>
      <vt:lpstr>1.2.sz.mell.</vt:lpstr>
      <vt:lpstr>1.3.sz.mell.</vt:lpstr>
      <vt:lpstr>1.4.sz.mell.</vt:lpstr>
      <vt:lpstr>2.1.sz.mell</vt:lpstr>
      <vt:lpstr>2.2.sz.mell</vt:lpstr>
      <vt:lpstr>3.sz.mell.</vt:lpstr>
      <vt:lpstr>4.sz.mell.</vt:lpstr>
      <vt:lpstr>5.sz.mell.</vt:lpstr>
      <vt:lpstr>6.sz.mell.</vt:lpstr>
      <vt:lpstr>7.sz.mell.</vt:lpstr>
      <vt:lpstr>8. sz. mell. </vt:lpstr>
      <vt:lpstr>9.1. sz. mell</vt:lpstr>
      <vt:lpstr>9.1.1. sz. mell </vt:lpstr>
      <vt:lpstr>9.1.2. sz. mell </vt:lpstr>
      <vt:lpstr>9.1.3. sz. mell</vt:lpstr>
      <vt:lpstr>9.2. sz. mell</vt:lpstr>
      <vt:lpstr>9.2. sz. mell (2-1)</vt:lpstr>
      <vt:lpstr>9.2. sz. mell (2-2)</vt:lpstr>
      <vt:lpstr>9.2.1. sz. mell</vt:lpstr>
      <vt:lpstr>9.2.2. sz.  mell</vt:lpstr>
      <vt:lpstr>9.2.3. sz. mell</vt:lpstr>
      <vt:lpstr>9.3. sz. mell</vt:lpstr>
      <vt:lpstr>9.3.1. sz. mell</vt:lpstr>
      <vt:lpstr>9.3.2. sz. mell</vt:lpstr>
      <vt:lpstr>9.3.3. sz. mell</vt:lpstr>
      <vt:lpstr>10.sz.mell</vt:lpstr>
      <vt:lpstr>1. sz tájékoztató t.</vt:lpstr>
      <vt:lpstr>2. sz tájékoztató t</vt:lpstr>
      <vt:lpstr>3. sz tájékoztató t.</vt:lpstr>
      <vt:lpstr>4.sz tájékoztató t.</vt:lpstr>
      <vt:lpstr>5.sz tájékoztató t.</vt:lpstr>
      <vt:lpstr>6.sz tájékoztató t.</vt:lpstr>
      <vt:lpstr>7. sz tájékoztató t.</vt:lpstr>
      <vt:lpstr>'9.1. sz. mell'!Nyomtatási_cím</vt:lpstr>
      <vt:lpstr>'9.1.1. sz. mell '!Nyomtatási_cím</vt:lpstr>
      <vt:lpstr>'9.1.2. sz. mell '!Nyomtatási_cím</vt:lpstr>
      <vt:lpstr>'9.1.3. sz. mell'!Nyomtatási_cím</vt:lpstr>
      <vt:lpstr>'9.2. sz. mell'!Nyomtatási_cím</vt:lpstr>
      <vt:lpstr>'9.2. sz. mell (2-1)'!Nyomtatási_cím</vt:lpstr>
      <vt:lpstr>'9.2. sz. mell (2-2)'!Nyomtatási_cím</vt:lpstr>
      <vt:lpstr>'9.2.1. sz. mell'!Nyomtatási_cím</vt:lpstr>
      <vt:lpstr>'9.2.2. sz.  mell'!Nyomtatási_cím</vt:lpstr>
      <vt:lpstr>'9.2.3. sz. mell'!Nyomtatási_cím</vt:lpstr>
      <vt:lpstr>'9.3. sz. mell'!Nyomtatási_cím</vt:lpstr>
      <vt:lpstr>'9.3.1. sz. mell'!Nyomtatási_cím</vt:lpstr>
      <vt:lpstr>'9.3.2. sz. mell'!Nyomtatási_cím</vt:lpstr>
      <vt:lpstr>'9.3.3. sz. mell'!Nyomtatási_cím</vt:lpstr>
      <vt:lpstr>'1. sz tájékoztató t.'!Nyomtatási_terület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'7. sz tájékoztató t.'!Nyomtatási_terület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titkarsag</cp:lastModifiedBy>
  <cp:lastPrinted>2017-05-09T08:58:49Z</cp:lastPrinted>
  <dcterms:created xsi:type="dcterms:W3CDTF">1999-10-30T10:30:45Z</dcterms:created>
  <dcterms:modified xsi:type="dcterms:W3CDTF">2017-05-29T09:22:06Z</dcterms:modified>
</cp:coreProperties>
</file>