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95" yWindow="45" windowWidth="5940" windowHeight="5415" tabRatio="598" firstSheet="8" activeTab="12"/>
  </bookViews>
  <sheets>
    <sheet name="bor." sheetId="1" r:id="rId1"/>
    <sheet name="1.mell. -mérleg" sheetId="2" r:id="rId2"/>
    <sheet name="2.mell - bevétel" sheetId="3" r:id="rId3"/>
    <sheet name="3.mell. - bevét.Köá" sheetId="4" r:id="rId4"/>
    <sheet name="4.mell. - kiadás" sheetId="5" r:id="rId5"/>
    <sheet name="5.mell. - kiadás.köá." sheetId="6" r:id="rId6"/>
    <sheet name="6.mell - átadások" sheetId="7" r:id="rId7"/>
    <sheet name="7.mell. - ellátottak jutt." sheetId="8" r:id="rId8"/>
    <sheet name="8.mell. - beruházások" sheetId="9" r:id="rId9"/>
    <sheet name="9.mell.-felújítások" sheetId="10" r:id="rId10"/>
    <sheet name="10.mell. - közgazd.mérleg" sheetId="11" r:id="rId11"/>
    <sheet name="11.mell. -ei.felh.ütemt." sheetId="12" r:id="rId12"/>
    <sheet name="Munka1" sheetId="13" r:id="rId13"/>
  </sheets>
  <definedNames/>
  <calcPr fullCalcOnLoad="1"/>
</workbook>
</file>

<file path=xl/sharedStrings.xml><?xml version="1.0" encoding="utf-8"?>
<sst xmlns="http://schemas.openxmlformats.org/spreadsheetml/2006/main" count="749" uniqueCount="450">
  <si>
    <t>Megnevezés</t>
  </si>
  <si>
    <t>Összesen:</t>
  </si>
  <si>
    <t>létszám</t>
  </si>
  <si>
    <t>Sitke község Önkormányzata</t>
  </si>
  <si>
    <t>TÁMOGATÁSOK ÖSSZESEN:</t>
  </si>
  <si>
    <t>állandó</t>
  </si>
  <si>
    <t>juttatások</t>
  </si>
  <si>
    <t>előirányzat</t>
  </si>
  <si>
    <t>tervezett előirányzat</t>
  </si>
  <si>
    <t xml:space="preserve"> ebből:</t>
  </si>
  <si>
    <t>MŰKÖDÉSI KIADÁSOK</t>
  </si>
  <si>
    <t>FELHALMOZÁSI KIADÁSOK</t>
  </si>
  <si>
    <t>tervezett</t>
  </si>
  <si>
    <t>változás</t>
  </si>
  <si>
    <t>M  e  g  n  e  v  e  z  é  s:</t>
  </si>
  <si>
    <t>%-a</t>
  </si>
  <si>
    <t>MŰKÖDÉSI BEVÉTELEK ÖSSZESEN:</t>
  </si>
  <si>
    <t>Körjegyzőségi feladatok ellátása</t>
  </si>
  <si>
    <t>Bursa Hungarica Alapítvány támogatása</t>
  </si>
  <si>
    <t>Citerazenekar támogatása</t>
  </si>
  <si>
    <t>Hímzőszakkör támogatása</t>
  </si>
  <si>
    <t>2.</t>
  </si>
  <si>
    <t>Kistérségi tagsági díj</t>
  </si>
  <si>
    <t>Eseti társadalom, szociálpolitikai és egyéb társadalombiztosítási</t>
  </si>
  <si>
    <t>juttatások összesen:</t>
  </si>
  <si>
    <t>Működési célú szociális támogatások összesen:</t>
  </si>
  <si>
    <t>Társadalom-, szociálispolitikai és egyéb társadalom-</t>
  </si>
  <si>
    <t>biztosítási juttatások mindösszesen:</t>
  </si>
  <si>
    <t>ebből: igényel- hető költség- vetési támogatás</t>
  </si>
  <si>
    <t>hető költség-</t>
  </si>
  <si>
    <t>vetési támogatás</t>
  </si>
  <si>
    <t>Háziorvosi alapellátás</t>
  </si>
  <si>
    <t>Civil szervezetek működési támogatása</t>
  </si>
  <si>
    <t>Köztemető-fenntartás és működtetés</t>
  </si>
  <si>
    <t>Könyvtári szolgáltatások</t>
  </si>
  <si>
    <t>Bevételei forrásonként</t>
  </si>
  <si>
    <t xml:space="preserve">Sitke község Önkormányzata   </t>
  </si>
  <si>
    <t>Társadalom-, szociálpolitikai  és egyéb társadalombiztosítási kiadásai</t>
  </si>
  <si>
    <t>SITKE KÖZSÉG ÖNKORMÁNYZATA</t>
  </si>
  <si>
    <t>sor-</t>
  </si>
  <si>
    <t>szám</t>
  </si>
  <si>
    <t>1.</t>
  </si>
  <si>
    <t>3.</t>
  </si>
  <si>
    <t>TÁRGYÉVI BEVÉTELEK ÖSSZESEN:</t>
  </si>
  <si>
    <t>Nyugdíjas Klub</t>
  </si>
  <si>
    <t xml:space="preserve">Tekeszakosztály </t>
  </si>
  <si>
    <t>TÁRGYÉVI KIADÁSOK ÖSSZESEN:</t>
  </si>
  <si>
    <t>TÁRGYÉVI BEVÉTELEK ÉS KIADÁSOK EGYENLEGE:</t>
  </si>
  <si>
    <t>I.</t>
  </si>
  <si>
    <t>önkormányzati hivatal működésének támogatása</t>
  </si>
  <si>
    <t>település-üzemeltetéshez kapcsolódó feladatellátás támogatása</t>
  </si>
  <si>
    <t>II.</t>
  </si>
  <si>
    <t>III.</t>
  </si>
  <si>
    <t>Könyvtári, közművelődési és múzeumi feladatok támogatása</t>
  </si>
  <si>
    <t>MŰKÖDÉSI BEVÉTELEK</t>
  </si>
  <si>
    <t>a.</t>
  </si>
  <si>
    <t>b.</t>
  </si>
  <si>
    <t>c.</t>
  </si>
  <si>
    <t>d.</t>
  </si>
  <si>
    <t>VII.</t>
  </si>
  <si>
    <t>KÖZHATALMI BEVÉTELEK ÖSSZESEN:</t>
  </si>
  <si>
    <t>ravatalozó használati díj</t>
  </si>
  <si>
    <t>vendégebéd térítési díja</t>
  </si>
  <si>
    <t>működési kiadások</t>
  </si>
  <si>
    <t>felhalmozási kiadások</t>
  </si>
  <si>
    <t>felújítások</t>
  </si>
  <si>
    <t>Sághegy Leader tagdíj</t>
  </si>
  <si>
    <t>Labdarugó Szakosztály támogatása</t>
  </si>
  <si>
    <t xml:space="preserve">Tanévkezdési támogatás </t>
  </si>
  <si>
    <t>TÁRGYÉVI KÖLTSÉGVETÉSI HIÁNY:</t>
  </si>
  <si>
    <t xml:space="preserve">       - egyéb működési kiadások</t>
  </si>
  <si>
    <t xml:space="preserve">       - egyéb felhalmozási kiadások</t>
  </si>
  <si>
    <t>szociális étkeztetés térítési díja</t>
  </si>
  <si>
    <t>táborozás támogatása</t>
  </si>
  <si>
    <t>talajterhelési díj</t>
  </si>
  <si>
    <t>MŰKÖDÉSI CÉLÚ TÁMOGATÁSOK ÁLLAMHÁZTARTÁSON BELÜLRŐL</t>
  </si>
  <si>
    <t>Önkormányzatok működési támogatásai</t>
  </si>
  <si>
    <t>Helyi önkormányzatok  működésének  általános támogatása</t>
  </si>
  <si>
    <t>Települési önkormányzatok működésének támogatása</t>
  </si>
  <si>
    <t>ebből: beszámítás</t>
  </si>
  <si>
    <t>ba.</t>
  </si>
  <si>
    <t>zöldterület gazdálkodással kapcsolatos feladatok ellátásának támogatása</t>
  </si>
  <si>
    <t>bb.</t>
  </si>
  <si>
    <t>közvilágítás fenntartásának támogatása</t>
  </si>
  <si>
    <t>bc.</t>
  </si>
  <si>
    <t>köztemető fenntartással kapcsolatos feladatok támogatása</t>
  </si>
  <si>
    <t>bd.</t>
  </si>
  <si>
    <t>közutak fenntartásának támogatása</t>
  </si>
  <si>
    <t>egyéb önkormányzati feladatok támogatása</t>
  </si>
  <si>
    <t>Hozzájárulás a pénzbeni szociális ellátásokhoz</t>
  </si>
  <si>
    <t>Nem közművel összegyűjtött háztartási szennyvíz ártalmatlanítása</t>
  </si>
  <si>
    <t>Települési önkormányzatok működésének támogatása összesen:</t>
  </si>
  <si>
    <t>Települési önkormányzatok szociális, gyermekjóléti és gyermekétkeztetési feladatainak támogatása</t>
  </si>
  <si>
    <t>Egyes szociális és gyermekjóléti feladatok támogatása</t>
  </si>
  <si>
    <t>4.</t>
  </si>
  <si>
    <t>Kistelepülések szociális feladatainak támogatása</t>
  </si>
  <si>
    <t>5.</t>
  </si>
  <si>
    <t>Gyermekétkeztetés támogatása</t>
  </si>
  <si>
    <t>Települési önkormányzatok szociális, gyermekjóléti és gyermekétkeztetési feladatainak támogatása összesen:</t>
  </si>
  <si>
    <t>Települési önkormányzatok kulturális feladatainak támogatása</t>
  </si>
  <si>
    <t>települési önkormányzatok nyilvános könyvtári és közművelődési feladatainak támogatása</t>
  </si>
  <si>
    <t>Települési önkormányzatok kulturális feladatainak támogatása összesen:</t>
  </si>
  <si>
    <t>6.</t>
  </si>
  <si>
    <t>Működési célú központosított előirányzatok</t>
  </si>
  <si>
    <t>üdülőhelyi feladatok támogatása</t>
  </si>
  <si>
    <t>Helyi önkormányzatok  működésének  általános támogatása összesen:</t>
  </si>
  <si>
    <t>Egyéb működési célú támogatások bevételei államháztartáson belülről</t>
  </si>
  <si>
    <t>közfoglalkoztatás támogatása</t>
  </si>
  <si>
    <t>Egyéb működési célú támogatások bevételei államháztartáson belülről összesen:</t>
  </si>
  <si>
    <t>MŰKÖDÉSI CÉLÚ TÁMOGATÁSOK ÁLLAMHÁZTARTÁSON BELÜLRŐL ÖSSZESEN:</t>
  </si>
  <si>
    <t>FELHALMOZÁSI CÉLÚ TÁMOGATÁSOK ÁLLAMHÁZTARTÁSON BELÜLRŐL</t>
  </si>
  <si>
    <t>Egyéb felhalmozási célú támogatások bevételei államháztartáson belülről</t>
  </si>
  <si>
    <t>Egyéb felhalmozási célú támogatások bevételei államháztartáson belülről összesen:</t>
  </si>
  <si>
    <t>FELHALMOZÁSI CÉLÚ TÁMOGATÁSOK ÁLLAMHÁZ- TARTÁSON BELÜLRŐL ÖSSZESEN:</t>
  </si>
  <si>
    <t>KÖZHATALMI BEVÉTELEK</t>
  </si>
  <si>
    <t>Vagyoni típusú adók</t>
  </si>
  <si>
    <t>Magánszemélyek kommunális adója</t>
  </si>
  <si>
    <t>Értékesítési és forgalmi adók</t>
  </si>
  <si>
    <t>helyi iparűzési adó</t>
  </si>
  <si>
    <t>Gépjárműadók</t>
  </si>
  <si>
    <t>gépjárműadó helyi önkormányzatot megillető része</t>
  </si>
  <si>
    <t>Egyéb áruhasználati és szolgáltatási adók</t>
  </si>
  <si>
    <t>Idegenforgalmi adó</t>
  </si>
  <si>
    <t>Egyéb közhatalmi bevételek</t>
  </si>
  <si>
    <t>Igazgatási szolgáltatási díjak</t>
  </si>
  <si>
    <t>Helyi adópótlék, adóbírság</t>
  </si>
  <si>
    <t xml:space="preserve">IV. </t>
  </si>
  <si>
    <t>Szolgáltatások ellenértéke</t>
  </si>
  <si>
    <t>temetkezési szolgáltatás(sírhely megváltás)</t>
  </si>
  <si>
    <t>óvodai étkeztetés nyújtása</t>
  </si>
  <si>
    <t xml:space="preserve">bérleti és lízing díjbevételek </t>
  </si>
  <si>
    <t>önkormányzati helyiségek bérbeadása</t>
  </si>
  <si>
    <t>lakbérbevételek</t>
  </si>
  <si>
    <t>közterületfogalási díjak</t>
  </si>
  <si>
    <t>földbéreleti díjak</t>
  </si>
  <si>
    <t>Tulajdonosi bevételek</t>
  </si>
  <si>
    <t>szennyvízcsatornahasználati díj</t>
  </si>
  <si>
    <t>Ellátási díjak</t>
  </si>
  <si>
    <t>alkalmazottak térítési díja</t>
  </si>
  <si>
    <t>Kiszámlázott általános forgalmi adó</t>
  </si>
  <si>
    <t>Általános forgalmi adó visszatérítése</t>
  </si>
  <si>
    <t>Kamatbevételek</t>
  </si>
  <si>
    <t>FELHALMOZÁSI CÉLÚ ÁTVETT PÉNZESZKÖZÖK</t>
  </si>
  <si>
    <t>felhalmozási célú visszatérítendő támogatások, kölcsönök visszatérülése államháztartáson kívülről</t>
  </si>
  <si>
    <t>Első lakáshoz jutók lakásépítési és -vásárlási kölcsönének törlesztése</t>
  </si>
  <si>
    <t>FELHALMOZÁSI CÉLÚ ÁTVETT PÉNZESZKÖZÖK ÖSSZESEN:</t>
  </si>
  <si>
    <t>KÖLTSÉGVETÉSI BEVÉTELEK</t>
  </si>
  <si>
    <t>VIII.</t>
  </si>
  <si>
    <t>FINANSZÍROZÁSI BEVÉTELEK</t>
  </si>
  <si>
    <t>Előző évi költségvetési maradvány igénybevétele</t>
  </si>
  <si>
    <t>előző éveki költségvetési maradvány igénybevétele</t>
  </si>
  <si>
    <t>BEVÉTELEK ÖSSZESEN:</t>
  </si>
  <si>
    <t>2015. év</t>
  </si>
  <si>
    <t>Működési célú központosított előirányzatok összesen:</t>
  </si>
  <si>
    <t>lakott külterülettel kapcsolatos feladatok</t>
  </si>
  <si>
    <t>e.</t>
  </si>
  <si>
    <t>2014. évről áthúzódó bérkompenzáció támogatása</t>
  </si>
  <si>
    <t>Pénzbeni szociális ellátások kiegészítése</t>
  </si>
  <si>
    <t>Települési önkormányzatok szociális feladatainak egyéb támogatása</t>
  </si>
  <si>
    <t>Vidéki gazdaság és lakosság számára nyújtott alapszolgáltatások fejlesztése (mikrobusz beszerzése) támogatása</t>
  </si>
  <si>
    <t>Kápolnáért Kulturális és Sport Egyesület művelődési ház kialakításával kacsolatos támogatásának visszatérülése</t>
  </si>
  <si>
    <t>egyéb szolgáltatások nyújtása miatti bevételek</t>
  </si>
  <si>
    <t>BEVÉTELEINEK ÉS KIADÁSAINAK ALAKULÁSA</t>
  </si>
  <si>
    <t>BEVÉTELEK:</t>
  </si>
  <si>
    <t>MŰKÖDÉSI TÁMOGATÁSOK ÁLLAMHÁZTARTÁSON BELÜLRŐL</t>
  </si>
  <si>
    <t xml:space="preserve"> ebből:   Helyi önkormányzatok  működésének  általános támogatása</t>
  </si>
  <si>
    <t xml:space="preserve">             Egyéb működési célú támogatások bevételei államháztartáson belülről</t>
  </si>
  <si>
    <t>FELHALMOZÁSI TÁMOGATÁSOK ÁLLAMHÁZTARTÁSON BELÜLRŐL</t>
  </si>
  <si>
    <t>FELHALMOZÁSI BEVÉTELEK</t>
  </si>
  <si>
    <t>MŰKÖDÉSI CÉLÚ ÁTVETT PÉNZESZKÖZÖK</t>
  </si>
  <si>
    <t xml:space="preserve"> ebből: működési célú visszatérítendő támogatások, kölcsönök visszatérülése államházt.kívülről</t>
  </si>
  <si>
    <t xml:space="preserve">           Egyéb működési célú átvett pénzeszközök</t>
  </si>
  <si>
    <t xml:space="preserve"> ebből: felhalmozási célú visszatérítendő támogatások, kölcsönök visszatérülése államházt.kívülről</t>
  </si>
  <si>
    <t xml:space="preserve">           Egyéb felhalmozási célú átvett pénzeszközök</t>
  </si>
  <si>
    <t>KIADÁSOK:</t>
  </si>
  <si>
    <t xml:space="preserve">       - Személyi juttatások</t>
  </si>
  <si>
    <t xml:space="preserve">       - Munkáltatót terhelő járulékok</t>
  </si>
  <si>
    <t xml:space="preserve">       - Dologi kiadások</t>
  </si>
  <si>
    <t xml:space="preserve">       - Ellátottak juttatásai</t>
  </si>
  <si>
    <t xml:space="preserve">       - Beruházások</t>
  </si>
  <si>
    <t xml:space="preserve">       - Felújítások</t>
  </si>
  <si>
    <t>FINANSZÍROZÁSI KIADÁSOK</t>
  </si>
  <si>
    <t xml:space="preserve"> ebből: fejlesztési célú hitelek törlesztése</t>
  </si>
  <si>
    <t xml:space="preserve">           befektetési célú részesedések vásárlása</t>
  </si>
  <si>
    <t>KIADÁSAI KIEMELT ELŐIRÁNYZATONKÉNT ÉS KORMÁNYZATI FUNKCIÓNKÉNT</t>
  </si>
  <si>
    <t>kormány- zati funkció száma</t>
  </si>
  <si>
    <t>Kormányzati funkció megnevezése</t>
  </si>
  <si>
    <t>kiadás        összesen:</t>
  </si>
  <si>
    <t>k   i   a   d   á   s   o   k   b   ó   l:</t>
  </si>
  <si>
    <t>finanszírozási kiadások</t>
  </si>
  <si>
    <t>személyi juttatások</t>
  </si>
  <si>
    <t>Munkál- tatót terhelő járulékok</t>
  </si>
  <si>
    <t>dologi kiadások</t>
  </si>
  <si>
    <t>ellátottak juttatásai</t>
  </si>
  <si>
    <t>egyéb működési kiadások</t>
  </si>
  <si>
    <t>működési kiadás összesen:</t>
  </si>
  <si>
    <t>beruházások</t>
  </si>
  <si>
    <t>hitel- törlesztés</t>
  </si>
  <si>
    <t>részesedés vásárlása</t>
  </si>
  <si>
    <t>nyitó</t>
  </si>
  <si>
    <t>záró</t>
  </si>
  <si>
    <t>(fő)</t>
  </si>
  <si>
    <t>011130</t>
  </si>
  <si>
    <t>Önkormányzatok és önkormányzati hivatalok jogalkotó és általános igazgatási tevékenysége</t>
  </si>
  <si>
    <t>013320</t>
  </si>
  <si>
    <t>013350</t>
  </si>
  <si>
    <t>Önkormányzati vagyonnal való gazdálkodással kapcsolatos feladatok</t>
  </si>
  <si>
    <t>051030</t>
  </si>
  <si>
    <t>Nem veszélyes (települési) hulladék vegyes (ömlesztett ) begyűjtése, szállítása, átrakás</t>
  </si>
  <si>
    <t>052080</t>
  </si>
  <si>
    <t>Szennyvízcsatorna építése, fenntartása, üzemeltetése</t>
  </si>
  <si>
    <t>061030</t>
  </si>
  <si>
    <t>Lakáshoz jutást segítő támogatások</t>
  </si>
  <si>
    <t>064010</t>
  </si>
  <si>
    <t>Közvilágítás</t>
  </si>
  <si>
    <t>066010</t>
  </si>
  <si>
    <t>Zöldterület-kezelés</t>
  </si>
  <si>
    <t>066020</t>
  </si>
  <si>
    <t>Város- és községgazdálkodási egyéb szolgáltatások</t>
  </si>
  <si>
    <t>072111</t>
  </si>
  <si>
    <t>081041</t>
  </si>
  <si>
    <t>Versenysport és utánpótlás-nevelési tevékenység és támogatása</t>
  </si>
  <si>
    <t>082044</t>
  </si>
  <si>
    <t>084031</t>
  </si>
  <si>
    <t>094260</t>
  </si>
  <si>
    <t>Hallgatói és oktatói ösztöndíjak, egyéb juttatások</t>
  </si>
  <si>
    <t>Lakásfenntartással, lakhatással összefüggő ellátások</t>
  </si>
  <si>
    <t>107051</t>
  </si>
  <si>
    <t>Házi segítségnyújtás</t>
  </si>
  <si>
    <t>Egyéb szociális természetbeni és pénzbeni ellátások</t>
  </si>
  <si>
    <t>EGYÉB MŰKÖDÉSI KIADÁSOK</t>
  </si>
  <si>
    <t>EGYÉB MŰKÖDÉSI CÉLÚ TÁMOGATÁSOK ÁLLAMHÁZTARTÁSON BELÜLRE</t>
  </si>
  <si>
    <t>EGYÉB MŰKÖDÉSI CÉLÚ TÁMOGATÁSOK ÁLLAMHÁZTARTÁSON BELÜLRE ÖSSZESEN:</t>
  </si>
  <si>
    <t>EGYÉB MŰKÖDÉSI CÉLÚ TÁMOGATÁSOK ÁLLAMHÁZTARTÁSON KÍVÜLRE</t>
  </si>
  <si>
    <t>EGYÉB MŰKÖDÉSI CÉLÚ TÁMOGATÁSOK ÁLLAMHÁZTARTÁSON KÍVÜLRE ÖSSZESEN:</t>
  </si>
  <si>
    <t>EGYÉB MŰKÖDÉSI KIADÁSOK ÖSSZESEN:</t>
  </si>
  <si>
    <t>(közgazdasági tagolásban)</t>
  </si>
  <si>
    <t>I. Működési  költségvetés</t>
  </si>
  <si>
    <t>Működési  támogatások államháztartáson belülről</t>
  </si>
  <si>
    <t xml:space="preserve"> - önkormányzatok működési támogatásai</t>
  </si>
  <si>
    <t xml:space="preserve"> - egyéb működési célú támogatások bevételei államháztartáson belülről</t>
  </si>
  <si>
    <t>Közhatalmi bevételek</t>
  </si>
  <si>
    <t xml:space="preserve">Működési bevételek   </t>
  </si>
  <si>
    <t>Működési célú átvett pénzeszközök</t>
  </si>
  <si>
    <t xml:space="preserve"> - működési célú visszatérítendő támogatások, kölcsönök visszatérülése államháztartáson kívülről</t>
  </si>
  <si>
    <t xml:space="preserve"> - egyéb működési célú átvett pénzeszközök</t>
  </si>
  <si>
    <t>Működési bevételek összesen</t>
  </si>
  <si>
    <t>Személyi juttatások</t>
  </si>
  <si>
    <t>Munkaadókat terhelő járulékok és szociális hozzájárulási adó</t>
  </si>
  <si>
    <t>7.</t>
  </si>
  <si>
    <t>Dologi kiadások</t>
  </si>
  <si>
    <t>8.</t>
  </si>
  <si>
    <t>Ellátottak pénzbeli juttatásai</t>
  </si>
  <si>
    <t>9.</t>
  </si>
  <si>
    <t>Egyéb működési célú kiadások</t>
  </si>
  <si>
    <t xml:space="preserve"> - működési célú visszatérítendő támogatások, kölcsönök nyújtása államháztartáson kívülre</t>
  </si>
  <si>
    <t xml:space="preserve"> - egyéb működési célú támogatások államháztartáson kívülre</t>
  </si>
  <si>
    <t xml:space="preserve"> - tartalékok</t>
  </si>
  <si>
    <t>Működési kiadások összesen</t>
  </si>
  <si>
    <t>II. Felhalmozási költségvetés</t>
  </si>
  <si>
    <t>10.</t>
  </si>
  <si>
    <t>Felhalmozási támogatások államháztartáson belülről</t>
  </si>
  <si>
    <t>11.</t>
  </si>
  <si>
    <t xml:space="preserve">Felhalmozási bevételek   </t>
  </si>
  <si>
    <t>12.</t>
  </si>
  <si>
    <t>Felhalmozási célú átvett pénzeszközök</t>
  </si>
  <si>
    <t xml:space="preserve"> - felhalmozási célú visszatérítendő támogatások, kölcsönök visszatérülése államházt.kívülről</t>
  </si>
  <si>
    <t xml:space="preserve"> - egyéb felhalmozási célú átvett pénzeszközök</t>
  </si>
  <si>
    <t>Felhalmozási bevételek összesen</t>
  </si>
  <si>
    <t>13.</t>
  </si>
  <si>
    <t>Beruházások</t>
  </si>
  <si>
    <t>14.</t>
  </si>
  <si>
    <t>Felújítások</t>
  </si>
  <si>
    <t>15.</t>
  </si>
  <si>
    <t>Egyéb felhalmozási kiadások</t>
  </si>
  <si>
    <t xml:space="preserve"> - egyéb felhalmozási célú támogatások államháztartáson kívülre</t>
  </si>
  <si>
    <t>Felhalmozási kiadások összesen</t>
  </si>
  <si>
    <t>Önkormányzat bevételei összesen:</t>
  </si>
  <si>
    <t>Önkormányzat kiadásai összesen:</t>
  </si>
  <si>
    <t>III. Finanszírozási műveletek elszámolása</t>
  </si>
  <si>
    <t>16.</t>
  </si>
  <si>
    <t>Előző év költségvetési maradványának igénybevétele</t>
  </si>
  <si>
    <t>Finanszírozási bevételek összesen:</t>
  </si>
  <si>
    <t>17.</t>
  </si>
  <si>
    <t>Hitel-, kölcsöntörlesztés államháztartáson kívülre</t>
  </si>
  <si>
    <t>18.</t>
  </si>
  <si>
    <t>Befektetési célú belföldi értékpapírok vásárlása</t>
  </si>
  <si>
    <t>Finanszírozási kiadások összesen:</t>
  </si>
  <si>
    <t>Önkormányzat bevételei mindösszesen:</t>
  </si>
  <si>
    <t>Önkormányzat kiadásai mindösszesen:</t>
  </si>
  <si>
    <t>Egyéb felhalmozási kiadások államháztartáson kívülre</t>
  </si>
  <si>
    <t>Első lakáshoz jutók lakásépítésének és -vásárlásnak viszza nem térítendő támogatása</t>
  </si>
  <si>
    <t>Egyéb felhalmozási kiadások államháztartáson kívülre összesen:</t>
  </si>
  <si>
    <t>Költségvetési (működési és felhalmozási ) mérlege</t>
  </si>
  <si>
    <t>KÖTELEZŐ, ÖNKÉNT VÁLLALT ÉS ÁLLAMI (ÁLLAMIGAZGATÁSI) FELADATAINAK BEVÉTELEI</t>
  </si>
  <si>
    <t>bevétel                                        összesen:</t>
  </si>
  <si>
    <t>ebből:</t>
  </si>
  <si>
    <t>kötelező</t>
  </si>
  <si>
    <t>önként vállalt</t>
  </si>
  <si>
    <t>állami (államigazgatási)</t>
  </si>
  <si>
    <t>feladatok</t>
  </si>
  <si>
    <t>018010</t>
  </si>
  <si>
    <t>Önkormányzatok elszámolásai a központi költségvetéssel</t>
  </si>
  <si>
    <t>096015</t>
  </si>
  <si>
    <t>Gyermekétkeztetés köznevelési intézményben</t>
  </si>
  <si>
    <t>096025</t>
  </si>
  <si>
    <t>Munkahelyi étkeztetés köznevelési intézményekben</t>
  </si>
  <si>
    <t>Önkormányzatok funkcióra nem sorolható bevételei államháztartáson kívülről</t>
  </si>
  <si>
    <t>egyéb felhalmozási kiadások</t>
  </si>
  <si>
    <t>felhalmozási kiadások összesen:</t>
  </si>
  <si>
    <t>finanszírozá- si kiadások összesen:</t>
  </si>
  <si>
    <t>Összesen</t>
  </si>
  <si>
    <t>KÖTELEZŐ, ÖNKÉNT VÁLLALT ÉS ÁLLAMI (ÁLLAMIGAZGATÁSI) FELADATAINAK KIADÁSAI</t>
  </si>
  <si>
    <t>kiadás                                       összesen:</t>
  </si>
  <si>
    <t xml:space="preserve">SITKE KÖZSÉG ÖNKORMÁNYZATA   </t>
  </si>
  <si>
    <t>BERUHÁZÁSOK ÉS FELHALMOZÁSI KIADÁSOK</t>
  </si>
  <si>
    <t>M e g n e v e z é s:</t>
  </si>
  <si>
    <t>Előzetesen felszámított általános forgalmi adó</t>
  </si>
  <si>
    <t>BERUHÁZÁSOK ÖSSZESEN:</t>
  </si>
  <si>
    <t>ELŐIRÁNYZAT-FELHASZNÁLÁSI ÜTEMTERVE</t>
  </si>
  <si>
    <t xml:space="preserve">Január </t>
  </si>
  <si>
    <t xml:space="preserve">Február 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</si>
  <si>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</si>
  <si>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</si>
  <si>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</si>
  <si>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</si>
  <si>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</si>
  <si>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</si>
  <si>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</si>
  <si>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</si>
  <si>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</si>
  <si>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</si>
  <si>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 xml:space="preserve"> Bevételek</t>
  </si>
  <si>
    <t>működési célú támogatások államháztartáson belülről</t>
  </si>
  <si>
    <t xml:space="preserve">   -  helyi önkormányzatok  működésének  általános támogatása</t>
  </si>
  <si>
    <t xml:space="preserve">    - egyéb működési célú támogatások bevételei államháztartáson belülről</t>
  </si>
  <si>
    <t>közhatalmi bevételek</t>
  </si>
  <si>
    <t>működési bevételek</t>
  </si>
  <si>
    <t>felhalmozási bevételek</t>
  </si>
  <si>
    <t xml:space="preserve">   - működési célú visszatérítendő támogatások, kölcsönök visszatérülése államházt.kívülről</t>
  </si>
  <si>
    <t xml:space="preserve">   - egyéb működési célú átvett pénzeszközök</t>
  </si>
  <si>
    <t>felhalmozási célú átvett pénzeszközök</t>
  </si>
  <si>
    <t xml:space="preserve">   - felhalmozási célú visszatérítendő támogatások, kölcsönök visszatérülése államházt.kívülről</t>
  </si>
  <si>
    <t xml:space="preserve">   - egyéb felhalmozási célú átvett pénzeszközök</t>
  </si>
  <si>
    <t>előző évi pénzmaradvány igénybevétele</t>
  </si>
  <si>
    <t>Előző havi maradvány</t>
  </si>
  <si>
    <t>Bevételek összesen:</t>
  </si>
  <si>
    <t xml:space="preserve"> Kiadások</t>
  </si>
  <si>
    <t>munkaadókat terhelő járulékok és szociális hozzájárulási adó</t>
  </si>
  <si>
    <t>Egyéb működési kiadások</t>
  </si>
  <si>
    <t xml:space="preserve"> - államháztartáson belülre</t>
  </si>
  <si>
    <t xml:space="preserve"> - államháztartáson kívülre</t>
  </si>
  <si>
    <t xml:space="preserve"> - hosszú lejáratú hitel törlesztése</t>
  </si>
  <si>
    <t xml:space="preserve"> - részesedések vásárlása</t>
  </si>
  <si>
    <t>19.</t>
  </si>
  <si>
    <t>általános tartalék</t>
  </si>
  <si>
    <t>20.</t>
  </si>
  <si>
    <t>céltartalék</t>
  </si>
  <si>
    <t>Kiadások összesen</t>
  </si>
  <si>
    <t>bevételek és kiadások egyenlege</t>
  </si>
  <si>
    <t>Szociális étkeztetés (889921)</t>
  </si>
  <si>
    <t>Gyermekvédelmi pénzbeni és természetbeni ellátások</t>
  </si>
  <si>
    <t>lakhatáshoz kapcsolódó rendszeres kiadások viseléséhez nyújtható települési támogatás</t>
  </si>
  <si>
    <t>rendkívüli települési támogatás</t>
  </si>
  <si>
    <t>újszülöttek támogatása</t>
  </si>
  <si>
    <t>Rendszeres gyermekvédelmi kedvezményben részesülők részére Erzsébet utalvány</t>
  </si>
  <si>
    <t>Rendszeres gyermekvédelmi kedvezményben részesülők Erzsébet utalványa támogatása</t>
  </si>
  <si>
    <t>066020 Városi és községgazdálkodási egyéb szolgáltatások</t>
  </si>
  <si>
    <t>költségvetése</t>
  </si>
  <si>
    <t xml:space="preserve">2016. évi </t>
  </si>
  <si>
    <t>2016. évre</t>
  </si>
  <si>
    <t>2016. év</t>
  </si>
  <si>
    <t>Munkahelyi étk.köznev.int. (562920) (Vendég)</t>
  </si>
  <si>
    <t>Áht-n belüli megelőlegezések visszafizetése</t>
  </si>
  <si>
    <t>082092</t>
  </si>
  <si>
    <t>Közművelődés - Hagyományos közösségi, kulturális értékek gondozása</t>
  </si>
  <si>
    <t>082093</t>
  </si>
  <si>
    <t>Közművelődés - Amatőr művészetek</t>
  </si>
  <si>
    <t>Munkahelyi étk.közn. Int.  (562920) ( Vendég)</t>
  </si>
  <si>
    <t>052020</t>
  </si>
  <si>
    <t>Szennyvíz gyűjtése, tisztítása, elhelyezése</t>
  </si>
  <si>
    <t>Közművelődés -Hagyományos közösségi, kulturális értékek gondozása</t>
  </si>
  <si>
    <t>Közművelődés - amatőr művészetek</t>
  </si>
  <si>
    <t>Munkahelyi étkeztetés köznevelési int.(562920) (vendég)</t>
  </si>
  <si>
    <t xml:space="preserve"> egyéb működési és felhalmozási kiadásai</t>
  </si>
  <si>
    <t>2016.évre</t>
  </si>
  <si>
    <t>időskoruak támogatása</t>
  </si>
  <si>
    <t xml:space="preserve">Eszközbeszerzés </t>
  </si>
  <si>
    <t>Egyéb gép, berendezés, felszerelés beszerzése</t>
  </si>
  <si>
    <t>096015 Gyermekétkeztetés köznevelési intézményben</t>
  </si>
  <si>
    <t>Konyhai eszközök pótlására</t>
  </si>
  <si>
    <t>096025 Munkahelyi étkeztetés köznevelési intézményekben</t>
  </si>
  <si>
    <t>096025Munkahelyi étkeztetés köznevelési int.(562920) (vendég)</t>
  </si>
  <si>
    <t>107051 Szociális étkeztetés (889921)</t>
  </si>
  <si>
    <t>082044Könyvtári szolgáltatások</t>
  </si>
  <si>
    <t>Könyvtári infrastruktúra fejlesztés támogatása, eszközbeszerzés</t>
  </si>
  <si>
    <t>Áht-n belüli megelőlegezések viszafizetése</t>
  </si>
  <si>
    <t>2016.év</t>
  </si>
  <si>
    <t xml:space="preserve">          Áht-n belüli megelőlegezések visszafizetése</t>
  </si>
  <si>
    <t>-Áht-n belüli megelőlegezések visszafizetése</t>
  </si>
  <si>
    <t>FELÚJÍTÁSI KIADÁSOK</t>
  </si>
  <si>
    <t xml:space="preserve">Összesen: </t>
  </si>
  <si>
    <t>FELÚJÍTÁSOK ÖSSZESEN:</t>
  </si>
  <si>
    <t xml:space="preserve">072111 Háziorvosi szolgálat </t>
  </si>
  <si>
    <t>Egyéb épület felújítása</t>
  </si>
  <si>
    <t xml:space="preserve">2015.évi Önkományzatok feladatfejlesztési támogatásából áthúzódó összeg  az önkormányzati önrésszel </t>
  </si>
  <si>
    <t>-orvosi rendelő felújítására</t>
  </si>
  <si>
    <t>Felújítási célú előzetesen felszámított le nem vonható általános forgalmi adóra</t>
  </si>
  <si>
    <t xml:space="preserve"> 013350 Önkormányzati vagyonnal való gazdálkodás</t>
  </si>
  <si>
    <t>Közművesített telek vásárlása</t>
  </si>
  <si>
    <t xml:space="preserve"> 011130 Önkormányzatok és önk. hivatalok jogalkotó és ált. igaztatási tev.</t>
  </si>
  <si>
    <t>1.111</t>
  </si>
  <si>
    <t>( Ft-ban)</t>
  </si>
  <si>
    <t>2.1</t>
  </si>
  <si>
    <t>2.2</t>
  </si>
  <si>
    <t>4.1</t>
  </si>
  <si>
    <t>041233</t>
  </si>
  <si>
    <t>Hosszabb időtartamú közfoglalkoztatás</t>
  </si>
  <si>
    <t>2016.évi bérkompenzáció támogatása</t>
  </si>
  <si>
    <t xml:space="preserve"> előirányzat   (  Ft)</t>
  </si>
  <si>
    <t xml:space="preserve"> -TARTALÉKBA</t>
  </si>
  <si>
    <t>ELŐZŐ ÉVEK KÖLTSÉGVETÉSI MARADVÁNY IGÉNYBEVÉTELE:                                                                              - 2015. ÉVRŐL ÁTHÚZÓDÓ FELADATOKRA</t>
  </si>
  <si>
    <t>018030</t>
  </si>
  <si>
    <t>Támogatási célú finanszírozási műveletek</t>
  </si>
  <si>
    <t>1. számú módosítása</t>
  </si>
  <si>
    <t>"1. melléklet  a  3/2016. (II.16.) önkormányzati rendelethez"</t>
  </si>
  <si>
    <t>"2. melléklet  a  3/2016. (II.16.) önkormányzati rendelethez"</t>
  </si>
  <si>
    <t>"3. melléklet  a  3/2016. (II.16.) önkormányzati rendelethez"</t>
  </si>
  <si>
    <t>"4. melléklet  a 3/2016. (II.16.) önkormányzati rendelethez"</t>
  </si>
  <si>
    <t>"5. melléklet  a 3/2016. (II.16.) önkormányzati rendelethez"</t>
  </si>
  <si>
    <t>"6. melléklet  a 3/2016. (II.16.) önkormányzati rendelethez"</t>
  </si>
  <si>
    <t>"7. melléklet  a  3/2016. (II.16.) önkormányzati rendelethez"</t>
  </si>
  <si>
    <t>"8. melléklet a 3/2016. (II.16.) önkormányzati rendelethez"</t>
  </si>
  <si>
    <t>"9 sz. melléklet a 3/2016. (II.16.) sz. önkormányzati rendelethez"</t>
  </si>
  <si>
    <t>"10. melléklet a 3/2016. (II.16.) önkormányzati rendelethez"</t>
  </si>
  <si>
    <t>"11. melléklet a 3/2016. (II.16.)önkormányzati rendelethez"</t>
  </si>
  <si>
    <t xml:space="preserve"> Ft</t>
  </si>
  <si>
    <t>(  Ft-ban)</t>
  </si>
  <si>
    <t>(  Ft-ban )</t>
  </si>
  <si>
    <t>1. melléklet  a  9/2016. (V.19.) önkormányzati rendelethez</t>
  </si>
  <si>
    <t>2. melléklet  a  9/2016. (V.19.) önkormányzati rendelethez</t>
  </si>
  <si>
    <t>3. melléklet  a  9/2016. (V.19.) önkormányzati rendelethez</t>
  </si>
  <si>
    <t>4. melléklet  a 9/2016. (V.19.) önkormányzati rendelethez</t>
  </si>
  <si>
    <t>5. melléklet  a 9/2016. (V.19.) önkormányzati rendelethez</t>
  </si>
  <si>
    <t>6. melléklet  a 9/2016. (V.19.) önkormányzati rendelethez</t>
  </si>
  <si>
    <t>7. melléklet  a  9/2016. (V.19.) önkormányzati rendelethez</t>
  </si>
  <si>
    <t>8. melléklet a 9/2016. (V.19.) önkormányzati rendelethez</t>
  </si>
  <si>
    <t>9 sz. melléklet a 9/2016. (V.19.) sz. önkormányzati rendelethez</t>
  </si>
  <si>
    <t>10. melléklet a 9/2016. (V.19.) önkormányzati rendelethez</t>
  </si>
  <si>
    <t>11. melléklet a 9/2016. (V.19.) önkormányzati rendelethez</t>
  </si>
</sst>
</file>

<file path=xl/styles.xml><?xml version="1.0" encoding="utf-8"?>
<styleSheet xmlns="http://schemas.openxmlformats.org/spreadsheetml/2006/main">
  <numFmts count="2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0.000"/>
    <numFmt numFmtId="166" formatCode="0.0000"/>
    <numFmt numFmtId="167" formatCode="0.00000"/>
    <numFmt numFmtId="168" formatCode="_-* #,##0\ _F_t_-;\-* #,##0\ _F_t_-;_-* &quot;-&quot;??\ _F_t_-;_-@_-"/>
    <numFmt numFmtId="169" formatCode="_-* #,##0.0\ _F_t_-;\-* #,##0.0\ _F_t_-;_-* &quot;-&quot;??\ _F_t_-;_-@_-"/>
    <numFmt numFmtId="170" formatCode="#,##0_ ;\-#,##0\ "/>
    <numFmt numFmtId="171" formatCode="0.00000000"/>
    <numFmt numFmtId="172" formatCode="0.0000000"/>
    <numFmt numFmtId="173" formatCode="0.000000"/>
    <numFmt numFmtId="174" formatCode="&quot;Igen&quot;;&quot;Igen&quot;;&quot;Nem&quot;"/>
    <numFmt numFmtId="175" formatCode="&quot;Igaz&quot;;&quot;Igaz&quot;;&quot;Hamis&quot;"/>
    <numFmt numFmtId="176" formatCode="&quot;Be&quot;;&quot;Be&quot;;&quot;Ki&quot;"/>
    <numFmt numFmtId="177" formatCode="_-* #,##0.0\ _F_t_-;\-* #,##0.0\ _F_t_-;_-* &quot;-&quot;?\ _F_t_-;_-@_-"/>
    <numFmt numFmtId="178" formatCode="#,##0;[Red]#,##0"/>
  </numFmts>
  <fonts count="69">
    <font>
      <sz val="10"/>
      <name val="Arial CE"/>
      <family val="0"/>
    </font>
    <font>
      <sz val="10"/>
      <name val="MS Sans Serif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22"/>
      <name val="Times New Roman"/>
      <family val="1"/>
    </font>
    <font>
      <b/>
      <sz val="2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i/>
      <sz val="12"/>
      <name val="Times New Roman"/>
      <family val="1"/>
    </font>
    <font>
      <sz val="8"/>
      <name val="Arial CE"/>
      <family val="0"/>
    </font>
    <font>
      <u val="single"/>
      <sz val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b/>
      <u val="single"/>
      <sz val="14"/>
      <name val="Times New Roman"/>
      <family val="1"/>
    </font>
    <font>
      <sz val="12"/>
      <color indexed="8"/>
      <name val="Times"/>
      <family val="0"/>
    </font>
    <font>
      <sz val="9"/>
      <name val="Times New Roman"/>
      <family val="1"/>
    </font>
    <font>
      <i/>
      <sz val="10"/>
      <name val="Times New Roman"/>
      <family val="1"/>
    </font>
    <font>
      <sz val="14"/>
      <name val="Times New Roman"/>
      <family val="1"/>
    </font>
    <font>
      <u val="singleAccounting"/>
      <sz val="12"/>
      <name val="Times New Roman"/>
      <family val="1"/>
    </font>
    <font>
      <sz val="12"/>
      <name val="Arial CE"/>
      <family val="0"/>
    </font>
    <font>
      <b/>
      <sz val="12"/>
      <name val="Arial CE"/>
      <family val="0"/>
    </font>
    <font>
      <b/>
      <sz val="10"/>
      <name val="Arial CE"/>
      <family val="0"/>
    </font>
    <font>
      <b/>
      <sz val="14"/>
      <name val="Arial CE"/>
      <family val="0"/>
    </font>
    <font>
      <sz val="11"/>
      <name val="Arial CE"/>
      <family val="0"/>
    </font>
    <font>
      <b/>
      <sz val="16"/>
      <name val="Times New Roman"/>
      <family val="1"/>
    </font>
    <font>
      <sz val="16"/>
      <name val="Arial CE"/>
      <family val="0"/>
    </font>
    <font>
      <b/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double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0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4" fillId="19" borderId="1" applyNumberFormat="0" applyAlignment="0" applyProtection="0"/>
    <xf numFmtId="0" fontId="55" fillId="0" borderId="0" applyNumberFormat="0" applyFill="0" applyBorder="0" applyAlignment="0" applyProtection="0"/>
    <xf numFmtId="0" fontId="56" fillId="0" borderId="2" applyNumberFormat="0" applyFill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8" fillId="0" borderId="0" applyNumberFormat="0" applyFill="0" applyBorder="0" applyAlignment="0" applyProtection="0"/>
    <xf numFmtId="0" fontId="59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0" fillId="21" borderId="7" applyNumberFormat="0" applyFont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62" fillId="28" borderId="0" applyNumberFormat="0" applyBorder="0" applyAlignment="0" applyProtection="0"/>
    <xf numFmtId="0" fontId="63" fillId="29" borderId="8" applyNumberFormat="0" applyAlignment="0" applyProtection="0"/>
    <xf numFmtId="0" fontId="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30" borderId="0" applyNumberFormat="0" applyBorder="0" applyAlignment="0" applyProtection="0"/>
    <xf numFmtId="0" fontId="67" fillId="31" borderId="0" applyNumberFormat="0" applyBorder="0" applyAlignment="0" applyProtection="0"/>
    <xf numFmtId="0" fontId="68" fillId="29" borderId="1" applyNumberFormat="0" applyAlignment="0" applyProtection="0"/>
    <xf numFmtId="9" fontId="0" fillId="0" borderId="0" applyFont="0" applyFill="0" applyBorder="0" applyAlignment="0" applyProtection="0"/>
  </cellStyleXfs>
  <cellXfs count="493">
    <xf numFmtId="0" fontId="0" fillId="0" borderId="0" xfId="0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4" fillId="0" borderId="0" xfId="56" applyFont="1">
      <alignment/>
      <protection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2" fillId="0" borderId="0" xfId="56" applyFont="1">
      <alignment/>
      <protection/>
    </xf>
    <xf numFmtId="0" fontId="6" fillId="0" borderId="0" xfId="56" applyFont="1">
      <alignment/>
      <protection/>
    </xf>
    <xf numFmtId="164" fontId="12" fillId="0" borderId="0" xfId="56" applyNumberFormat="1" applyFont="1">
      <alignment/>
      <protection/>
    </xf>
    <xf numFmtId="0" fontId="4" fillId="0" borderId="0" xfId="59" applyFont="1">
      <alignment/>
      <protection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10" fillId="0" borderId="0" xfId="0" applyFont="1" applyAlignment="1">
      <alignment/>
    </xf>
    <xf numFmtId="0" fontId="12" fillId="0" borderId="0" xfId="58" applyFont="1">
      <alignment/>
      <protection/>
    </xf>
    <xf numFmtId="0" fontId="12" fillId="0" borderId="0" xfId="59" applyFont="1">
      <alignment/>
      <protection/>
    </xf>
    <xf numFmtId="3" fontId="10" fillId="0" borderId="0" xfId="0" applyNumberFormat="1" applyFont="1" applyAlignment="1">
      <alignment/>
    </xf>
    <xf numFmtId="0" fontId="12" fillId="0" borderId="0" xfId="58" applyFont="1" applyBorder="1">
      <alignment/>
      <protection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12" fillId="0" borderId="0" xfId="0" applyFont="1" applyAlignment="1">
      <alignment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168" fontId="12" fillId="0" borderId="0" xfId="40" applyNumberFormat="1" applyFont="1" applyAlignment="1">
      <alignment/>
    </xf>
    <xf numFmtId="168" fontId="6" fillId="0" borderId="0" xfId="40" applyNumberFormat="1" applyFont="1" applyAlignment="1">
      <alignment/>
    </xf>
    <xf numFmtId="0" fontId="11" fillId="0" borderId="0" xfId="58" applyFont="1">
      <alignment/>
      <protection/>
    </xf>
    <xf numFmtId="0" fontId="11" fillId="0" borderId="0" xfId="58" applyFont="1" applyAlignment="1">
      <alignment horizontal="center"/>
      <protection/>
    </xf>
    <xf numFmtId="0" fontId="10" fillId="0" borderId="10" xfId="58" applyFont="1" applyBorder="1" applyAlignment="1">
      <alignment horizontal="center"/>
      <protection/>
    </xf>
    <xf numFmtId="0" fontId="10" fillId="0" borderId="11" xfId="58" applyFont="1" applyBorder="1" applyAlignment="1">
      <alignment horizontal="center"/>
      <protection/>
    </xf>
    <xf numFmtId="0" fontId="10" fillId="0" borderId="12" xfId="58" applyFont="1" applyBorder="1" applyAlignment="1">
      <alignment horizontal="center"/>
      <protection/>
    </xf>
    <xf numFmtId="0" fontId="11" fillId="0" borderId="13" xfId="58" applyFont="1" applyBorder="1">
      <alignment/>
      <protection/>
    </xf>
    <xf numFmtId="0" fontId="10" fillId="0" borderId="14" xfId="58" applyFont="1" applyBorder="1" applyAlignment="1">
      <alignment horizontal="center"/>
      <protection/>
    </xf>
    <xf numFmtId="0" fontId="10" fillId="0" borderId="15" xfId="58" applyFont="1" applyBorder="1" applyAlignment="1">
      <alignment horizontal="center"/>
      <protection/>
    </xf>
    <xf numFmtId="0" fontId="10" fillId="0" borderId="0" xfId="58" applyFont="1">
      <alignment/>
      <protection/>
    </xf>
    <xf numFmtId="0" fontId="13" fillId="0" borderId="0" xfId="58" applyFont="1">
      <alignment/>
      <protection/>
    </xf>
    <xf numFmtId="0" fontId="14" fillId="0" borderId="0" xfId="58" applyFont="1">
      <alignment/>
      <protection/>
    </xf>
    <xf numFmtId="168" fontId="12" fillId="0" borderId="0" xfId="40" applyNumberFormat="1" applyFont="1" applyAlignment="1">
      <alignment horizontal="center"/>
    </xf>
    <xf numFmtId="168" fontId="12" fillId="0" borderId="0" xfId="40" applyNumberFormat="1" applyFont="1" applyAlignment="1">
      <alignment/>
    </xf>
    <xf numFmtId="168" fontId="6" fillId="0" borderId="0" xfId="40" applyNumberFormat="1" applyFont="1" applyAlignment="1">
      <alignment/>
    </xf>
    <xf numFmtId="168" fontId="6" fillId="0" borderId="11" xfId="40" applyNumberFormat="1" applyFont="1" applyBorder="1" applyAlignment="1">
      <alignment horizontal="center" wrapText="1"/>
    </xf>
    <xf numFmtId="168" fontId="6" fillId="0" borderId="13" xfId="40" applyNumberFormat="1" applyFont="1" applyBorder="1" applyAlignment="1">
      <alignment horizontal="center" wrapText="1"/>
    </xf>
    <xf numFmtId="168" fontId="6" fillId="0" borderId="15" xfId="40" applyNumberFormat="1" applyFont="1" applyBorder="1" applyAlignment="1">
      <alignment horizontal="center" wrapText="1"/>
    </xf>
    <xf numFmtId="168" fontId="11" fillId="0" borderId="0" xfId="40" applyNumberFormat="1" applyFont="1" applyAlignment="1">
      <alignment/>
    </xf>
    <xf numFmtId="168" fontId="10" fillId="0" borderId="0" xfId="40" applyNumberFormat="1" applyFont="1" applyAlignment="1">
      <alignment/>
    </xf>
    <xf numFmtId="0" fontId="10" fillId="0" borderId="0" xfId="0" applyFont="1" applyAlignment="1">
      <alignment/>
    </xf>
    <xf numFmtId="0" fontId="6" fillId="0" borderId="0" xfId="0" applyFont="1" applyAlignment="1">
      <alignment/>
    </xf>
    <xf numFmtId="0" fontId="12" fillId="0" borderId="0" xfId="0" applyFont="1" applyAlignment="1">
      <alignment/>
    </xf>
    <xf numFmtId="0" fontId="15" fillId="0" borderId="0" xfId="56" applyFont="1">
      <alignment/>
      <protection/>
    </xf>
    <xf numFmtId="0" fontId="9" fillId="0" borderId="0" xfId="0" applyFont="1" applyAlignment="1">
      <alignment horizontal="center"/>
    </xf>
    <xf numFmtId="168" fontId="14" fillId="0" borderId="0" xfId="40" applyNumberFormat="1" applyFont="1" applyAlignment="1">
      <alignment/>
    </xf>
    <xf numFmtId="168" fontId="13" fillId="0" borderId="0" xfId="40" applyNumberFormat="1" applyFont="1" applyAlignment="1">
      <alignment/>
    </xf>
    <xf numFmtId="168" fontId="11" fillId="0" borderId="0" xfId="40" applyNumberFormat="1" applyFont="1" applyAlignment="1">
      <alignment/>
    </xf>
    <xf numFmtId="168" fontId="4" fillId="0" borderId="0" xfId="40" applyNumberFormat="1" applyFont="1" applyAlignment="1">
      <alignment/>
    </xf>
    <xf numFmtId="168" fontId="4" fillId="0" borderId="0" xfId="40" applyNumberFormat="1" applyFont="1" applyAlignment="1">
      <alignment horizontal="right"/>
    </xf>
    <xf numFmtId="168" fontId="5" fillId="0" borderId="0" xfId="40" applyNumberFormat="1" applyFont="1" applyAlignment="1">
      <alignment/>
    </xf>
    <xf numFmtId="0" fontId="9" fillId="0" borderId="0" xfId="0" applyFont="1" applyAlignment="1">
      <alignment/>
    </xf>
    <xf numFmtId="0" fontId="17" fillId="0" borderId="0" xfId="0" applyFont="1" applyAlignment="1">
      <alignment/>
    </xf>
    <xf numFmtId="14" fontId="6" fillId="0" borderId="0" xfId="0" applyNumberFormat="1" applyFont="1" applyAlignment="1">
      <alignment/>
    </xf>
    <xf numFmtId="168" fontId="12" fillId="0" borderId="0" xfId="58" applyNumberFormat="1" applyFont="1" applyBorder="1">
      <alignment/>
      <protection/>
    </xf>
    <xf numFmtId="0" fontId="12" fillId="0" borderId="0" xfId="56" applyFont="1" applyAlignment="1">
      <alignment horizontal="center"/>
      <protection/>
    </xf>
    <xf numFmtId="0" fontId="12" fillId="0" borderId="0" xfId="56" applyFont="1" applyAlignment="1">
      <alignment/>
      <protection/>
    </xf>
    <xf numFmtId="0" fontId="12" fillId="0" borderId="0" xfId="56" applyFont="1" applyAlignment="1">
      <alignment horizontal="left"/>
      <protection/>
    </xf>
    <xf numFmtId="0" fontId="12" fillId="0" borderId="16" xfId="56" applyFont="1" applyBorder="1" applyAlignment="1">
      <alignment horizontal="left"/>
      <protection/>
    </xf>
    <xf numFmtId="0" fontId="12" fillId="0" borderId="16" xfId="56" applyFont="1" applyBorder="1" applyAlignment="1">
      <alignment horizontal="center"/>
      <protection/>
    </xf>
    <xf numFmtId="0" fontId="12" fillId="0" borderId="11" xfId="56" applyFont="1" applyBorder="1" applyAlignment="1">
      <alignment horizontal="center"/>
      <protection/>
    </xf>
    <xf numFmtId="0" fontId="12" fillId="0" borderId="13" xfId="56" applyFont="1" applyBorder="1" applyAlignment="1">
      <alignment horizontal="center"/>
      <protection/>
    </xf>
    <xf numFmtId="0" fontId="12" fillId="0" borderId="13" xfId="56" applyFont="1" applyBorder="1">
      <alignment/>
      <protection/>
    </xf>
    <xf numFmtId="0" fontId="12" fillId="0" borderId="15" xfId="56" applyFont="1" applyBorder="1" applyAlignment="1">
      <alignment horizontal="center"/>
      <protection/>
    </xf>
    <xf numFmtId="0" fontId="18" fillId="0" borderId="0" xfId="56" applyFont="1">
      <alignment/>
      <protection/>
    </xf>
    <xf numFmtId="0" fontId="10" fillId="0" borderId="0" xfId="56" applyFont="1" applyAlignment="1">
      <alignment/>
      <protection/>
    </xf>
    <xf numFmtId="0" fontId="4" fillId="0" borderId="0" xfId="56" applyFont="1">
      <alignment/>
      <protection/>
    </xf>
    <xf numFmtId="168" fontId="11" fillId="0" borderId="0" xfId="0" applyNumberFormat="1" applyFont="1" applyAlignment="1">
      <alignment/>
    </xf>
    <xf numFmtId="168" fontId="4" fillId="0" borderId="0" xfId="0" applyNumberFormat="1" applyFont="1" applyAlignment="1">
      <alignment/>
    </xf>
    <xf numFmtId="43" fontId="5" fillId="0" borderId="0" xfId="0" applyNumberFormat="1" applyFont="1" applyAlignment="1">
      <alignment/>
    </xf>
    <xf numFmtId="43" fontId="11" fillId="0" borderId="0" xfId="0" applyNumberFormat="1" applyFont="1" applyAlignment="1">
      <alignment/>
    </xf>
    <xf numFmtId="43" fontId="4" fillId="0" borderId="0" xfId="0" applyNumberFormat="1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wrapText="1"/>
    </xf>
    <xf numFmtId="168" fontId="6" fillId="0" borderId="0" xfId="40" applyNumberFormat="1" applyFont="1" applyAlignment="1">
      <alignment wrapText="1"/>
    </xf>
    <xf numFmtId="164" fontId="12" fillId="0" borderId="0" xfId="0" applyNumberFormat="1" applyFont="1" applyAlignment="1">
      <alignment/>
    </xf>
    <xf numFmtId="0" fontId="12" fillId="0" borderId="0" xfId="0" applyFont="1" applyAlignment="1">
      <alignment wrapText="1"/>
    </xf>
    <xf numFmtId="168" fontId="12" fillId="0" borderId="0" xfId="40" applyNumberFormat="1" applyFont="1" applyAlignment="1">
      <alignment wrapText="1"/>
    </xf>
    <xf numFmtId="168" fontId="12" fillId="0" borderId="0" xfId="56" applyNumberFormat="1" applyFont="1">
      <alignment/>
      <protection/>
    </xf>
    <xf numFmtId="0" fontId="15" fillId="0" borderId="0" xfId="0" applyFont="1" applyAlignment="1">
      <alignment/>
    </xf>
    <xf numFmtId="0" fontId="15" fillId="0" borderId="0" xfId="0" applyFont="1" applyAlignment="1">
      <alignment wrapText="1"/>
    </xf>
    <xf numFmtId="168" fontId="15" fillId="0" borderId="0" xfId="40" applyNumberFormat="1" applyFont="1" applyAlignment="1">
      <alignment/>
    </xf>
    <xf numFmtId="168" fontId="12" fillId="0" borderId="11" xfId="40" applyNumberFormat="1" applyFont="1" applyBorder="1" applyAlignment="1">
      <alignment horizontal="center"/>
    </xf>
    <xf numFmtId="0" fontId="11" fillId="0" borderId="11" xfId="56" applyFont="1" applyBorder="1" applyAlignment="1">
      <alignment horizontal="center"/>
      <protection/>
    </xf>
    <xf numFmtId="0" fontId="12" fillId="0" borderId="0" xfId="56" applyFont="1" applyBorder="1" applyAlignment="1">
      <alignment horizontal="center" vertical="center"/>
      <protection/>
    </xf>
    <xf numFmtId="168" fontId="12" fillId="0" borderId="13" xfId="40" applyNumberFormat="1" applyFont="1" applyBorder="1" applyAlignment="1">
      <alignment horizontal="center"/>
    </xf>
    <xf numFmtId="168" fontId="12" fillId="0" borderId="15" xfId="40" applyNumberFormat="1" applyFont="1" applyBorder="1" applyAlignment="1">
      <alignment horizontal="center"/>
    </xf>
    <xf numFmtId="0" fontId="12" fillId="0" borderId="0" xfId="0" applyFont="1" applyAlignment="1">
      <alignment horizontal="left" wrapText="1"/>
    </xf>
    <xf numFmtId="0" fontId="6" fillId="0" borderId="0" xfId="56" applyFont="1" applyBorder="1" applyAlignment="1">
      <alignment horizontal="center" vertical="center"/>
      <protection/>
    </xf>
    <xf numFmtId="168" fontId="12" fillId="0" borderId="0" xfId="40" applyNumberFormat="1" applyFont="1" applyBorder="1" applyAlignment="1">
      <alignment horizontal="center"/>
    </xf>
    <xf numFmtId="0" fontId="12" fillId="0" borderId="0" xfId="56" applyFont="1" applyBorder="1" applyAlignment="1">
      <alignment horizontal="left" vertical="center"/>
      <protection/>
    </xf>
    <xf numFmtId="168" fontId="6" fillId="0" borderId="0" xfId="40" applyNumberFormat="1" applyFont="1" applyBorder="1" applyAlignment="1">
      <alignment horizontal="center"/>
    </xf>
    <xf numFmtId="164" fontId="6" fillId="0" borderId="0" xfId="0" applyNumberFormat="1" applyFont="1" applyAlignment="1">
      <alignment/>
    </xf>
    <xf numFmtId="168" fontId="6" fillId="0" borderId="0" xfId="0" applyNumberFormat="1" applyFont="1" applyAlignment="1">
      <alignment wrapText="1"/>
    </xf>
    <xf numFmtId="168" fontId="12" fillId="0" borderId="0" xfId="0" applyNumberFormat="1" applyFont="1" applyAlignment="1">
      <alignment wrapText="1"/>
    </xf>
    <xf numFmtId="168" fontId="12" fillId="0" borderId="0" xfId="40" applyNumberFormat="1" applyFont="1" applyBorder="1" applyAlignment="1">
      <alignment horizontal="center"/>
    </xf>
    <xf numFmtId="168" fontId="12" fillId="0" borderId="0" xfId="40" applyNumberFormat="1" applyFont="1" applyAlignment="1">
      <alignment horizontal="left" wrapText="1"/>
    </xf>
    <xf numFmtId="168" fontId="6" fillId="0" borderId="0" xfId="0" applyNumberFormat="1" applyFont="1" applyAlignment="1">
      <alignment/>
    </xf>
    <xf numFmtId="0" fontId="13" fillId="0" borderId="0" xfId="0" applyFont="1" applyAlignment="1">
      <alignment/>
    </xf>
    <xf numFmtId="168" fontId="13" fillId="0" borderId="0" xfId="0" applyNumberFormat="1" applyFont="1" applyAlignment="1">
      <alignment/>
    </xf>
    <xf numFmtId="0" fontId="20" fillId="0" borderId="0" xfId="0" applyFont="1" applyAlignment="1">
      <alignment/>
    </xf>
    <xf numFmtId="168" fontId="6" fillId="0" borderId="0" xfId="0" applyNumberFormat="1" applyFont="1" applyAlignment="1">
      <alignment/>
    </xf>
    <xf numFmtId="164" fontId="15" fillId="0" borderId="0" xfId="0" applyNumberFormat="1" applyFont="1" applyAlignment="1">
      <alignment/>
    </xf>
    <xf numFmtId="0" fontId="21" fillId="0" borderId="0" xfId="0" applyFont="1" applyAlignment="1">
      <alignment/>
    </xf>
    <xf numFmtId="0" fontId="7" fillId="0" borderId="0" xfId="0" applyFont="1" applyAlignment="1">
      <alignment/>
    </xf>
    <xf numFmtId="168" fontId="7" fillId="0" borderId="0" xfId="40" applyNumberFormat="1" applyFont="1" applyAlignment="1">
      <alignment/>
    </xf>
    <xf numFmtId="0" fontId="12" fillId="0" borderId="0" xfId="0" applyFont="1" applyAlignment="1">
      <alignment wrapText="1"/>
    </xf>
    <xf numFmtId="168" fontId="5" fillId="0" borderId="0" xfId="40" applyNumberFormat="1" applyFont="1" applyAlignment="1">
      <alignment/>
    </xf>
    <xf numFmtId="168" fontId="7" fillId="0" borderId="0" xfId="0" applyNumberFormat="1" applyFont="1" applyAlignment="1">
      <alignment/>
    </xf>
    <xf numFmtId="0" fontId="12" fillId="0" borderId="0" xfId="58" applyFont="1">
      <alignment/>
      <protection/>
    </xf>
    <xf numFmtId="168" fontId="7" fillId="0" borderId="0" xfId="40" applyNumberFormat="1" applyFont="1" applyAlignment="1">
      <alignment horizontal="right"/>
    </xf>
    <xf numFmtId="0" fontId="6" fillId="0" borderId="0" xfId="0" applyFont="1" applyAlignment="1">
      <alignment horizontal="left" wrapText="1"/>
    </xf>
    <xf numFmtId="0" fontId="10" fillId="0" borderId="0" xfId="59" applyFont="1" applyAlignment="1">
      <alignment horizontal="center"/>
      <protection/>
    </xf>
    <xf numFmtId="0" fontId="11" fillId="0" borderId="0" xfId="59" applyFont="1">
      <alignment/>
      <protection/>
    </xf>
    <xf numFmtId="0" fontId="11" fillId="0" borderId="0" xfId="56" applyFont="1">
      <alignment/>
      <protection/>
    </xf>
    <xf numFmtId="0" fontId="11" fillId="0" borderId="17" xfId="58" applyFont="1" applyBorder="1" applyAlignment="1" quotePrefix="1">
      <alignment horizontal="center" vertical="center" wrapText="1"/>
      <protection/>
    </xf>
    <xf numFmtId="0" fontId="11" fillId="0" borderId="18" xfId="58" applyFont="1" applyBorder="1" applyAlignment="1">
      <alignment horizontal="left" wrapText="1"/>
      <protection/>
    </xf>
    <xf numFmtId="0" fontId="11" fillId="0" borderId="19" xfId="59" applyFont="1" applyBorder="1">
      <alignment/>
      <protection/>
    </xf>
    <xf numFmtId="0" fontId="11" fillId="0" borderId="20" xfId="59" applyFont="1" applyBorder="1">
      <alignment/>
      <protection/>
    </xf>
    <xf numFmtId="0" fontId="11" fillId="0" borderId="21" xfId="58" applyFont="1" applyBorder="1" applyAlignment="1" quotePrefix="1">
      <alignment horizontal="center" vertical="center" wrapText="1"/>
      <protection/>
    </xf>
    <xf numFmtId="0" fontId="11" fillId="0" borderId="22" xfId="59" applyFont="1" applyBorder="1">
      <alignment/>
      <protection/>
    </xf>
    <xf numFmtId="0" fontId="11" fillId="0" borderId="23" xfId="59" applyFont="1" applyBorder="1">
      <alignment/>
      <protection/>
    </xf>
    <xf numFmtId="0" fontId="11" fillId="0" borderId="24" xfId="59" applyFont="1" applyBorder="1">
      <alignment/>
      <protection/>
    </xf>
    <xf numFmtId="0" fontId="11" fillId="0" borderId="18" xfId="59" applyFont="1" applyBorder="1">
      <alignment/>
      <protection/>
    </xf>
    <xf numFmtId="0" fontId="11" fillId="0" borderId="0" xfId="0" applyFont="1" applyAlignment="1">
      <alignment horizontal="right"/>
    </xf>
    <xf numFmtId="0" fontId="12" fillId="0" borderId="0" xfId="58" applyFont="1" applyAlignment="1">
      <alignment horizontal="center"/>
      <protection/>
    </xf>
    <xf numFmtId="0" fontId="12" fillId="0" borderId="0" xfId="59" applyFont="1" applyAlignment="1">
      <alignment horizontal="center"/>
      <protection/>
    </xf>
    <xf numFmtId="0" fontId="11" fillId="0" borderId="24" xfId="58" applyFont="1" applyBorder="1" applyAlignment="1">
      <alignment horizontal="right"/>
      <protection/>
    </xf>
    <xf numFmtId="0" fontId="11" fillId="0" borderId="19" xfId="58" applyFont="1" applyBorder="1" applyAlignment="1">
      <alignment horizontal="right"/>
      <protection/>
    </xf>
    <xf numFmtId="0" fontId="11" fillId="0" borderId="19" xfId="58" applyFont="1" applyBorder="1">
      <alignment/>
      <protection/>
    </xf>
    <xf numFmtId="0" fontId="12" fillId="0" borderId="0" xfId="56" applyFont="1">
      <alignment/>
      <protection/>
    </xf>
    <xf numFmtId="0" fontId="15" fillId="0" borderId="0" xfId="56" applyFont="1">
      <alignment/>
      <protection/>
    </xf>
    <xf numFmtId="0" fontId="15" fillId="0" borderId="0" xfId="0" applyFont="1" applyAlignment="1">
      <alignment/>
    </xf>
    <xf numFmtId="0" fontId="6" fillId="0" borderId="11" xfId="56" applyFont="1" applyBorder="1" applyAlignment="1">
      <alignment horizontal="center"/>
      <protection/>
    </xf>
    <xf numFmtId="0" fontId="6" fillId="0" borderId="13" xfId="56" applyFont="1" applyBorder="1">
      <alignment/>
      <protection/>
    </xf>
    <xf numFmtId="0" fontId="6" fillId="0" borderId="13" xfId="56" applyFont="1" applyBorder="1" applyAlignment="1">
      <alignment horizontal="center"/>
      <protection/>
    </xf>
    <xf numFmtId="0" fontId="6" fillId="0" borderId="15" xfId="56" applyFont="1" applyBorder="1">
      <alignment/>
      <protection/>
    </xf>
    <xf numFmtId="168" fontId="15" fillId="0" borderId="0" xfId="40" applyNumberFormat="1" applyFont="1" applyAlignment="1">
      <alignment/>
    </xf>
    <xf numFmtId="168" fontId="12" fillId="0" borderId="0" xfId="40" applyNumberFormat="1" applyFont="1" applyAlignment="1">
      <alignment/>
    </xf>
    <xf numFmtId="0" fontId="12" fillId="0" borderId="0" xfId="56" applyFont="1" applyAlignment="1">
      <alignment horizontal="right"/>
      <protection/>
    </xf>
    <xf numFmtId="0" fontId="6" fillId="0" borderId="11" xfId="56" applyFont="1" applyBorder="1" applyAlignment="1">
      <alignment/>
      <protection/>
    </xf>
    <xf numFmtId="168" fontId="6" fillId="0" borderId="11" xfId="40" applyNumberFormat="1" applyFont="1" applyBorder="1" applyAlignment="1">
      <alignment horizontal="center"/>
    </xf>
    <xf numFmtId="168" fontId="6" fillId="0" borderId="13" xfId="40" applyNumberFormat="1" applyFont="1" applyBorder="1" applyAlignment="1">
      <alignment horizontal="center"/>
    </xf>
    <xf numFmtId="0" fontId="6" fillId="0" borderId="15" xfId="56" applyFont="1" applyBorder="1" applyAlignment="1">
      <alignment horizontal="center"/>
      <protection/>
    </xf>
    <xf numFmtId="168" fontId="6" fillId="0" borderId="15" xfId="40" applyNumberFormat="1" applyFont="1" applyBorder="1" applyAlignment="1">
      <alignment horizontal="center"/>
    </xf>
    <xf numFmtId="0" fontId="12" fillId="0" borderId="0" xfId="56" applyFont="1" applyBorder="1" applyAlignment="1">
      <alignment horizontal="right"/>
      <protection/>
    </xf>
    <xf numFmtId="0" fontId="12" fillId="0" borderId="0" xfId="56" applyFont="1" applyBorder="1" applyAlignment="1">
      <alignment/>
      <protection/>
    </xf>
    <xf numFmtId="168" fontId="12" fillId="0" borderId="0" xfId="40" applyNumberFormat="1" applyFont="1" applyBorder="1" applyAlignment="1">
      <alignment/>
    </xf>
    <xf numFmtId="0" fontId="12" fillId="0" borderId="0" xfId="56" applyFont="1" applyBorder="1" applyAlignment="1">
      <alignment wrapText="1"/>
      <protection/>
    </xf>
    <xf numFmtId="0" fontId="12" fillId="0" borderId="19" xfId="56" applyFont="1" applyBorder="1" applyAlignment="1">
      <alignment horizontal="right"/>
      <protection/>
    </xf>
    <xf numFmtId="0" fontId="12" fillId="0" borderId="19" xfId="56" applyFont="1" applyBorder="1" applyAlignment="1">
      <alignment/>
      <protection/>
    </xf>
    <xf numFmtId="168" fontId="12" fillId="0" borderId="19" xfId="40" applyNumberFormat="1" applyFont="1" applyBorder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/>
    </xf>
    <xf numFmtId="168" fontId="12" fillId="0" borderId="0" xfId="40" applyNumberFormat="1" applyFont="1" applyAlignment="1">
      <alignment horizontal="right"/>
    </xf>
    <xf numFmtId="168" fontId="6" fillId="0" borderId="0" xfId="56" applyNumberFormat="1" applyFont="1">
      <alignment/>
      <protection/>
    </xf>
    <xf numFmtId="0" fontId="6" fillId="0" borderId="25" xfId="56" applyFont="1" applyBorder="1" applyAlignment="1">
      <alignment horizontal="right"/>
      <protection/>
    </xf>
    <xf numFmtId="0" fontId="6" fillId="0" borderId="25" xfId="56" applyFont="1" applyBorder="1">
      <alignment/>
      <protection/>
    </xf>
    <xf numFmtId="168" fontId="6" fillId="0" borderId="25" xfId="40" applyNumberFormat="1" applyFont="1" applyBorder="1" applyAlignment="1">
      <alignment/>
    </xf>
    <xf numFmtId="0" fontId="6" fillId="0" borderId="0" xfId="56" applyFont="1" applyBorder="1" applyAlignment="1">
      <alignment horizontal="right"/>
      <protection/>
    </xf>
    <xf numFmtId="0" fontId="6" fillId="0" borderId="0" xfId="56" applyFont="1" applyBorder="1">
      <alignment/>
      <protection/>
    </xf>
    <xf numFmtId="168" fontId="6" fillId="0" borderId="0" xfId="40" applyNumberFormat="1" applyFont="1" applyBorder="1" applyAlignment="1">
      <alignment/>
    </xf>
    <xf numFmtId="0" fontId="12" fillId="0" borderId="0" xfId="57" applyFont="1">
      <alignment/>
      <protection/>
    </xf>
    <xf numFmtId="0" fontId="6" fillId="0" borderId="0" xfId="57" applyFont="1" applyBorder="1" applyAlignment="1">
      <alignment horizontal="center"/>
      <protection/>
    </xf>
    <xf numFmtId="0" fontId="22" fillId="0" borderId="19" xfId="0" applyFont="1" applyBorder="1" applyAlignment="1">
      <alignment/>
    </xf>
    <xf numFmtId="168" fontId="6" fillId="0" borderId="19" xfId="40" applyNumberFormat="1" applyFont="1" applyBorder="1" applyAlignment="1">
      <alignment/>
    </xf>
    <xf numFmtId="0" fontId="6" fillId="0" borderId="0" xfId="57" applyFont="1">
      <alignment/>
      <protection/>
    </xf>
    <xf numFmtId="0" fontId="6" fillId="0" borderId="25" xfId="57" applyFont="1" applyBorder="1" applyAlignment="1">
      <alignment horizontal="right"/>
      <protection/>
    </xf>
    <xf numFmtId="0" fontId="6" fillId="0" borderId="25" xfId="57" applyFont="1" applyBorder="1">
      <alignment/>
      <protection/>
    </xf>
    <xf numFmtId="168" fontId="6" fillId="0" borderId="25" xfId="57" applyNumberFormat="1" applyFont="1" applyBorder="1" applyAlignment="1">
      <alignment/>
      <protection/>
    </xf>
    <xf numFmtId="168" fontId="6" fillId="0" borderId="0" xfId="57" applyNumberFormat="1" applyFont="1">
      <alignment/>
      <protection/>
    </xf>
    <xf numFmtId="0" fontId="12" fillId="0" borderId="0" xfId="57" applyFont="1" applyBorder="1" applyAlignment="1">
      <alignment horizontal="center" vertical="center"/>
      <protection/>
    </xf>
    <xf numFmtId="168" fontId="6" fillId="0" borderId="0" xfId="40" applyNumberFormat="1" applyFont="1" applyBorder="1" applyAlignment="1">
      <alignment horizontal="center"/>
    </xf>
    <xf numFmtId="0" fontId="11" fillId="0" borderId="0" xfId="58" applyFont="1" applyAlignment="1">
      <alignment horizontal="left" wrapText="1"/>
      <protection/>
    </xf>
    <xf numFmtId="14" fontId="4" fillId="0" borderId="0" xfId="0" applyNumberFormat="1" applyFont="1" applyAlignment="1">
      <alignment/>
    </xf>
    <xf numFmtId="0" fontId="11" fillId="0" borderId="26" xfId="59" applyFont="1" applyBorder="1">
      <alignment/>
      <protection/>
    </xf>
    <xf numFmtId="0" fontId="20" fillId="0" borderId="25" xfId="56" applyFont="1" applyBorder="1" applyAlignment="1">
      <alignment horizontal="center"/>
      <protection/>
    </xf>
    <xf numFmtId="0" fontId="7" fillId="0" borderId="25" xfId="56" applyFont="1" applyBorder="1" applyAlignment="1">
      <alignment horizontal="center"/>
      <protection/>
    </xf>
    <xf numFmtId="164" fontId="11" fillId="0" borderId="23" xfId="59" applyNumberFormat="1" applyFont="1" applyBorder="1">
      <alignment/>
      <protection/>
    </xf>
    <xf numFmtId="164" fontId="11" fillId="0" borderId="19" xfId="59" applyNumberFormat="1" applyFont="1" applyBorder="1">
      <alignment/>
      <protection/>
    </xf>
    <xf numFmtId="0" fontId="23" fillId="0" borderId="0" xfId="56" applyFont="1">
      <alignment/>
      <protection/>
    </xf>
    <xf numFmtId="0" fontId="23" fillId="0" borderId="0" xfId="56" applyFont="1" applyAlignment="1">
      <alignment horizontal="center"/>
      <protection/>
    </xf>
    <xf numFmtId="168" fontId="23" fillId="0" borderId="0" xfId="40" applyNumberFormat="1" applyFont="1" applyAlignment="1">
      <alignment/>
    </xf>
    <xf numFmtId="0" fontId="11" fillId="0" borderId="0" xfId="56" applyFont="1">
      <alignment/>
      <protection/>
    </xf>
    <xf numFmtId="0" fontId="10" fillId="0" borderId="0" xfId="56" applyFont="1" applyAlignment="1">
      <alignment horizontal="center"/>
      <protection/>
    </xf>
    <xf numFmtId="168" fontId="10" fillId="0" borderId="0" xfId="40" applyNumberFormat="1" applyFont="1" applyAlignment="1">
      <alignment/>
    </xf>
    <xf numFmtId="0" fontId="20" fillId="0" borderId="0" xfId="56" applyFont="1" applyAlignment="1">
      <alignment horizontal="center"/>
      <protection/>
    </xf>
    <xf numFmtId="168" fontId="20" fillId="0" borderId="0" xfId="40" applyNumberFormat="1" applyFont="1" applyAlignment="1">
      <alignment horizontal="centerContinuous"/>
    </xf>
    <xf numFmtId="168" fontId="20" fillId="0" borderId="0" xfId="40" applyNumberFormat="1" applyFont="1" applyAlignment="1">
      <alignment/>
    </xf>
    <xf numFmtId="168" fontId="20" fillId="0" borderId="27" xfId="40" applyNumberFormat="1" applyFont="1" applyBorder="1" applyAlignment="1">
      <alignment horizontal="center"/>
    </xf>
    <xf numFmtId="168" fontId="20" fillId="0" borderId="11" xfId="40" applyNumberFormat="1" applyFont="1" applyBorder="1" applyAlignment="1">
      <alignment horizontal="center"/>
    </xf>
    <xf numFmtId="168" fontId="20" fillId="0" borderId="11" xfId="40" applyNumberFormat="1" applyFont="1" applyBorder="1" applyAlignment="1">
      <alignment horizontal="center" wrapText="1"/>
    </xf>
    <xf numFmtId="0" fontId="4" fillId="0" borderId="0" xfId="0" applyFont="1" applyAlignment="1">
      <alignment/>
    </xf>
    <xf numFmtId="0" fontId="11" fillId="0" borderId="28" xfId="58" applyFont="1" applyBorder="1" applyAlignment="1" quotePrefix="1">
      <alignment horizontal="center" vertical="center" wrapText="1"/>
      <protection/>
    </xf>
    <xf numFmtId="0" fontId="11" fillId="0" borderId="0" xfId="58" applyFont="1" applyBorder="1" applyAlignment="1">
      <alignment horizontal="left" wrapText="1"/>
      <protection/>
    </xf>
    <xf numFmtId="168" fontId="4" fillId="0" borderId="26" xfId="40" applyNumberFormat="1" applyFont="1" applyBorder="1" applyAlignment="1">
      <alignment/>
    </xf>
    <xf numFmtId="168" fontId="4" fillId="0" borderId="29" xfId="40" applyNumberFormat="1" applyFont="1" applyBorder="1" applyAlignment="1">
      <alignment/>
    </xf>
    <xf numFmtId="168" fontId="4" fillId="0" borderId="19" xfId="40" applyNumberFormat="1" applyFont="1" applyBorder="1" applyAlignment="1">
      <alignment/>
    </xf>
    <xf numFmtId="168" fontId="4" fillId="0" borderId="30" xfId="40" applyNumberFormat="1" applyFont="1" applyBorder="1" applyAlignment="1">
      <alignment/>
    </xf>
    <xf numFmtId="0" fontId="10" fillId="0" borderId="31" xfId="59" applyFont="1" applyBorder="1">
      <alignment/>
      <protection/>
    </xf>
    <xf numFmtId="0" fontId="10" fillId="0" borderId="25" xfId="59" applyFont="1" applyBorder="1">
      <alignment/>
      <protection/>
    </xf>
    <xf numFmtId="168" fontId="4" fillId="0" borderId="25" xfId="40" applyNumberFormat="1" applyFont="1" applyBorder="1" applyAlignment="1">
      <alignment/>
    </xf>
    <xf numFmtId="0" fontId="11" fillId="0" borderId="32" xfId="58" applyFont="1" applyBorder="1" applyAlignment="1" quotePrefix="1">
      <alignment horizontal="center" vertical="center" wrapText="1"/>
      <protection/>
    </xf>
    <xf numFmtId="0" fontId="4" fillId="0" borderId="25" xfId="0" applyFont="1" applyBorder="1" applyAlignment="1">
      <alignment/>
    </xf>
    <xf numFmtId="0" fontId="19" fillId="0" borderId="0" xfId="0" applyFont="1" applyAlignment="1">
      <alignment/>
    </xf>
    <xf numFmtId="0" fontId="11" fillId="0" borderId="20" xfId="58" applyFont="1" applyBorder="1" applyAlignment="1">
      <alignment horizontal="right"/>
      <protection/>
    </xf>
    <xf numFmtId="0" fontId="19" fillId="0" borderId="19" xfId="58" applyFont="1" applyBorder="1">
      <alignment/>
      <protection/>
    </xf>
    <xf numFmtId="0" fontId="19" fillId="0" borderId="23" xfId="58" applyFont="1" applyBorder="1">
      <alignment/>
      <protection/>
    </xf>
    <xf numFmtId="0" fontId="11" fillId="0" borderId="23" xfId="58" applyFont="1" applyBorder="1">
      <alignment/>
      <protection/>
    </xf>
    <xf numFmtId="0" fontId="11" fillId="0" borderId="30" xfId="58" applyFont="1" applyBorder="1">
      <alignment/>
      <protection/>
    </xf>
    <xf numFmtId="0" fontId="19" fillId="0" borderId="0" xfId="58" applyFont="1">
      <alignment/>
      <protection/>
    </xf>
    <xf numFmtId="0" fontId="6" fillId="0" borderId="0" xfId="59" applyFont="1" applyAlignment="1">
      <alignment horizontal="centerContinuous"/>
      <protection/>
    </xf>
    <xf numFmtId="0" fontId="25" fillId="0" borderId="0" xfId="59" applyFont="1">
      <alignment/>
      <protection/>
    </xf>
    <xf numFmtId="0" fontId="6" fillId="0" borderId="11" xfId="59" applyFont="1" applyBorder="1">
      <alignment/>
      <protection/>
    </xf>
    <xf numFmtId="0" fontId="6" fillId="0" borderId="11" xfId="59" applyFont="1" applyBorder="1" applyAlignment="1">
      <alignment horizontal="center"/>
      <protection/>
    </xf>
    <xf numFmtId="0" fontId="6" fillId="0" borderId="13" xfId="59" applyFont="1" applyBorder="1" applyAlignment="1">
      <alignment horizontal="center"/>
      <protection/>
    </xf>
    <xf numFmtId="0" fontId="6" fillId="0" borderId="15" xfId="59" applyFont="1" applyBorder="1">
      <alignment/>
      <protection/>
    </xf>
    <xf numFmtId="0" fontId="6" fillId="0" borderId="15" xfId="59" applyFont="1" applyBorder="1" applyAlignment="1">
      <alignment horizontal="center"/>
      <protection/>
    </xf>
    <xf numFmtId="0" fontId="6" fillId="0" borderId="0" xfId="59" applyFont="1" applyBorder="1">
      <alignment/>
      <protection/>
    </xf>
    <xf numFmtId="0" fontId="6" fillId="0" borderId="0" xfId="59" applyFont="1" applyBorder="1" applyAlignment="1">
      <alignment horizontal="center"/>
      <protection/>
    </xf>
    <xf numFmtId="0" fontId="6" fillId="0" borderId="0" xfId="59" applyFont="1" applyBorder="1" applyAlignment="1">
      <alignment horizontal="right"/>
      <protection/>
    </xf>
    <xf numFmtId="168" fontId="12" fillId="0" borderId="0" xfId="40" applyNumberFormat="1" applyFont="1" applyBorder="1" applyAlignment="1">
      <alignment horizontal="right"/>
    </xf>
    <xf numFmtId="44" fontId="12" fillId="0" borderId="0" xfId="61" applyFont="1" applyAlignment="1">
      <alignment horizontal="left" wrapText="1"/>
    </xf>
    <xf numFmtId="0" fontId="12" fillId="0" borderId="0" xfId="59" applyFont="1" applyBorder="1">
      <alignment/>
      <protection/>
    </xf>
    <xf numFmtId="168" fontId="26" fillId="0" borderId="0" xfId="40" applyNumberFormat="1" applyFont="1" applyBorder="1" applyAlignment="1">
      <alignment horizontal="right"/>
    </xf>
    <xf numFmtId="168" fontId="6" fillId="0" borderId="0" xfId="40" applyNumberFormat="1" applyFont="1" applyBorder="1" applyAlignment="1">
      <alignment horizontal="right"/>
    </xf>
    <xf numFmtId="168" fontId="6" fillId="0" borderId="0" xfId="40" applyNumberFormat="1" applyFont="1" applyBorder="1" applyAlignment="1">
      <alignment/>
    </xf>
    <xf numFmtId="168" fontId="12" fillId="0" borderId="0" xfId="40" applyNumberFormat="1" applyFont="1" applyAlignment="1">
      <alignment horizontal="center"/>
    </xf>
    <xf numFmtId="0" fontId="12" fillId="0" borderId="11" xfId="0" applyFont="1" applyBorder="1" applyAlignment="1">
      <alignment/>
    </xf>
    <xf numFmtId="0" fontId="12" fillId="0" borderId="10" xfId="0" applyFont="1" applyBorder="1" applyAlignment="1">
      <alignment/>
    </xf>
    <xf numFmtId="168" fontId="6" fillId="0" borderId="11" xfId="40" applyNumberFormat="1" applyFont="1" applyBorder="1" applyAlignment="1">
      <alignment/>
    </xf>
    <xf numFmtId="168" fontId="6" fillId="0" borderId="33" xfId="40" applyNumberFormat="1" applyFont="1" applyBorder="1" applyAlignment="1">
      <alignment/>
    </xf>
    <xf numFmtId="168" fontId="6" fillId="0" borderId="34" xfId="40" applyNumberFormat="1" applyFont="1" applyBorder="1" applyAlignment="1">
      <alignment/>
    </xf>
    <xf numFmtId="168" fontId="6" fillId="0" borderId="35" xfId="40" applyNumberFormat="1" applyFont="1" applyBorder="1" applyAlignment="1">
      <alignment/>
    </xf>
    <xf numFmtId="168" fontId="12" fillId="0" borderId="35" xfId="40" applyNumberFormat="1" applyFont="1" applyBorder="1" applyAlignment="1">
      <alignment/>
    </xf>
    <xf numFmtId="168" fontId="12" fillId="0" borderId="34" xfId="40" applyNumberFormat="1" applyFont="1" applyBorder="1" applyAlignment="1">
      <alignment/>
    </xf>
    <xf numFmtId="168" fontId="12" fillId="0" borderId="11" xfId="40" applyNumberFormat="1" applyFont="1" applyBorder="1" applyAlignment="1">
      <alignment/>
    </xf>
    <xf numFmtId="0" fontId="12" fillId="0" borderId="13" xfId="0" applyFont="1" applyBorder="1" applyAlignment="1">
      <alignment/>
    </xf>
    <xf numFmtId="0" fontId="12" fillId="0" borderId="12" xfId="0" applyFont="1" applyBorder="1" applyAlignment="1">
      <alignment horizontal="center"/>
    </xf>
    <xf numFmtId="168" fontId="12" fillId="0" borderId="36" xfId="40" applyNumberFormat="1" applyFont="1" applyBorder="1" applyAlignment="1">
      <alignment horizontal="center"/>
    </xf>
    <xf numFmtId="168" fontId="12" fillId="0" borderId="37" xfId="40" applyNumberFormat="1" applyFont="1" applyBorder="1" applyAlignment="1">
      <alignment horizontal="center"/>
    </xf>
    <xf numFmtId="168" fontId="12" fillId="0" borderId="38" xfId="40" applyNumberFormat="1" applyFont="1" applyBorder="1" applyAlignment="1">
      <alignment horizontal="center"/>
    </xf>
    <xf numFmtId="0" fontId="12" fillId="0" borderId="15" xfId="0" applyFont="1" applyBorder="1" applyAlignment="1">
      <alignment/>
    </xf>
    <xf numFmtId="0" fontId="12" fillId="0" borderId="14" xfId="0" applyFont="1" applyBorder="1" applyAlignment="1">
      <alignment/>
    </xf>
    <xf numFmtId="168" fontId="12" fillId="0" borderId="15" xfId="40" applyNumberFormat="1" applyFont="1" applyBorder="1" applyAlignment="1">
      <alignment/>
    </xf>
    <xf numFmtId="168" fontId="12" fillId="0" borderId="39" xfId="40" applyNumberFormat="1" applyFont="1" applyBorder="1" applyAlignment="1">
      <alignment/>
    </xf>
    <xf numFmtId="168" fontId="12" fillId="0" borderId="40" xfId="40" applyNumberFormat="1" applyFont="1" applyBorder="1" applyAlignment="1">
      <alignment/>
    </xf>
    <xf numFmtId="168" fontId="12" fillId="0" borderId="41" xfId="40" applyNumberFormat="1" applyFont="1" applyBorder="1" applyAlignment="1">
      <alignment/>
    </xf>
    <xf numFmtId="0" fontId="12" fillId="0" borderId="24" xfId="0" applyFont="1" applyBorder="1" applyAlignment="1">
      <alignment horizontal="center"/>
    </xf>
    <xf numFmtId="0" fontId="12" fillId="0" borderId="19" xfId="0" applyFont="1" applyBorder="1" applyAlignment="1">
      <alignment wrapText="1"/>
    </xf>
    <xf numFmtId="168" fontId="12" fillId="0" borderId="19" xfId="40" applyNumberFormat="1" applyFont="1" applyBorder="1" applyAlignment="1">
      <alignment/>
    </xf>
    <xf numFmtId="168" fontId="12" fillId="0" borderId="30" xfId="40" applyNumberFormat="1" applyFont="1" applyBorder="1" applyAlignment="1">
      <alignment/>
    </xf>
    <xf numFmtId="0" fontId="12" fillId="0" borderId="19" xfId="0" applyFont="1" applyBorder="1" applyAlignment="1">
      <alignment/>
    </xf>
    <xf numFmtId="168" fontId="12" fillId="0" borderId="19" xfId="40" applyNumberFormat="1" applyFont="1" applyBorder="1" applyAlignment="1">
      <alignment/>
    </xf>
    <xf numFmtId="168" fontId="27" fillId="0" borderId="19" xfId="40" applyNumberFormat="1" applyFont="1" applyFill="1" applyBorder="1" applyAlignment="1">
      <alignment/>
    </xf>
    <xf numFmtId="168" fontId="27" fillId="0" borderId="23" xfId="40" applyNumberFormat="1" applyFont="1" applyFill="1" applyBorder="1" applyAlignment="1">
      <alignment/>
    </xf>
    <xf numFmtId="168" fontId="12" fillId="0" borderId="19" xfId="40" applyNumberFormat="1" applyFont="1" applyFill="1" applyBorder="1" applyAlignment="1">
      <alignment/>
    </xf>
    <xf numFmtId="168" fontId="12" fillId="0" borderId="23" xfId="40" applyNumberFormat="1" applyFont="1" applyFill="1" applyBorder="1" applyAlignment="1">
      <alignment/>
    </xf>
    <xf numFmtId="0" fontId="12" fillId="0" borderId="42" xfId="0" applyFont="1" applyBorder="1" applyAlignment="1">
      <alignment horizontal="center"/>
    </xf>
    <xf numFmtId="0" fontId="12" fillId="0" borderId="43" xfId="0" applyFont="1" applyBorder="1" applyAlignment="1">
      <alignment/>
    </xf>
    <xf numFmtId="0" fontId="6" fillId="0" borderId="25" xfId="0" applyFont="1" applyBorder="1" applyAlignment="1">
      <alignment/>
    </xf>
    <xf numFmtId="168" fontId="6" fillId="0" borderId="44" xfId="40" applyNumberFormat="1" applyFont="1" applyBorder="1" applyAlignment="1">
      <alignment/>
    </xf>
    <xf numFmtId="168" fontId="6" fillId="0" borderId="25" xfId="40" applyNumberFormat="1" applyFont="1" applyBorder="1" applyAlignment="1">
      <alignment/>
    </xf>
    <xf numFmtId="0" fontId="12" fillId="0" borderId="45" xfId="0" applyFont="1" applyBorder="1" applyAlignment="1">
      <alignment horizontal="center"/>
    </xf>
    <xf numFmtId="0" fontId="6" fillId="0" borderId="26" xfId="0" applyFont="1" applyBorder="1" applyAlignment="1">
      <alignment/>
    </xf>
    <xf numFmtId="168" fontId="12" fillId="0" borderId="46" xfId="40" applyNumberFormat="1" applyFont="1" applyBorder="1" applyAlignment="1">
      <alignment/>
    </xf>
    <xf numFmtId="1" fontId="6" fillId="0" borderId="0" xfId="0" applyNumberFormat="1" applyFont="1" applyAlignment="1">
      <alignment/>
    </xf>
    <xf numFmtId="0" fontId="12" fillId="0" borderId="25" xfId="0" applyFont="1" applyBorder="1" applyAlignment="1">
      <alignment/>
    </xf>
    <xf numFmtId="0" fontId="6" fillId="0" borderId="31" xfId="0" applyFont="1" applyBorder="1" applyAlignment="1">
      <alignment/>
    </xf>
    <xf numFmtId="168" fontId="12" fillId="0" borderId="47" xfId="40" applyNumberFormat="1" applyFont="1" applyBorder="1" applyAlignment="1">
      <alignment/>
    </xf>
    <xf numFmtId="168" fontId="12" fillId="0" borderId="48" xfId="40" applyNumberFormat="1" applyFont="1" applyBorder="1" applyAlignment="1">
      <alignment/>
    </xf>
    <xf numFmtId="0" fontId="12" fillId="0" borderId="19" xfId="0" applyFont="1" applyBorder="1" applyAlignment="1">
      <alignment horizontal="left" wrapText="1"/>
    </xf>
    <xf numFmtId="169" fontId="12" fillId="0" borderId="0" xfId="40" applyNumberFormat="1" applyFont="1" applyAlignment="1">
      <alignment/>
    </xf>
    <xf numFmtId="168" fontId="12" fillId="0" borderId="0" xfId="0" applyNumberFormat="1" applyFont="1" applyAlignment="1">
      <alignment/>
    </xf>
    <xf numFmtId="0" fontId="10" fillId="0" borderId="0" xfId="58" applyFont="1" applyBorder="1" applyAlignment="1">
      <alignment horizontal="left" wrapText="1"/>
      <protection/>
    </xf>
    <xf numFmtId="0" fontId="6" fillId="0" borderId="0" xfId="59" applyFont="1" applyBorder="1" quotePrefix="1">
      <alignment/>
      <protection/>
    </xf>
    <xf numFmtId="168" fontId="12" fillId="0" borderId="0" xfId="40" applyNumberFormat="1" applyFont="1" applyAlignment="1">
      <alignment horizontal="left" wrapText="1"/>
    </xf>
    <xf numFmtId="0" fontId="12" fillId="0" borderId="0" xfId="0" applyFont="1" applyAlignment="1">
      <alignment horizontal="left"/>
    </xf>
    <xf numFmtId="0" fontId="15" fillId="0" borderId="0" xfId="0" applyFont="1" applyAlignment="1">
      <alignment horizontal="left" wrapText="1"/>
    </xf>
    <xf numFmtId="14" fontId="17" fillId="0" borderId="0" xfId="0" applyNumberFormat="1" applyFont="1" applyAlignment="1">
      <alignment/>
    </xf>
    <xf numFmtId="0" fontId="12" fillId="0" borderId="0" xfId="56" applyFont="1" applyBorder="1" applyAlignment="1">
      <alignment horizontal="center"/>
      <protection/>
    </xf>
    <xf numFmtId="0" fontId="12" fillId="0" borderId="49" xfId="56" applyFont="1" applyBorder="1" applyAlignment="1">
      <alignment horizontal="center" vertical="center"/>
      <protection/>
    </xf>
    <xf numFmtId="0" fontId="12" fillId="0" borderId="27" xfId="56" applyFont="1" applyBorder="1" applyAlignment="1">
      <alignment horizontal="center" vertical="center"/>
      <protection/>
    </xf>
    <xf numFmtId="0" fontId="12" fillId="0" borderId="12" xfId="56" applyFont="1" applyBorder="1" applyAlignment="1">
      <alignment horizontal="center" vertical="center"/>
      <protection/>
    </xf>
    <xf numFmtId="0" fontId="12" fillId="0" borderId="50" xfId="56" applyFont="1" applyBorder="1" applyAlignment="1">
      <alignment horizontal="center" vertical="center"/>
      <protection/>
    </xf>
    <xf numFmtId="0" fontId="12" fillId="0" borderId="16" xfId="56" applyFont="1" applyBorder="1" applyAlignment="1">
      <alignment horizontal="center" vertical="center"/>
      <protection/>
    </xf>
    <xf numFmtId="0" fontId="12" fillId="0" borderId="51" xfId="56" applyFont="1" applyBorder="1" applyAlignment="1">
      <alignment horizontal="center" vertical="center"/>
      <protection/>
    </xf>
    <xf numFmtId="0" fontId="12" fillId="0" borderId="14" xfId="56" applyFont="1" applyBorder="1" applyAlignment="1">
      <alignment horizontal="center" vertical="center"/>
      <protection/>
    </xf>
    <xf numFmtId="168" fontId="4" fillId="0" borderId="24" xfId="58" applyNumberFormat="1" applyFont="1" applyBorder="1" applyAlignment="1">
      <alignment/>
      <protection/>
    </xf>
    <xf numFmtId="168" fontId="4" fillId="0" borderId="24" xfId="58" applyNumberFormat="1" applyFont="1" applyBorder="1" applyAlignment="1">
      <alignment horizontal="right"/>
      <protection/>
    </xf>
    <xf numFmtId="168" fontId="12" fillId="0" borderId="0" xfId="59" applyNumberFormat="1" applyFont="1" applyBorder="1" applyAlignment="1">
      <alignment horizontal="right"/>
      <protection/>
    </xf>
    <xf numFmtId="0" fontId="10" fillId="0" borderId="0" xfId="58" applyFont="1" applyBorder="1" applyAlignment="1" quotePrefix="1">
      <alignment horizontal="left" wrapText="1"/>
      <protection/>
    </xf>
    <xf numFmtId="0" fontId="11" fillId="0" borderId="0" xfId="58" applyFont="1" applyBorder="1" applyAlignment="1" quotePrefix="1">
      <alignment horizontal="left" wrapText="1"/>
      <protection/>
    </xf>
    <xf numFmtId="168" fontId="12" fillId="0" borderId="52" xfId="59" applyNumberFormat="1" applyFont="1" applyBorder="1" applyAlignment="1">
      <alignment horizontal="right"/>
      <protection/>
    </xf>
    <xf numFmtId="168" fontId="12" fillId="0" borderId="0" xfId="59" applyNumberFormat="1" applyFont="1" applyBorder="1" applyAlignment="1">
      <alignment horizontal="center"/>
      <protection/>
    </xf>
    <xf numFmtId="168" fontId="12" fillId="0" borderId="52" xfId="59" applyNumberFormat="1" applyFont="1" applyBorder="1" applyAlignment="1">
      <alignment horizontal="center"/>
      <protection/>
    </xf>
    <xf numFmtId="0" fontId="10" fillId="0" borderId="0" xfId="59" applyFont="1" applyBorder="1" quotePrefix="1">
      <alignment/>
      <protection/>
    </xf>
    <xf numFmtId="168" fontId="12" fillId="0" borderId="52" xfId="40" applyNumberFormat="1" applyFont="1" applyBorder="1" applyAlignment="1">
      <alignment horizontal="right"/>
    </xf>
    <xf numFmtId="0" fontId="6" fillId="0" borderId="0" xfId="56" applyFont="1" applyBorder="1" applyAlignment="1">
      <alignment horizontal="center"/>
      <protection/>
    </xf>
    <xf numFmtId="0" fontId="6" fillId="0" borderId="49" xfId="56" applyFont="1" applyBorder="1">
      <alignment/>
      <protection/>
    </xf>
    <xf numFmtId="0" fontId="6" fillId="0" borderId="49" xfId="56" applyFont="1" applyBorder="1" applyAlignment="1">
      <alignment horizontal="center"/>
      <protection/>
    </xf>
    <xf numFmtId="168" fontId="6" fillId="0" borderId="49" xfId="40" applyNumberFormat="1" applyFont="1" applyBorder="1" applyAlignment="1">
      <alignment horizontal="center"/>
    </xf>
    <xf numFmtId="0" fontId="12" fillId="0" borderId="0" xfId="56" applyFont="1" applyBorder="1" applyAlignment="1">
      <alignment horizontal="center"/>
      <protection/>
    </xf>
    <xf numFmtId="0" fontId="12" fillId="0" borderId="19" xfId="0" applyFont="1" applyBorder="1" applyAlignment="1" quotePrefix="1">
      <alignment/>
    </xf>
    <xf numFmtId="0" fontId="0" fillId="0" borderId="0" xfId="0" applyAlignment="1">
      <alignment horizontal="center"/>
    </xf>
    <xf numFmtId="0" fontId="29" fillId="0" borderId="0" xfId="0" applyFont="1" applyAlignment="1" quotePrefix="1">
      <alignment/>
    </xf>
    <xf numFmtId="0" fontId="0" fillId="0" borderId="0" xfId="0" applyNumberFormat="1" applyAlignment="1" quotePrefix="1">
      <alignment/>
    </xf>
    <xf numFmtId="0" fontId="29" fillId="0" borderId="0" xfId="0" applyFont="1" applyAlignment="1">
      <alignment/>
    </xf>
    <xf numFmtId="3" fontId="29" fillId="0" borderId="0" xfId="0" applyNumberFormat="1" applyFont="1" applyAlignment="1">
      <alignment/>
    </xf>
    <xf numFmtId="0" fontId="0" fillId="0" borderId="0" xfId="0" applyAlignment="1">
      <alignment wrapText="1"/>
    </xf>
    <xf numFmtId="0" fontId="12" fillId="0" borderId="10" xfId="56" applyFont="1" applyBorder="1" applyAlignment="1">
      <alignment horizontal="left" vertical="center"/>
      <protection/>
    </xf>
    <xf numFmtId="0" fontId="4" fillId="0" borderId="0" xfId="0" applyFont="1" applyBorder="1" applyAlignment="1">
      <alignment/>
    </xf>
    <xf numFmtId="0" fontId="11" fillId="0" borderId="0" xfId="58" applyFont="1" applyBorder="1" applyAlignment="1">
      <alignment horizontal="right"/>
      <protection/>
    </xf>
    <xf numFmtId="0" fontId="19" fillId="0" borderId="0" xfId="58" applyFont="1" applyBorder="1">
      <alignment/>
      <protection/>
    </xf>
    <xf numFmtId="0" fontId="11" fillId="0" borderId="0" xfId="58" applyFont="1" applyBorder="1">
      <alignment/>
      <protection/>
    </xf>
    <xf numFmtId="16" fontId="0" fillId="0" borderId="0" xfId="0" applyNumberFormat="1" applyAlignment="1" quotePrefix="1">
      <alignment/>
    </xf>
    <xf numFmtId="0" fontId="0" fillId="0" borderId="0" xfId="0" applyAlignment="1" quotePrefix="1">
      <alignment/>
    </xf>
    <xf numFmtId="0" fontId="0" fillId="0" borderId="0" xfId="0" applyAlignment="1">
      <alignment horizontal="left"/>
    </xf>
    <xf numFmtId="170" fontId="12" fillId="0" borderId="0" xfId="40" applyNumberFormat="1" applyFont="1" applyAlignment="1">
      <alignment/>
    </xf>
    <xf numFmtId="3" fontId="12" fillId="0" borderId="0" xfId="56" applyNumberFormat="1" applyFont="1">
      <alignment/>
      <protection/>
    </xf>
    <xf numFmtId="3" fontId="12" fillId="0" borderId="0" xfId="40" applyNumberFormat="1" applyFont="1" applyAlignment="1">
      <alignment/>
    </xf>
    <xf numFmtId="168" fontId="12" fillId="0" borderId="0" xfId="40" applyNumberFormat="1" applyFont="1" applyAlignment="1">
      <alignment horizontal="right"/>
    </xf>
    <xf numFmtId="170" fontId="15" fillId="0" borderId="0" xfId="40" applyNumberFormat="1" applyFont="1" applyAlignment="1">
      <alignment wrapText="1"/>
    </xf>
    <xf numFmtId="3" fontId="15" fillId="0" borderId="0" xfId="40" applyNumberFormat="1" applyFont="1" applyAlignment="1">
      <alignment/>
    </xf>
    <xf numFmtId="170" fontId="15" fillId="0" borderId="0" xfId="40" applyNumberFormat="1" applyFont="1" applyAlignment="1">
      <alignment/>
    </xf>
    <xf numFmtId="170" fontId="12" fillId="0" borderId="0" xfId="40" applyNumberFormat="1" applyFont="1" applyAlignment="1">
      <alignment wrapText="1"/>
    </xf>
    <xf numFmtId="4" fontId="15" fillId="0" borderId="0" xfId="0" applyNumberFormat="1" applyFont="1" applyAlignment="1">
      <alignment/>
    </xf>
    <xf numFmtId="170" fontId="6" fillId="0" borderId="0" xfId="40" applyNumberFormat="1" applyFont="1" applyBorder="1" applyAlignment="1">
      <alignment horizontal="center"/>
    </xf>
    <xf numFmtId="170" fontId="6" fillId="0" borderId="0" xfId="0" applyNumberFormat="1" applyFont="1" applyAlignment="1">
      <alignment wrapText="1"/>
    </xf>
    <xf numFmtId="170" fontId="6" fillId="0" borderId="0" xfId="40" applyNumberFormat="1" applyFont="1" applyAlignment="1">
      <alignment/>
    </xf>
    <xf numFmtId="0" fontId="6" fillId="0" borderId="0" xfId="40" applyNumberFormat="1" applyFont="1" applyBorder="1" applyAlignment="1">
      <alignment horizontal="center"/>
    </xf>
    <xf numFmtId="170" fontId="12" fillId="0" borderId="0" xfId="40" applyNumberFormat="1" applyFont="1" applyBorder="1" applyAlignment="1">
      <alignment horizontal="center"/>
    </xf>
    <xf numFmtId="170" fontId="6" fillId="0" borderId="0" xfId="0" applyNumberFormat="1" applyFont="1" applyAlignment="1">
      <alignment/>
    </xf>
    <xf numFmtId="3" fontId="12" fillId="0" borderId="0" xfId="40" applyNumberFormat="1" applyFont="1" applyAlignment="1">
      <alignment wrapText="1"/>
    </xf>
    <xf numFmtId="3" fontId="12" fillId="0" borderId="0" xfId="0" applyNumberFormat="1" applyFont="1" applyAlignment="1">
      <alignment/>
    </xf>
    <xf numFmtId="170" fontId="6" fillId="0" borderId="0" xfId="0" applyNumberFormat="1" applyFont="1" applyAlignment="1">
      <alignment/>
    </xf>
    <xf numFmtId="170" fontId="10" fillId="0" borderId="0" xfId="40" applyNumberFormat="1" applyFont="1" applyAlignment="1">
      <alignment/>
    </xf>
    <xf numFmtId="3" fontId="7" fillId="0" borderId="0" xfId="40" applyNumberFormat="1" applyFont="1" applyAlignment="1">
      <alignment/>
    </xf>
    <xf numFmtId="3" fontId="10" fillId="0" borderId="0" xfId="40" applyNumberFormat="1" applyFont="1" applyAlignment="1">
      <alignment/>
    </xf>
    <xf numFmtId="3" fontId="7" fillId="0" borderId="0" xfId="40" applyNumberFormat="1" applyFont="1" applyAlignment="1">
      <alignment horizontal="right"/>
    </xf>
    <xf numFmtId="170" fontId="4" fillId="0" borderId="0" xfId="40" applyNumberFormat="1" applyFont="1" applyAlignment="1">
      <alignment horizontal="right"/>
    </xf>
    <xf numFmtId="170" fontId="11" fillId="0" borderId="0" xfId="40" applyNumberFormat="1" applyFont="1" applyAlignment="1">
      <alignment/>
    </xf>
    <xf numFmtId="170" fontId="13" fillId="0" borderId="0" xfId="40" applyNumberFormat="1" applyFont="1" applyAlignment="1">
      <alignment/>
    </xf>
    <xf numFmtId="170" fontId="6" fillId="0" borderId="0" xfId="40" applyNumberFormat="1" applyFont="1" applyBorder="1" applyAlignment="1">
      <alignment horizontal="right"/>
    </xf>
    <xf numFmtId="0" fontId="6" fillId="0" borderId="0" xfId="0" applyFont="1" applyAlignment="1" quotePrefix="1">
      <alignment/>
    </xf>
    <xf numFmtId="0" fontId="19" fillId="0" borderId="0" xfId="0" applyFont="1" applyAlignment="1">
      <alignment horizontal="left"/>
    </xf>
    <xf numFmtId="0" fontId="10" fillId="0" borderId="31" xfId="58" applyFont="1" applyBorder="1" applyAlignment="1">
      <alignment vertical="center"/>
      <protection/>
    </xf>
    <xf numFmtId="0" fontId="10" fillId="0" borderId="25" xfId="58" applyFont="1" applyBorder="1" applyAlignment="1">
      <alignment vertical="center"/>
      <protection/>
    </xf>
    <xf numFmtId="0" fontId="10" fillId="0" borderId="31" xfId="58" applyFont="1" applyBorder="1" applyAlignment="1">
      <alignment horizontal="right" vertical="center"/>
      <protection/>
    </xf>
    <xf numFmtId="0" fontId="10" fillId="0" borderId="25" xfId="59" applyFont="1" applyBorder="1" applyAlignment="1">
      <alignment vertical="center"/>
      <protection/>
    </xf>
    <xf numFmtId="0" fontId="4" fillId="0" borderId="0" xfId="59" applyFont="1" applyAlignment="1">
      <alignment vertical="center"/>
      <protection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left" wrapText="1"/>
    </xf>
    <xf numFmtId="0" fontId="12" fillId="0" borderId="10" xfId="56" applyFont="1" applyBorder="1" applyAlignment="1">
      <alignment horizontal="center"/>
      <protection/>
    </xf>
    <xf numFmtId="0" fontId="12" fillId="0" borderId="49" xfId="56" applyFont="1" applyBorder="1" applyAlignment="1">
      <alignment horizontal="center"/>
      <protection/>
    </xf>
    <xf numFmtId="0" fontId="12" fillId="0" borderId="27" xfId="56" applyFont="1" applyBorder="1" applyAlignment="1">
      <alignment horizontal="center"/>
      <protection/>
    </xf>
    <xf numFmtId="0" fontId="12" fillId="0" borderId="12" xfId="56" applyFont="1" applyBorder="1" applyAlignment="1">
      <alignment horizontal="center"/>
      <protection/>
    </xf>
    <xf numFmtId="0" fontId="12" fillId="0" borderId="0" xfId="56" applyFont="1" applyBorder="1" applyAlignment="1">
      <alignment horizontal="center"/>
      <protection/>
    </xf>
    <xf numFmtId="0" fontId="12" fillId="0" borderId="50" xfId="56" applyFont="1" applyBorder="1" applyAlignment="1">
      <alignment horizontal="center"/>
      <protection/>
    </xf>
    <xf numFmtId="0" fontId="12" fillId="0" borderId="14" xfId="56" applyFont="1" applyBorder="1" applyAlignment="1">
      <alignment horizontal="center"/>
      <protection/>
    </xf>
    <xf numFmtId="0" fontId="12" fillId="0" borderId="16" xfId="56" applyFont="1" applyBorder="1" applyAlignment="1">
      <alignment horizontal="center"/>
      <protection/>
    </xf>
    <xf numFmtId="0" fontId="12" fillId="0" borderId="51" xfId="56" applyFont="1" applyBorder="1" applyAlignment="1">
      <alignment horizontal="center"/>
      <protection/>
    </xf>
    <xf numFmtId="0" fontId="6" fillId="0" borderId="0" xfId="56" applyFont="1" applyAlignment="1">
      <alignment horizontal="center"/>
      <protection/>
    </xf>
    <xf numFmtId="0" fontId="10" fillId="0" borderId="0" xfId="56" applyFont="1" applyAlignment="1">
      <alignment horizontal="center"/>
      <protection/>
    </xf>
    <xf numFmtId="0" fontId="0" fillId="0" borderId="0" xfId="0" applyAlignment="1">
      <alignment/>
    </xf>
    <xf numFmtId="0" fontId="15" fillId="0" borderId="0" xfId="0" applyFont="1" applyAlignment="1">
      <alignment horizontal="left" wrapText="1"/>
    </xf>
    <xf numFmtId="0" fontId="12" fillId="0" borderId="10" xfId="56" applyFont="1" applyBorder="1" applyAlignment="1">
      <alignment horizontal="center" vertical="center"/>
      <protection/>
    </xf>
    <xf numFmtId="0" fontId="12" fillId="0" borderId="49" xfId="56" applyFont="1" applyBorder="1" applyAlignment="1">
      <alignment horizontal="center" vertical="center"/>
      <protection/>
    </xf>
    <xf numFmtId="0" fontId="12" fillId="0" borderId="27" xfId="56" applyFont="1" applyBorder="1" applyAlignment="1">
      <alignment horizontal="center" vertical="center"/>
      <protection/>
    </xf>
    <xf numFmtId="0" fontId="12" fillId="0" borderId="12" xfId="56" applyFont="1" applyBorder="1" applyAlignment="1">
      <alignment horizontal="center" vertical="center"/>
      <protection/>
    </xf>
    <xf numFmtId="0" fontId="12" fillId="0" borderId="0" xfId="56" applyFont="1" applyBorder="1" applyAlignment="1">
      <alignment horizontal="center" vertical="center"/>
      <protection/>
    </xf>
    <xf numFmtId="0" fontId="12" fillId="0" borderId="50" xfId="56" applyFont="1" applyBorder="1" applyAlignment="1">
      <alignment horizontal="center" vertical="center"/>
      <protection/>
    </xf>
    <xf numFmtId="0" fontId="12" fillId="0" borderId="14" xfId="56" applyFont="1" applyBorder="1" applyAlignment="1">
      <alignment horizontal="center" vertical="center"/>
      <protection/>
    </xf>
    <xf numFmtId="0" fontId="12" fillId="0" borderId="16" xfId="56" applyFont="1" applyBorder="1" applyAlignment="1">
      <alignment horizontal="center" vertical="center"/>
      <protection/>
    </xf>
    <xf numFmtId="0" fontId="12" fillId="0" borderId="51" xfId="56" applyFont="1" applyBorder="1" applyAlignment="1">
      <alignment horizontal="center" vertical="center"/>
      <protection/>
    </xf>
    <xf numFmtId="0" fontId="12" fillId="0" borderId="0" xfId="0" applyFont="1" applyAlignment="1">
      <alignment horizontal="left" wrapText="1"/>
    </xf>
    <xf numFmtId="0" fontId="12" fillId="0" borderId="0" xfId="56" applyFont="1" applyAlignment="1">
      <alignment horizontal="left" wrapText="1"/>
      <protection/>
    </xf>
    <xf numFmtId="0" fontId="18" fillId="0" borderId="0" xfId="0" applyFont="1" applyAlignment="1">
      <alignment horizontal="left" wrapText="1"/>
    </xf>
    <xf numFmtId="0" fontId="12" fillId="0" borderId="0" xfId="56" applyFont="1" applyBorder="1" applyAlignment="1">
      <alignment horizontal="left" vertical="center"/>
      <protection/>
    </xf>
    <xf numFmtId="0" fontId="10" fillId="0" borderId="0" xfId="0" applyFont="1" applyAlignment="1">
      <alignment horizontal="left" wrapText="1"/>
    </xf>
    <xf numFmtId="0" fontId="11" fillId="0" borderId="11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/>
      <protection/>
    </xf>
    <xf numFmtId="0" fontId="11" fillId="0" borderId="13" xfId="58" applyFont="1" applyBorder="1" applyAlignment="1">
      <alignment horizontal="center" vertical="center"/>
      <protection/>
    </xf>
    <xf numFmtId="0" fontId="11" fillId="0" borderId="15" xfId="58" applyFont="1" applyBorder="1" applyAlignment="1">
      <alignment horizontal="center" vertical="center"/>
      <protection/>
    </xf>
    <xf numFmtId="0" fontId="20" fillId="0" borderId="11" xfId="56" applyFont="1" applyBorder="1" applyAlignment="1">
      <alignment horizontal="center" vertical="center" wrapText="1"/>
      <protection/>
    </xf>
    <xf numFmtId="0" fontId="20" fillId="0" borderId="13" xfId="56" applyFont="1" applyBorder="1" applyAlignment="1">
      <alignment horizontal="center" vertical="center" wrapText="1"/>
      <protection/>
    </xf>
    <xf numFmtId="0" fontId="20" fillId="0" borderId="15" xfId="56" applyFont="1" applyBorder="1" applyAlignment="1">
      <alignment horizontal="center" vertical="center" wrapText="1"/>
      <protection/>
    </xf>
    <xf numFmtId="168" fontId="20" fillId="0" borderId="53" xfId="40" applyNumberFormat="1" applyFont="1" applyBorder="1" applyAlignment="1">
      <alignment horizontal="center"/>
    </xf>
    <xf numFmtId="168" fontId="20" fillId="0" borderId="54" xfId="40" applyNumberFormat="1" applyFont="1" applyBorder="1" applyAlignment="1">
      <alignment horizontal="center"/>
    </xf>
    <xf numFmtId="168" fontId="20" fillId="0" borderId="10" xfId="40" applyNumberFormat="1" applyFont="1" applyBorder="1" applyAlignment="1">
      <alignment horizontal="center"/>
    </xf>
    <xf numFmtId="168" fontId="20" fillId="0" borderId="49" xfId="40" applyNumberFormat="1" applyFont="1" applyBorder="1" applyAlignment="1">
      <alignment horizontal="center"/>
    </xf>
    <xf numFmtId="168" fontId="20" fillId="0" borderId="27" xfId="40" applyNumberFormat="1" applyFont="1" applyBorder="1" applyAlignment="1">
      <alignment horizontal="center"/>
    </xf>
    <xf numFmtId="168" fontId="20" fillId="0" borderId="12" xfId="40" applyNumberFormat="1" applyFont="1" applyBorder="1" applyAlignment="1">
      <alignment horizontal="center"/>
    </xf>
    <xf numFmtId="168" fontId="20" fillId="0" borderId="0" xfId="40" applyNumberFormat="1" applyFont="1" applyBorder="1" applyAlignment="1">
      <alignment horizontal="center"/>
    </xf>
    <xf numFmtId="168" fontId="20" fillId="0" borderId="50" xfId="40" applyNumberFormat="1" applyFont="1" applyBorder="1" applyAlignment="1">
      <alignment horizontal="center"/>
    </xf>
    <xf numFmtId="168" fontId="20" fillId="0" borderId="14" xfId="40" applyNumberFormat="1" applyFont="1" applyBorder="1" applyAlignment="1">
      <alignment horizontal="center"/>
    </xf>
    <xf numFmtId="168" fontId="20" fillId="0" borderId="16" xfId="40" applyNumberFormat="1" applyFont="1" applyBorder="1" applyAlignment="1">
      <alignment horizontal="center"/>
    </xf>
    <xf numFmtId="168" fontId="20" fillId="0" borderId="51" xfId="40" applyNumberFormat="1" applyFont="1" applyBorder="1" applyAlignment="1">
      <alignment horizontal="center"/>
    </xf>
    <xf numFmtId="0" fontId="7" fillId="0" borderId="0" xfId="56" applyFont="1" applyAlignment="1">
      <alignment horizontal="center"/>
      <protection/>
    </xf>
    <xf numFmtId="0" fontId="10" fillId="0" borderId="0" xfId="56" applyFont="1" applyAlignment="1">
      <alignment horizontal="center" wrapText="1"/>
      <protection/>
    </xf>
    <xf numFmtId="0" fontId="11" fillId="0" borderId="11" xfId="56" applyFont="1" applyBorder="1" applyAlignment="1">
      <alignment horizontal="center" vertical="center" wrapText="1"/>
      <protection/>
    </xf>
    <xf numFmtId="0" fontId="11" fillId="0" borderId="13" xfId="56" applyFont="1" applyBorder="1" applyAlignment="1">
      <alignment horizontal="center" vertical="center" wrapText="1"/>
      <protection/>
    </xf>
    <xf numFmtId="0" fontId="11" fillId="0" borderId="15" xfId="56" applyFont="1" applyBorder="1" applyAlignment="1">
      <alignment horizontal="center" vertical="center" wrapText="1"/>
      <protection/>
    </xf>
    <xf numFmtId="0" fontId="4" fillId="0" borderId="0" xfId="59" applyFont="1" applyAlignment="1">
      <alignment horizontal="left"/>
      <protection/>
    </xf>
    <xf numFmtId="0" fontId="10" fillId="0" borderId="0" xfId="59" applyFont="1" applyAlignment="1">
      <alignment horizontal="center"/>
      <protection/>
    </xf>
    <xf numFmtId="0" fontId="24" fillId="0" borderId="11" xfId="56" applyFont="1" applyBorder="1" applyAlignment="1">
      <alignment horizontal="center" vertical="center" wrapText="1"/>
      <protection/>
    </xf>
    <xf numFmtId="0" fontId="24" fillId="0" borderId="13" xfId="56" applyFont="1" applyBorder="1" applyAlignment="1">
      <alignment horizontal="center" vertical="center" wrapText="1"/>
      <protection/>
    </xf>
    <xf numFmtId="0" fontId="24" fillId="0" borderId="15" xfId="56" applyFont="1" applyBorder="1" applyAlignment="1">
      <alignment horizontal="center" vertical="center" wrapText="1"/>
      <protection/>
    </xf>
    <xf numFmtId="0" fontId="7" fillId="0" borderId="31" xfId="56" applyFont="1" applyBorder="1" applyAlignment="1">
      <alignment horizontal="center"/>
      <protection/>
    </xf>
    <xf numFmtId="0" fontId="7" fillId="0" borderId="54" xfId="56" applyFont="1" applyBorder="1" applyAlignment="1">
      <alignment horizontal="center"/>
      <protection/>
    </xf>
    <xf numFmtId="0" fontId="24" fillId="0" borderId="11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11" fillId="0" borderId="11" xfId="58" applyFont="1" applyBorder="1" applyAlignment="1">
      <alignment horizontal="center" vertical="center"/>
      <protection/>
    </xf>
    <xf numFmtId="0" fontId="11" fillId="0" borderId="13" xfId="58" applyFont="1" applyBorder="1" applyAlignment="1">
      <alignment horizontal="center" vertical="center"/>
      <protection/>
    </xf>
    <xf numFmtId="0" fontId="11" fillId="0" borderId="15" xfId="58" applyFont="1" applyBorder="1" applyAlignment="1">
      <alignment horizontal="center" vertical="center"/>
      <protection/>
    </xf>
    <xf numFmtId="0" fontId="11" fillId="0" borderId="11" xfId="56" applyFont="1" applyBorder="1" applyAlignment="1">
      <alignment horizontal="center" vertical="center"/>
      <protection/>
    </xf>
    <xf numFmtId="0" fontId="11" fillId="0" borderId="13" xfId="56" applyFont="1" applyBorder="1" applyAlignment="1">
      <alignment horizontal="center" vertical="center"/>
      <protection/>
    </xf>
    <xf numFmtId="0" fontId="11" fillId="0" borderId="15" xfId="56" applyFont="1" applyBorder="1" applyAlignment="1">
      <alignment horizontal="center" vertical="center"/>
      <protection/>
    </xf>
    <xf numFmtId="0" fontId="7" fillId="0" borderId="12" xfId="56" applyFont="1" applyBorder="1" applyAlignment="1">
      <alignment horizontal="center"/>
      <protection/>
    </xf>
    <xf numFmtId="0" fontId="7" fillId="0" borderId="50" xfId="56" applyFont="1" applyBorder="1" applyAlignment="1">
      <alignment horizontal="center"/>
      <protection/>
    </xf>
    <xf numFmtId="0" fontId="7" fillId="0" borderId="14" xfId="56" applyFont="1" applyBorder="1" applyAlignment="1">
      <alignment horizontal="center"/>
      <protection/>
    </xf>
    <xf numFmtId="0" fontId="7" fillId="0" borderId="51" xfId="56" applyFont="1" applyBorder="1" applyAlignment="1">
      <alignment horizontal="center"/>
      <protection/>
    </xf>
    <xf numFmtId="0" fontId="11" fillId="0" borderId="31" xfId="56" applyFont="1" applyBorder="1" applyAlignment="1">
      <alignment horizontal="center" wrapText="1"/>
      <protection/>
    </xf>
    <xf numFmtId="0" fontId="11" fillId="0" borderId="53" xfId="56" applyFont="1" applyBorder="1" applyAlignment="1">
      <alignment horizontal="center" wrapText="1"/>
      <protection/>
    </xf>
    <xf numFmtId="0" fontId="11" fillId="0" borderId="54" xfId="56" applyFont="1" applyBorder="1" applyAlignment="1">
      <alignment horizontal="center" wrapText="1"/>
      <protection/>
    </xf>
    <xf numFmtId="0" fontId="11" fillId="0" borderId="31" xfId="56" applyFont="1" applyBorder="1" applyAlignment="1">
      <alignment horizontal="center"/>
      <protection/>
    </xf>
    <xf numFmtId="0" fontId="11" fillId="0" borderId="53" xfId="56" applyFont="1" applyBorder="1" applyAlignment="1">
      <alignment horizontal="center"/>
      <protection/>
    </xf>
    <xf numFmtId="0" fontId="11" fillId="0" borderId="54" xfId="56" applyFont="1" applyBorder="1" applyAlignment="1">
      <alignment horizontal="center"/>
      <protection/>
    </xf>
    <xf numFmtId="44" fontId="11" fillId="0" borderId="31" xfId="61" applyFont="1" applyBorder="1" applyAlignment="1">
      <alignment horizontal="center"/>
    </xf>
    <xf numFmtId="44" fontId="11" fillId="0" borderId="53" xfId="61" applyFont="1" applyBorder="1" applyAlignment="1">
      <alignment horizontal="center"/>
    </xf>
    <xf numFmtId="44" fontId="11" fillId="0" borderId="54" xfId="61" applyFont="1" applyBorder="1" applyAlignment="1">
      <alignment horizontal="center"/>
    </xf>
    <xf numFmtId="0" fontId="11" fillId="0" borderId="0" xfId="0" applyFont="1" applyAlignment="1">
      <alignment horizontal="right"/>
    </xf>
    <xf numFmtId="0" fontId="11" fillId="0" borderId="16" xfId="59" applyFont="1" applyBorder="1" applyAlignment="1">
      <alignment horizontal="right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5" fillId="0" borderId="0" xfId="0" applyFont="1" applyAlignment="1">
      <alignment/>
    </xf>
    <xf numFmtId="0" fontId="0" fillId="0" borderId="0" xfId="0" applyAlignment="1">
      <alignment horizontal="center"/>
    </xf>
    <xf numFmtId="0" fontId="10" fillId="0" borderId="22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55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52" xfId="0" applyFont="1" applyBorder="1" applyAlignment="1">
      <alignment horizontal="center" vertical="center"/>
    </xf>
    <xf numFmtId="0" fontId="10" fillId="0" borderId="56" xfId="0" applyFont="1" applyBorder="1" applyAlignment="1">
      <alignment horizontal="center" vertical="center"/>
    </xf>
    <xf numFmtId="0" fontId="10" fillId="0" borderId="55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10" fillId="0" borderId="56" xfId="0" applyFont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58" applyFont="1" applyAlignment="1">
      <alignment horizontal="left"/>
      <protection/>
    </xf>
    <xf numFmtId="0" fontId="6" fillId="0" borderId="0" xfId="58" applyFont="1" applyAlignment="1">
      <alignment horizontal="center"/>
      <protection/>
    </xf>
    <xf numFmtId="0" fontId="10" fillId="0" borderId="0" xfId="58" applyFont="1" applyAlignment="1">
      <alignment horizontal="center"/>
      <protection/>
    </xf>
    <xf numFmtId="0" fontId="6" fillId="0" borderId="0" xfId="56" applyFont="1" applyAlignment="1">
      <alignment horizontal="center"/>
      <protection/>
    </xf>
    <xf numFmtId="0" fontId="10" fillId="0" borderId="0" xfId="59" applyFont="1" applyAlignment="1">
      <alignment horizontal="center"/>
      <protection/>
    </xf>
    <xf numFmtId="0" fontId="31" fillId="0" borderId="0" xfId="0" applyFont="1" applyAlignment="1">
      <alignment horizontal="center"/>
    </xf>
    <xf numFmtId="0" fontId="28" fillId="0" borderId="57" xfId="0" applyFont="1" applyBorder="1" applyAlignment="1">
      <alignment horizontal="center" vertical="center"/>
    </xf>
    <xf numFmtId="0" fontId="28" fillId="0" borderId="58" xfId="0" applyFont="1" applyBorder="1" applyAlignment="1">
      <alignment horizontal="center" vertical="center"/>
    </xf>
    <xf numFmtId="0" fontId="28" fillId="0" borderId="59" xfId="0" applyFont="1" applyBorder="1" applyAlignment="1">
      <alignment horizontal="center" vertical="center"/>
    </xf>
    <xf numFmtId="0" fontId="29" fillId="0" borderId="57" xfId="0" applyFont="1" applyBorder="1" applyAlignment="1">
      <alignment horizontal="center" wrapText="1"/>
    </xf>
    <xf numFmtId="0" fontId="29" fillId="0" borderId="58" xfId="0" applyFont="1" applyBorder="1" applyAlignment="1">
      <alignment horizontal="center" wrapText="1"/>
    </xf>
    <xf numFmtId="0" fontId="29" fillId="0" borderId="59" xfId="0" applyFont="1" applyBorder="1" applyAlignment="1">
      <alignment horizontal="center" wrapText="1"/>
    </xf>
    <xf numFmtId="0" fontId="29" fillId="0" borderId="0" xfId="0" applyFont="1" applyAlignment="1">
      <alignment horizontal="center"/>
    </xf>
    <xf numFmtId="0" fontId="12" fillId="0" borderId="0" xfId="56" applyFont="1" applyBorder="1" applyAlignment="1">
      <alignment horizontal="center"/>
      <protection/>
    </xf>
    <xf numFmtId="0" fontId="5" fillId="0" borderId="0" xfId="56" applyFont="1" applyBorder="1" applyAlignment="1">
      <alignment horizontal="center"/>
      <protection/>
    </xf>
    <xf numFmtId="0" fontId="34" fillId="0" borderId="0" xfId="0" applyFont="1" applyAlignment="1">
      <alignment horizontal="center"/>
    </xf>
    <xf numFmtId="0" fontId="12" fillId="0" borderId="11" xfId="57" applyFont="1" applyBorder="1" applyAlignment="1">
      <alignment horizontal="center" vertical="center"/>
      <protection/>
    </xf>
    <xf numFmtId="0" fontId="12" fillId="0" borderId="13" xfId="57" applyFont="1" applyBorder="1" applyAlignment="1">
      <alignment horizontal="center" vertical="center"/>
      <protection/>
    </xf>
    <xf numFmtId="0" fontId="12" fillId="0" borderId="15" xfId="57" applyFont="1" applyBorder="1" applyAlignment="1">
      <alignment horizontal="center" vertical="center"/>
      <protection/>
    </xf>
    <xf numFmtId="0" fontId="6" fillId="0" borderId="0" xfId="57" applyFont="1" applyBorder="1" applyAlignment="1">
      <alignment horizontal="center"/>
      <protection/>
    </xf>
    <xf numFmtId="0" fontId="5" fillId="0" borderId="0" xfId="56" applyFont="1" applyBorder="1" applyAlignment="1">
      <alignment horizontal="center"/>
      <protection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_KTGV99" xfId="56"/>
    <cellStyle name="Normál_mérleg" xfId="57"/>
    <cellStyle name="Normál_PHKV99" xfId="58"/>
    <cellStyle name="Normál_SIKONC99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8:U63"/>
  <sheetViews>
    <sheetView zoomScalePageLayoutView="0" workbookViewId="0" topLeftCell="C37">
      <selection activeCell="P45" sqref="P45:S45"/>
    </sheetView>
  </sheetViews>
  <sheetFormatPr defaultColWidth="9.00390625" defaultRowHeight="12.75"/>
  <cols>
    <col min="1" max="1" width="12.125" style="1" customWidth="1"/>
    <col min="2" max="2" width="11.25390625" style="1" bestFit="1" customWidth="1"/>
    <col min="3" max="12" width="9.125" style="1" customWidth="1"/>
    <col min="13" max="13" width="9.875" style="1" bestFit="1" customWidth="1"/>
    <col min="14" max="16384" width="9.125" style="1" customWidth="1"/>
  </cols>
  <sheetData>
    <row r="38" spans="2:10" ht="27.75">
      <c r="B38" s="2"/>
      <c r="C38" s="3"/>
      <c r="D38" s="3"/>
      <c r="E38" s="3"/>
      <c r="F38" s="3"/>
      <c r="G38" s="3"/>
      <c r="H38" s="3"/>
      <c r="I38" s="3"/>
      <c r="J38" s="2"/>
    </row>
    <row r="39" spans="9:21" ht="27.75">
      <c r="I39" s="57"/>
      <c r="J39" s="2"/>
      <c r="N39" s="359" t="s">
        <v>3</v>
      </c>
      <c r="O39" s="359"/>
      <c r="P39" s="359"/>
      <c r="Q39" s="359"/>
      <c r="R39" s="359"/>
      <c r="S39" s="359"/>
      <c r="T39" s="359"/>
      <c r="U39" s="359"/>
    </row>
    <row r="40" spans="9:21" ht="2.25" customHeight="1">
      <c r="I40" s="3"/>
      <c r="J40" s="2"/>
      <c r="O40" s="2"/>
      <c r="P40" s="3"/>
      <c r="Q40" s="3"/>
      <c r="R40" s="3"/>
      <c r="S40" s="3"/>
      <c r="T40" s="3"/>
      <c r="U40" s="3"/>
    </row>
    <row r="41" spans="9:21" ht="27.75">
      <c r="I41" s="50"/>
      <c r="J41" s="2"/>
      <c r="N41" s="359" t="s">
        <v>369</v>
      </c>
      <c r="O41" s="359"/>
      <c r="P41" s="359"/>
      <c r="Q41" s="359"/>
      <c r="R41" s="359"/>
      <c r="S41" s="359"/>
      <c r="T41" s="359"/>
      <c r="U41" s="359"/>
    </row>
    <row r="42" spans="9:21" ht="12.75" customHeight="1" hidden="1">
      <c r="I42" s="3"/>
      <c r="J42" s="2"/>
      <c r="O42" s="2"/>
      <c r="P42" s="3"/>
      <c r="Q42" s="3"/>
      <c r="R42" s="3"/>
      <c r="S42" s="3"/>
      <c r="T42" s="3"/>
      <c r="U42" s="3"/>
    </row>
    <row r="43" spans="9:21" ht="27.75">
      <c r="I43" s="50"/>
      <c r="J43" s="2"/>
      <c r="N43" s="359" t="s">
        <v>368</v>
      </c>
      <c r="O43" s="359"/>
      <c r="P43" s="359"/>
      <c r="Q43" s="359"/>
      <c r="R43" s="359"/>
      <c r="S43" s="359"/>
      <c r="T43" s="359"/>
      <c r="U43" s="359"/>
    </row>
    <row r="44" spans="2:20" ht="27.75">
      <c r="B44" s="2"/>
      <c r="C44" s="3"/>
      <c r="D44" s="3"/>
      <c r="E44" s="3"/>
      <c r="F44" s="3"/>
      <c r="G44" s="3"/>
      <c r="H44" s="3"/>
      <c r="I44" s="3"/>
      <c r="J44" s="2"/>
      <c r="O44" s="362" t="s">
        <v>424</v>
      </c>
      <c r="P44" s="363"/>
      <c r="Q44" s="363"/>
      <c r="R44" s="363"/>
      <c r="S44" s="363"/>
      <c r="T44" s="363"/>
    </row>
    <row r="45" spans="2:19" ht="27.75">
      <c r="B45" s="2"/>
      <c r="C45" s="3"/>
      <c r="D45" s="3"/>
      <c r="E45" s="3"/>
      <c r="F45" s="3"/>
      <c r="G45" s="3"/>
      <c r="H45" s="3"/>
      <c r="I45" s="3"/>
      <c r="J45" s="2"/>
      <c r="P45" s="360"/>
      <c r="Q45" s="361"/>
      <c r="R45" s="361"/>
      <c r="S45" s="361"/>
    </row>
    <row r="46" spans="2:15" ht="27.75">
      <c r="B46" s="2"/>
      <c r="C46" s="2"/>
      <c r="D46" s="2"/>
      <c r="E46" s="2"/>
      <c r="F46" s="2"/>
      <c r="G46" s="2"/>
      <c r="H46" s="2"/>
      <c r="I46" s="2"/>
      <c r="J46" s="2"/>
      <c r="L46" s="58"/>
      <c r="M46" s="287"/>
      <c r="N46" s="14"/>
      <c r="O46" s="182"/>
    </row>
    <row r="47" spans="1:10" ht="27.75">
      <c r="A47" s="58"/>
      <c r="B47" s="59"/>
      <c r="C47" s="2"/>
      <c r="D47" s="2"/>
      <c r="E47" s="2"/>
      <c r="F47" s="2"/>
      <c r="G47" s="2"/>
      <c r="H47" s="2"/>
      <c r="I47" s="2"/>
      <c r="J47" s="2"/>
    </row>
    <row r="48" spans="2:10" ht="27.75">
      <c r="B48" s="2"/>
      <c r="C48" s="2"/>
      <c r="D48" s="2"/>
      <c r="E48" s="2"/>
      <c r="F48" s="2"/>
      <c r="G48" s="2"/>
      <c r="H48" s="2"/>
      <c r="I48" s="2"/>
      <c r="J48" s="2"/>
    </row>
    <row r="49" spans="2:10" ht="27.75">
      <c r="B49" s="2"/>
      <c r="C49" s="2"/>
      <c r="D49" s="2"/>
      <c r="E49" s="2"/>
      <c r="F49" s="2"/>
      <c r="G49" s="2"/>
      <c r="H49" s="2"/>
      <c r="I49" s="2"/>
      <c r="J49" s="2"/>
    </row>
    <row r="50" spans="2:10" ht="27.75">
      <c r="B50" s="2"/>
      <c r="C50" s="2"/>
      <c r="D50" s="2"/>
      <c r="E50" s="2"/>
      <c r="F50" s="2"/>
      <c r="G50" s="2"/>
      <c r="H50" s="2"/>
      <c r="I50" s="2"/>
      <c r="J50" s="2"/>
    </row>
    <row r="51" spans="2:10" ht="27.75">
      <c r="B51" s="2"/>
      <c r="C51" s="2"/>
      <c r="D51" s="2"/>
      <c r="E51" s="2"/>
      <c r="F51" s="2"/>
      <c r="G51" s="2"/>
      <c r="H51" s="2"/>
      <c r="I51" s="2"/>
      <c r="J51" s="2"/>
    </row>
    <row r="52" spans="2:10" ht="27.75">
      <c r="B52" s="2"/>
      <c r="C52" s="2"/>
      <c r="D52" s="2"/>
      <c r="E52" s="2"/>
      <c r="F52" s="2"/>
      <c r="G52" s="2"/>
      <c r="H52" s="2"/>
      <c r="I52" s="2"/>
      <c r="J52" s="2"/>
    </row>
    <row r="53" spans="2:10" ht="27.75">
      <c r="B53" s="2"/>
      <c r="C53" s="2"/>
      <c r="D53" s="2"/>
      <c r="E53" s="2"/>
      <c r="F53" s="2"/>
      <c r="G53" s="2"/>
      <c r="H53" s="2"/>
      <c r="I53" s="2"/>
      <c r="J53" s="2"/>
    </row>
    <row r="54" spans="2:10" ht="27.75">
      <c r="B54" s="2"/>
      <c r="C54" s="2"/>
      <c r="D54" s="2"/>
      <c r="E54" s="2"/>
      <c r="F54" s="2"/>
      <c r="G54" s="2"/>
      <c r="H54" s="2"/>
      <c r="I54" s="2"/>
      <c r="J54" s="2"/>
    </row>
    <row r="55" spans="2:10" ht="27.75">
      <c r="B55" s="2"/>
      <c r="C55" s="2"/>
      <c r="D55" s="2"/>
      <c r="E55" s="2"/>
      <c r="F55" s="2"/>
      <c r="G55" s="2"/>
      <c r="H55" s="2"/>
      <c r="I55" s="2"/>
      <c r="J55" s="2"/>
    </row>
    <row r="56" spans="2:10" ht="27.75">
      <c r="B56" s="2"/>
      <c r="C56" s="2"/>
      <c r="D56" s="2"/>
      <c r="E56" s="2"/>
      <c r="F56" s="2"/>
      <c r="G56" s="2"/>
      <c r="H56" s="2"/>
      <c r="I56" s="2"/>
      <c r="J56" s="2"/>
    </row>
    <row r="57" spans="2:10" ht="27.75">
      <c r="B57" s="2"/>
      <c r="C57" s="2"/>
      <c r="D57" s="2"/>
      <c r="E57" s="2"/>
      <c r="F57" s="2"/>
      <c r="G57" s="2"/>
      <c r="H57" s="2"/>
      <c r="I57" s="2"/>
      <c r="J57" s="2"/>
    </row>
    <row r="58" spans="2:10" ht="27.75">
      <c r="B58" s="2"/>
      <c r="C58" s="2"/>
      <c r="D58" s="2"/>
      <c r="E58" s="2"/>
      <c r="F58" s="2"/>
      <c r="G58" s="2"/>
      <c r="H58" s="2"/>
      <c r="I58" s="2"/>
      <c r="J58" s="2"/>
    </row>
    <row r="59" spans="2:10" ht="27.75">
      <c r="B59" s="2"/>
      <c r="C59" s="2"/>
      <c r="D59" s="2"/>
      <c r="E59" s="2"/>
      <c r="F59" s="2"/>
      <c r="G59" s="2"/>
      <c r="H59" s="2"/>
      <c r="I59" s="2"/>
      <c r="J59" s="2"/>
    </row>
    <row r="60" spans="2:10" ht="27.75">
      <c r="B60" s="2"/>
      <c r="C60" s="2"/>
      <c r="D60" s="2"/>
      <c r="E60" s="2"/>
      <c r="F60" s="2"/>
      <c r="G60" s="2"/>
      <c r="H60" s="2"/>
      <c r="I60" s="2"/>
      <c r="J60" s="2"/>
    </row>
    <row r="61" spans="2:10" ht="27.75">
      <c r="B61" s="2"/>
      <c r="C61" s="2"/>
      <c r="D61" s="2"/>
      <c r="E61" s="2"/>
      <c r="F61" s="2"/>
      <c r="G61" s="2"/>
      <c r="H61" s="2"/>
      <c r="I61" s="2"/>
      <c r="J61" s="2"/>
    </row>
    <row r="62" spans="2:10" ht="27.75">
      <c r="B62" s="2"/>
      <c r="C62" s="2"/>
      <c r="D62" s="2"/>
      <c r="E62" s="2"/>
      <c r="F62" s="2"/>
      <c r="G62" s="2"/>
      <c r="H62" s="2"/>
      <c r="I62" s="2"/>
      <c r="J62" s="2"/>
    </row>
    <row r="63" spans="2:10" ht="27.75">
      <c r="B63" s="2"/>
      <c r="C63" s="2"/>
      <c r="D63" s="2"/>
      <c r="E63" s="2"/>
      <c r="F63" s="2"/>
      <c r="G63" s="2"/>
      <c r="H63" s="2"/>
      <c r="I63" s="2"/>
      <c r="J63" s="2"/>
    </row>
  </sheetData>
  <sheetProtection/>
  <mergeCells count="5">
    <mergeCell ref="N39:U39"/>
    <mergeCell ref="N41:U41"/>
    <mergeCell ref="N43:U43"/>
    <mergeCell ref="P45:S45"/>
    <mergeCell ref="O44:T44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K26"/>
  <sheetViews>
    <sheetView zoomScalePageLayoutView="0" workbookViewId="0" topLeftCell="A1">
      <selection activeCell="A3" sqref="A3"/>
    </sheetView>
  </sheetViews>
  <sheetFormatPr defaultColWidth="9.00390625" defaultRowHeight="12.75"/>
  <cols>
    <col min="1" max="1" width="69.25390625" style="0" customWidth="1"/>
    <col min="2" max="2" width="12.375" style="0" customWidth="1"/>
  </cols>
  <sheetData>
    <row r="3" ht="12.75">
      <c r="A3" t="s">
        <v>447</v>
      </c>
    </row>
    <row r="5" ht="12.75">
      <c r="A5" t="s">
        <v>433</v>
      </c>
    </row>
    <row r="7" spans="1:2" ht="12.75">
      <c r="A7" s="484"/>
      <c r="B7" s="456"/>
    </row>
    <row r="8" spans="1:11" ht="12.75">
      <c r="A8" s="484" t="s">
        <v>38</v>
      </c>
      <c r="B8" s="380"/>
      <c r="K8" s="312"/>
    </row>
    <row r="9" spans="1:2" ht="12.75">
      <c r="A9" s="484" t="s">
        <v>400</v>
      </c>
      <c r="B9" s="380"/>
    </row>
    <row r="10" spans="1:2" ht="12.75">
      <c r="A10" s="484" t="s">
        <v>371</v>
      </c>
      <c r="B10" s="380"/>
    </row>
    <row r="11" ht="13.5" thickBot="1"/>
    <row r="12" spans="1:2" ht="13.5" thickTop="1">
      <c r="A12" s="478" t="s">
        <v>0</v>
      </c>
      <c r="B12" s="481" t="s">
        <v>419</v>
      </c>
    </row>
    <row r="13" spans="1:2" ht="12.75">
      <c r="A13" s="479"/>
      <c r="B13" s="482"/>
    </row>
    <row r="14" spans="1:2" ht="13.5" thickBot="1">
      <c r="A14" s="480"/>
      <c r="B14" s="483"/>
    </row>
    <row r="15" ht="13.5" thickTop="1"/>
    <row r="16" ht="12.75">
      <c r="A16" s="313" t="s">
        <v>403</v>
      </c>
    </row>
    <row r="18" spans="1:3" ht="12.75">
      <c r="A18" t="s">
        <v>404</v>
      </c>
      <c r="C18" s="312"/>
    </row>
    <row r="19" spans="1:3" ht="33" customHeight="1">
      <c r="A19" s="317" t="s">
        <v>405</v>
      </c>
      <c r="B19" s="317"/>
      <c r="C19" s="317"/>
    </row>
    <row r="20" spans="1:2" ht="19.5" customHeight="1">
      <c r="A20" s="314" t="s">
        <v>406</v>
      </c>
      <c r="B20">
        <v>18272000</v>
      </c>
    </row>
    <row r="21" spans="1:2" ht="18.75" customHeight="1">
      <c r="A21" t="s">
        <v>407</v>
      </c>
      <c r="B21">
        <v>4933000</v>
      </c>
    </row>
    <row r="22" spans="1:2" ht="18.75" customHeight="1">
      <c r="A22" s="315" t="s">
        <v>401</v>
      </c>
      <c r="B22" s="316">
        <f>B20+B21</f>
        <v>23205000</v>
      </c>
    </row>
    <row r="26" spans="1:2" s="315" customFormat="1" ht="12.75">
      <c r="A26" s="315" t="s">
        <v>402</v>
      </c>
      <c r="B26" s="316">
        <f>B22</f>
        <v>23205000</v>
      </c>
    </row>
  </sheetData>
  <sheetProtection/>
  <mergeCells count="6">
    <mergeCell ref="A12:A14"/>
    <mergeCell ref="B12:B14"/>
    <mergeCell ref="A8:B8"/>
    <mergeCell ref="A9:B9"/>
    <mergeCell ref="A10:B10"/>
    <mergeCell ref="A7:B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8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5.75390625" style="8" customWidth="1"/>
    <col min="2" max="2" width="74.00390625" style="8" customWidth="1"/>
    <col min="3" max="3" width="21.00390625" style="146" customWidth="1"/>
    <col min="4" max="4" width="9.125" style="8" customWidth="1"/>
    <col min="5" max="5" width="12.625" style="8" bestFit="1" customWidth="1"/>
    <col min="6" max="6" width="14.25390625" style="8" bestFit="1" customWidth="1"/>
    <col min="7" max="16384" width="9.125" style="8" customWidth="1"/>
  </cols>
  <sheetData>
    <row r="1" spans="1:3" ht="15.75">
      <c r="A1" s="212" t="s">
        <v>448</v>
      </c>
      <c r="B1" s="212"/>
      <c r="C1" s="78"/>
    </row>
    <row r="2" s="139" customFormat="1" ht="15.75">
      <c r="C2" s="145"/>
    </row>
    <row r="3" spans="1:3" s="122" customFormat="1" ht="15">
      <c r="A3" s="212" t="s">
        <v>434</v>
      </c>
      <c r="B3" s="71"/>
      <c r="C3" s="71"/>
    </row>
    <row r="4" spans="1:3" s="122" customFormat="1" ht="15">
      <c r="A4" s="212"/>
      <c r="B4" s="71"/>
      <c r="C4" s="71"/>
    </row>
    <row r="5" spans="1:3" s="122" customFormat="1" ht="15">
      <c r="A5" s="470"/>
      <c r="B5" s="487"/>
      <c r="C5" s="487"/>
    </row>
    <row r="6" spans="1:3" ht="15.75">
      <c r="A6" s="475" t="s">
        <v>3</v>
      </c>
      <c r="B6" s="475"/>
      <c r="C6" s="475"/>
    </row>
    <row r="7" spans="1:3" ht="15.75">
      <c r="A7" s="378" t="s">
        <v>293</v>
      </c>
      <c r="B7" s="378"/>
      <c r="C7" s="378"/>
    </row>
    <row r="8" spans="1:3" ht="15.75">
      <c r="A8" s="378" t="s">
        <v>236</v>
      </c>
      <c r="B8" s="378"/>
      <c r="C8" s="378"/>
    </row>
    <row r="9" spans="1:3" ht="15.75">
      <c r="A9" s="378" t="s">
        <v>371</v>
      </c>
      <c r="B9" s="378"/>
      <c r="C9" s="378"/>
    </row>
    <row r="10" ht="16.5" thickBot="1"/>
    <row r="11" spans="1:3" ht="15.75">
      <c r="A11" s="148" t="s">
        <v>39</v>
      </c>
      <c r="B11" s="141"/>
      <c r="C11" s="149" t="s">
        <v>12</v>
      </c>
    </row>
    <row r="12" spans="1:3" ht="15.75">
      <c r="A12" s="142"/>
      <c r="B12" s="143" t="s">
        <v>0</v>
      </c>
      <c r="C12" s="150"/>
    </row>
    <row r="13" spans="1:3" ht="34.5" customHeight="1" thickBot="1">
      <c r="A13" s="144" t="s">
        <v>40</v>
      </c>
      <c r="B13" s="151"/>
      <c r="C13" s="152" t="s">
        <v>7</v>
      </c>
    </row>
    <row r="14" spans="2:4" ht="34.5" customHeight="1">
      <c r="B14" s="307"/>
      <c r="C14" s="308"/>
      <c r="D14" s="309"/>
    </row>
    <row r="15" spans="1:3" ht="20.25" customHeight="1">
      <c r="A15" s="492" t="s">
        <v>237</v>
      </c>
      <c r="B15" s="492"/>
      <c r="C15" s="492"/>
    </row>
    <row r="16" spans="1:3" ht="20.25" customHeight="1">
      <c r="A16" s="153" t="s">
        <v>41</v>
      </c>
      <c r="B16" s="154" t="s">
        <v>238</v>
      </c>
      <c r="C16" s="155"/>
    </row>
    <row r="17" spans="1:3" ht="20.25" customHeight="1">
      <c r="A17" s="153"/>
      <c r="B17" s="22" t="s">
        <v>239</v>
      </c>
      <c r="C17" s="155">
        <v>28626632</v>
      </c>
    </row>
    <row r="18" spans="1:5" ht="20.25" customHeight="1">
      <c r="A18" s="153"/>
      <c r="B18" s="84" t="s">
        <v>240</v>
      </c>
      <c r="C18" s="155">
        <f>46000+756671</f>
        <v>802671</v>
      </c>
      <c r="D18" s="81"/>
      <c r="E18" s="81"/>
    </row>
    <row r="19" spans="1:3" ht="20.25" customHeight="1">
      <c r="A19" s="153" t="s">
        <v>21</v>
      </c>
      <c r="B19" s="154" t="s">
        <v>241</v>
      </c>
      <c r="C19" s="155">
        <f>7808000+5000</f>
        <v>7813000</v>
      </c>
    </row>
    <row r="20" spans="1:3" ht="20.25" customHeight="1">
      <c r="A20" s="153" t="s">
        <v>42</v>
      </c>
      <c r="B20" s="154" t="s">
        <v>242</v>
      </c>
      <c r="C20" s="155">
        <v>10908000</v>
      </c>
    </row>
    <row r="21" spans="1:3" ht="20.25" customHeight="1">
      <c r="A21" s="153" t="s">
        <v>94</v>
      </c>
      <c r="B21" s="156" t="s">
        <v>243</v>
      </c>
      <c r="C21" s="155"/>
    </row>
    <row r="22" spans="1:5" ht="36" customHeight="1">
      <c r="A22" s="153"/>
      <c r="B22" s="84" t="s">
        <v>244</v>
      </c>
      <c r="C22" s="155"/>
      <c r="D22" s="84"/>
      <c r="E22" s="84"/>
    </row>
    <row r="23" spans="1:3" ht="20.25" customHeight="1">
      <c r="A23" s="153"/>
      <c r="B23" s="22" t="s">
        <v>245</v>
      </c>
      <c r="C23" s="155"/>
    </row>
    <row r="24" spans="1:3" ht="36" customHeight="1">
      <c r="A24" s="157"/>
      <c r="B24" s="158" t="s">
        <v>246</v>
      </c>
      <c r="C24" s="159">
        <f>SUM(C17:C23)</f>
        <v>48150303</v>
      </c>
    </row>
    <row r="25" spans="1:3" ht="21" customHeight="1">
      <c r="A25" s="147" t="s">
        <v>96</v>
      </c>
      <c r="B25" s="154" t="s">
        <v>247</v>
      </c>
      <c r="C25" s="25">
        <f>16287000+950760</f>
        <v>17237760</v>
      </c>
    </row>
    <row r="26" spans="1:3" ht="21" customHeight="1">
      <c r="A26" s="147" t="s">
        <v>102</v>
      </c>
      <c r="B26" s="154" t="s">
        <v>248</v>
      </c>
      <c r="C26" s="25">
        <f>4524000+145007</f>
        <v>4669007</v>
      </c>
    </row>
    <row r="27" spans="1:3" ht="21" customHeight="1">
      <c r="A27" s="147" t="s">
        <v>249</v>
      </c>
      <c r="B27" s="160" t="s">
        <v>250</v>
      </c>
      <c r="C27" s="25">
        <f>22513000+63508</f>
        <v>22576508</v>
      </c>
    </row>
    <row r="28" spans="1:3" ht="21" customHeight="1">
      <c r="A28" s="147" t="s">
        <v>251</v>
      </c>
      <c r="B28" s="160" t="s">
        <v>252</v>
      </c>
      <c r="C28" s="25">
        <v>3361000</v>
      </c>
    </row>
    <row r="29" spans="1:3" ht="21" customHeight="1">
      <c r="A29" s="147" t="s">
        <v>253</v>
      </c>
      <c r="B29" s="160" t="s">
        <v>254</v>
      </c>
      <c r="C29" s="25"/>
    </row>
    <row r="30" spans="1:3" ht="32.25" customHeight="1">
      <c r="A30" s="147"/>
      <c r="B30" s="84" t="s">
        <v>255</v>
      </c>
      <c r="C30" s="162">
        <v>884145</v>
      </c>
    </row>
    <row r="31" spans="1:3" ht="15.75">
      <c r="A31" s="147"/>
      <c r="B31" s="161" t="s">
        <v>256</v>
      </c>
      <c r="C31" s="162">
        <v>1127000</v>
      </c>
    </row>
    <row r="32" spans="1:5" ht="15.75">
      <c r="A32" s="147"/>
      <c r="B32" s="161" t="s">
        <v>257</v>
      </c>
      <c r="C32" s="146">
        <v>40789124</v>
      </c>
      <c r="E32" s="86"/>
    </row>
    <row r="33" spans="1:6" ht="33.75" customHeight="1">
      <c r="A33" s="157"/>
      <c r="B33" s="158" t="s">
        <v>258</v>
      </c>
      <c r="C33" s="159">
        <f>SUM(C25:C32)</f>
        <v>90644544</v>
      </c>
      <c r="E33" s="86"/>
      <c r="F33" s="86"/>
    </row>
    <row r="34" spans="1:6" ht="33.75" customHeight="1">
      <c r="A34" s="153"/>
      <c r="B34" s="154"/>
      <c r="C34" s="155"/>
      <c r="E34" s="86"/>
      <c r="F34" s="86"/>
    </row>
    <row r="35" spans="1:6" ht="33.75" customHeight="1">
      <c r="A35" s="153"/>
      <c r="B35" s="154"/>
      <c r="C35" s="155"/>
      <c r="E35" s="86"/>
      <c r="F35" s="86"/>
    </row>
    <row r="36" spans="1:3" ht="15.75">
      <c r="A36" s="373">
        <v>2</v>
      </c>
      <c r="B36" s="373"/>
      <c r="C36" s="373"/>
    </row>
    <row r="37" spans="1:3" ht="16.5" thickBot="1">
      <c r="A37" s="288"/>
      <c r="B37" s="288"/>
      <c r="C37" s="288"/>
    </row>
    <row r="38" spans="1:3" ht="15.75">
      <c r="A38" s="148" t="s">
        <v>39</v>
      </c>
      <c r="B38" s="141"/>
      <c r="C38" s="149" t="s">
        <v>12</v>
      </c>
    </row>
    <row r="39" spans="1:3" ht="15.75">
      <c r="A39" s="142"/>
      <c r="B39" s="143" t="s">
        <v>0</v>
      </c>
      <c r="C39" s="150"/>
    </row>
    <row r="40" spans="1:3" ht="31.5" customHeight="1" thickBot="1">
      <c r="A40" s="144" t="s">
        <v>40</v>
      </c>
      <c r="B40" s="151"/>
      <c r="C40" s="152" t="s">
        <v>7</v>
      </c>
    </row>
    <row r="41" spans="1:3" ht="31.5" customHeight="1">
      <c r="A41" s="168"/>
      <c r="B41" s="306"/>
      <c r="C41" s="180"/>
    </row>
    <row r="42" spans="1:3" ht="21" customHeight="1">
      <c r="A42" s="486" t="s">
        <v>259</v>
      </c>
      <c r="B42" s="486"/>
      <c r="C42" s="486"/>
    </row>
    <row r="43" spans="1:2" ht="21" customHeight="1">
      <c r="A43" s="147" t="s">
        <v>260</v>
      </c>
      <c r="B43" s="62" t="s">
        <v>261</v>
      </c>
    </row>
    <row r="44" spans="1:2" ht="21" customHeight="1">
      <c r="A44" s="147" t="s">
        <v>262</v>
      </c>
      <c r="B44" s="62" t="s">
        <v>263</v>
      </c>
    </row>
    <row r="45" spans="1:2" ht="21" customHeight="1">
      <c r="A45" s="147" t="s">
        <v>264</v>
      </c>
      <c r="B45" s="156" t="s">
        <v>265</v>
      </c>
    </row>
    <row r="46" spans="1:3" ht="31.5" customHeight="1">
      <c r="A46" s="147"/>
      <c r="B46" s="114" t="s">
        <v>266</v>
      </c>
      <c r="C46" s="146">
        <v>62000</v>
      </c>
    </row>
    <row r="47" spans="1:2" ht="21" customHeight="1">
      <c r="A47" s="147"/>
      <c r="B47" s="48" t="s">
        <v>267</v>
      </c>
    </row>
    <row r="48" spans="1:5" ht="39.75" customHeight="1">
      <c r="A48" s="157"/>
      <c r="B48" s="158" t="s">
        <v>268</v>
      </c>
      <c r="C48" s="159">
        <f>SUM(C43:C47)</f>
        <v>62000</v>
      </c>
      <c r="E48" s="86"/>
    </row>
    <row r="49" spans="1:3" ht="21" customHeight="1">
      <c r="A49" s="147" t="s">
        <v>269</v>
      </c>
      <c r="B49" s="62" t="s">
        <v>270</v>
      </c>
      <c r="C49" s="146">
        <f>848000+2000000</f>
        <v>2848000</v>
      </c>
    </row>
    <row r="50" spans="1:3" ht="21" customHeight="1">
      <c r="A50" s="147" t="s">
        <v>271</v>
      </c>
      <c r="B50" s="62" t="s">
        <v>272</v>
      </c>
      <c r="C50" s="146">
        <v>23205000</v>
      </c>
    </row>
    <row r="51" spans="1:2" ht="21" customHeight="1">
      <c r="A51" s="147" t="s">
        <v>273</v>
      </c>
      <c r="B51" s="156" t="s">
        <v>274</v>
      </c>
    </row>
    <row r="52" spans="1:3" ht="21" customHeight="1">
      <c r="A52" s="147"/>
      <c r="B52" s="161" t="s">
        <v>275</v>
      </c>
      <c r="C52" s="146">
        <v>600000</v>
      </c>
    </row>
    <row r="53" spans="1:2" ht="21" customHeight="1">
      <c r="A53" s="147"/>
      <c r="B53" s="161" t="s">
        <v>257</v>
      </c>
    </row>
    <row r="54" spans="1:6" s="9" customFormat="1" ht="42" customHeight="1" thickBot="1">
      <c r="A54" s="157"/>
      <c r="B54" s="158" t="s">
        <v>276</v>
      </c>
      <c r="C54" s="159">
        <f>SUM(C49:C53)</f>
        <v>26653000</v>
      </c>
      <c r="F54" s="163"/>
    </row>
    <row r="55" spans="1:3" s="9" customFormat="1" ht="35.25" customHeight="1" thickBot="1">
      <c r="A55" s="164"/>
      <c r="B55" s="165" t="s">
        <v>277</v>
      </c>
      <c r="C55" s="166">
        <f>C24+C48</f>
        <v>48212303</v>
      </c>
    </row>
    <row r="56" spans="1:6" s="9" customFormat="1" ht="35.25" customHeight="1" thickBot="1">
      <c r="A56" s="164"/>
      <c r="B56" s="165" t="s">
        <v>278</v>
      </c>
      <c r="C56" s="166">
        <f>C33+C54</f>
        <v>117297544</v>
      </c>
      <c r="F56" s="163"/>
    </row>
    <row r="57" spans="1:3" s="9" customFormat="1" ht="15.75">
      <c r="A57" s="167"/>
      <c r="B57" s="168"/>
      <c r="C57" s="169"/>
    </row>
    <row r="62" spans="1:3" s="170" customFormat="1" ht="15.75">
      <c r="A62" s="168"/>
      <c r="B62" s="179"/>
      <c r="C62" s="180"/>
    </row>
    <row r="63" spans="1:3" s="170" customFormat="1" ht="15.75">
      <c r="A63" s="168"/>
      <c r="B63" s="179"/>
      <c r="C63" s="180"/>
    </row>
    <row r="64" spans="1:3" s="170" customFormat="1" ht="15.75">
      <c r="A64" s="168"/>
      <c r="B64" s="179"/>
      <c r="C64" s="180"/>
    </row>
    <row r="65" spans="1:3" s="170" customFormat="1" ht="15.75">
      <c r="A65" s="168"/>
      <c r="B65" s="179"/>
      <c r="C65" s="180"/>
    </row>
    <row r="66" spans="1:3" s="170" customFormat="1" ht="15.75">
      <c r="A66" s="485">
        <v>3</v>
      </c>
      <c r="B66" s="485"/>
      <c r="C66" s="485"/>
    </row>
    <row r="67" spans="1:3" s="170" customFormat="1" ht="16.5" thickBot="1">
      <c r="A67" s="310"/>
      <c r="B67" s="310"/>
      <c r="C67" s="310"/>
    </row>
    <row r="68" spans="1:3" s="170" customFormat="1" ht="19.5" customHeight="1">
      <c r="A68" s="148" t="s">
        <v>39</v>
      </c>
      <c r="B68" s="488" t="s">
        <v>0</v>
      </c>
      <c r="C68" s="149" t="s">
        <v>12</v>
      </c>
    </row>
    <row r="69" spans="1:3" s="170" customFormat="1" ht="15.75">
      <c r="A69" s="142"/>
      <c r="B69" s="489"/>
      <c r="C69" s="150"/>
    </row>
    <row r="70" spans="1:3" s="170" customFormat="1" ht="16.5" thickBot="1">
      <c r="A70" s="144" t="s">
        <v>40</v>
      </c>
      <c r="B70" s="490"/>
      <c r="C70" s="152" t="s">
        <v>7</v>
      </c>
    </row>
    <row r="71" spans="1:3" s="170" customFormat="1" ht="15.75">
      <c r="A71" s="168"/>
      <c r="B71" s="179"/>
      <c r="C71" s="180"/>
    </row>
    <row r="72" spans="1:3" ht="20.25" customHeight="1">
      <c r="A72" s="491" t="s">
        <v>279</v>
      </c>
      <c r="B72" s="491"/>
      <c r="C72" s="491"/>
    </row>
    <row r="73" spans="1:3" ht="20.25" customHeight="1">
      <c r="A73" s="171"/>
      <c r="B73" s="171"/>
      <c r="C73" s="171"/>
    </row>
    <row r="74" spans="1:3" ht="20.25" customHeight="1">
      <c r="A74" s="157" t="s">
        <v>280</v>
      </c>
      <c r="B74" s="172" t="s">
        <v>281</v>
      </c>
      <c r="C74" s="159">
        <f>26261000+2000000+42143000</f>
        <v>70404000</v>
      </c>
    </row>
    <row r="75" spans="1:3" ht="21" customHeight="1">
      <c r="A75" s="157"/>
      <c r="B75" s="158" t="s">
        <v>282</v>
      </c>
      <c r="C75" s="173">
        <f>SUM(C74:C74)</f>
        <v>70404000</v>
      </c>
    </row>
    <row r="76" spans="1:3" ht="21" customHeight="1">
      <c r="A76" s="153" t="s">
        <v>283</v>
      </c>
      <c r="B76" s="158" t="s">
        <v>396</v>
      </c>
      <c r="C76" s="173">
        <f>1139077+179682</f>
        <v>1318759</v>
      </c>
    </row>
    <row r="77" spans="1:3" ht="15.75">
      <c r="A77" s="153" t="s">
        <v>285</v>
      </c>
      <c r="B77" s="172" t="s">
        <v>284</v>
      </c>
      <c r="C77" s="159"/>
    </row>
    <row r="78" spans="1:3" ht="15.75">
      <c r="A78" s="147" t="s">
        <v>354</v>
      </c>
      <c r="B78" s="172" t="s">
        <v>286</v>
      </c>
      <c r="C78" s="159"/>
    </row>
    <row r="79" spans="1:3" s="174" customFormat="1" ht="30" customHeight="1" thickBot="1">
      <c r="A79" s="157"/>
      <c r="B79" s="158" t="s">
        <v>287</v>
      </c>
      <c r="C79" s="159">
        <f>SUM(C76:C78)</f>
        <v>1318759</v>
      </c>
    </row>
    <row r="80" spans="1:5" s="174" customFormat="1" ht="30" customHeight="1" thickBot="1">
      <c r="A80" s="175"/>
      <c r="B80" s="176" t="s">
        <v>288</v>
      </c>
      <c r="C80" s="177">
        <f>C55+C75</f>
        <v>118616303</v>
      </c>
      <c r="E80" s="178"/>
    </row>
    <row r="81" spans="1:5" ht="35.25" customHeight="1" thickBot="1">
      <c r="A81" s="175"/>
      <c r="B81" s="176" t="s">
        <v>289</v>
      </c>
      <c r="C81" s="177">
        <f>C56+C79</f>
        <v>118616303</v>
      </c>
      <c r="E81" s="178"/>
    </row>
  </sheetData>
  <sheetProtection/>
  <mergeCells count="11">
    <mergeCell ref="A72:C72"/>
    <mergeCell ref="A7:C7"/>
    <mergeCell ref="A8:C8"/>
    <mergeCell ref="A9:C9"/>
    <mergeCell ref="A15:C15"/>
    <mergeCell ref="A66:C66"/>
    <mergeCell ref="A36:C36"/>
    <mergeCell ref="A42:C42"/>
    <mergeCell ref="A5:C5"/>
    <mergeCell ref="A6:C6"/>
    <mergeCell ref="B68:B70"/>
  </mergeCells>
  <printOptions horizontalCentered="1"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55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5.125" style="48" customWidth="1"/>
    <col min="2" max="2" width="43.625" style="48" customWidth="1"/>
    <col min="3" max="14" width="15.375" style="25" customWidth="1"/>
    <col min="15" max="15" width="16.625" style="25" customWidth="1"/>
    <col min="16" max="16" width="12.625" style="48" bestFit="1" customWidth="1"/>
    <col min="17" max="16384" width="9.125" style="48" customWidth="1"/>
  </cols>
  <sheetData>
    <row r="2" spans="1:15" s="87" customFormat="1" ht="15.75">
      <c r="A2" s="87" t="s">
        <v>449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</row>
    <row r="4" spans="1:15" ht="15.75">
      <c r="A4" s="455" t="s">
        <v>435</v>
      </c>
      <c r="B4" s="380"/>
      <c r="C4" s="380"/>
      <c r="D4" s="380"/>
      <c r="E4" s="380"/>
      <c r="F4" s="380"/>
      <c r="G4" s="380"/>
      <c r="H4" s="380"/>
      <c r="I4" s="380"/>
      <c r="J4" s="380"/>
      <c r="K4" s="380"/>
      <c r="L4" s="380"/>
      <c r="M4" s="380"/>
      <c r="N4" s="380"/>
      <c r="O4" s="380"/>
    </row>
    <row r="5" spans="2:15" ht="15.75">
      <c r="B5" s="366"/>
      <c r="C5" s="366"/>
      <c r="D5" s="366"/>
      <c r="E5" s="366"/>
      <c r="F5" s="366"/>
      <c r="G5" s="366"/>
      <c r="H5" s="366"/>
      <c r="I5" s="366"/>
      <c r="J5" s="366"/>
      <c r="K5" s="366"/>
      <c r="L5" s="366"/>
      <c r="M5" s="366"/>
      <c r="N5" s="366"/>
      <c r="O5" s="366"/>
    </row>
    <row r="6" spans="2:15" ht="15.75">
      <c r="B6" s="366" t="s">
        <v>38</v>
      </c>
      <c r="C6" s="366"/>
      <c r="D6" s="366"/>
      <c r="E6" s="366"/>
      <c r="F6" s="366"/>
      <c r="G6" s="366"/>
      <c r="H6" s="366"/>
      <c r="I6" s="366"/>
      <c r="J6" s="366"/>
      <c r="K6" s="366"/>
      <c r="L6" s="366"/>
      <c r="M6" s="366"/>
      <c r="N6" s="366"/>
      <c r="O6" s="366"/>
    </row>
    <row r="7" spans="2:15" ht="15.75">
      <c r="B7" s="366" t="s">
        <v>319</v>
      </c>
      <c r="C7" s="366"/>
      <c r="D7" s="366"/>
      <c r="E7" s="366"/>
      <c r="F7" s="366"/>
      <c r="G7" s="366"/>
      <c r="H7" s="366"/>
      <c r="I7" s="366"/>
      <c r="J7" s="366"/>
      <c r="K7" s="366"/>
      <c r="L7" s="366"/>
      <c r="M7" s="366"/>
      <c r="N7" s="366"/>
      <c r="O7" s="366"/>
    </row>
    <row r="8" spans="2:15" ht="15.75">
      <c r="B8" s="366" t="s">
        <v>371</v>
      </c>
      <c r="C8" s="366"/>
      <c r="D8" s="366"/>
      <c r="E8" s="366"/>
      <c r="F8" s="366"/>
      <c r="G8" s="366"/>
      <c r="H8" s="366"/>
      <c r="I8" s="366"/>
      <c r="J8" s="366"/>
      <c r="K8" s="366"/>
      <c r="L8" s="366"/>
      <c r="M8" s="366"/>
      <c r="N8" s="366"/>
      <c r="O8" s="366"/>
    </row>
    <row r="9" spans="3:15" ht="16.5" thickBot="1">
      <c r="C9" s="26"/>
      <c r="D9" s="26"/>
      <c r="E9" s="26"/>
      <c r="F9" s="234"/>
      <c r="G9" s="26"/>
      <c r="H9" s="26"/>
      <c r="I9" s="26"/>
      <c r="J9" s="26"/>
      <c r="O9" s="235" t="s">
        <v>412</v>
      </c>
    </row>
    <row r="10" spans="1:15" ht="15.75">
      <c r="A10" s="236" t="s">
        <v>39</v>
      </c>
      <c r="B10" s="237"/>
      <c r="C10" s="238"/>
      <c r="D10" s="239"/>
      <c r="E10" s="240"/>
      <c r="F10" s="241"/>
      <c r="G10" s="241"/>
      <c r="H10" s="241"/>
      <c r="I10" s="241"/>
      <c r="J10" s="241"/>
      <c r="K10" s="242"/>
      <c r="L10" s="242"/>
      <c r="M10" s="242"/>
      <c r="N10" s="243"/>
      <c r="O10" s="244"/>
    </row>
    <row r="11" spans="1:15" ht="15.75">
      <c r="A11" s="245"/>
      <c r="B11" s="246" t="s">
        <v>0</v>
      </c>
      <c r="C11" s="93" t="s">
        <v>320</v>
      </c>
      <c r="D11" s="247" t="s">
        <v>321</v>
      </c>
      <c r="E11" s="248" t="s">
        <v>322</v>
      </c>
      <c r="F11" s="249" t="s">
        <v>323</v>
      </c>
      <c r="G11" s="249" t="s">
        <v>324</v>
      </c>
      <c r="H11" s="249" t="s">
        <v>325</v>
      </c>
      <c r="I11" s="249" t="s">
        <v>326</v>
      </c>
      <c r="J11" s="249" t="s">
        <v>327</v>
      </c>
      <c r="K11" s="249" t="s">
        <v>328</v>
      </c>
      <c r="L11" s="249" t="s">
        <v>329</v>
      </c>
      <c r="M11" s="249" t="s">
        <v>330</v>
      </c>
      <c r="N11" s="248" t="s">
        <v>331</v>
      </c>
      <c r="O11" s="150" t="s">
        <v>311</v>
      </c>
    </row>
    <row r="12" spans="1:15" ht="16.5" thickBot="1">
      <c r="A12" s="250" t="s">
        <v>40</v>
      </c>
      <c r="B12" s="251"/>
      <c r="C12" s="252"/>
      <c r="D12" s="253"/>
      <c r="E12" s="254"/>
      <c r="F12" s="255"/>
      <c r="G12" s="255"/>
      <c r="H12" s="255"/>
      <c r="I12" s="255"/>
      <c r="J12" s="255"/>
      <c r="K12" s="255"/>
      <c r="L12" s="255"/>
      <c r="M12" s="255"/>
      <c r="N12" s="254"/>
      <c r="O12" s="252"/>
    </row>
    <row r="13" spans="1:15" ht="28.5" customHeight="1">
      <c r="A13" s="256"/>
      <c r="B13" s="257" t="s">
        <v>332</v>
      </c>
      <c r="C13" s="258"/>
      <c r="D13" s="258"/>
      <c r="E13" s="258"/>
      <c r="F13" s="258"/>
      <c r="G13" s="258"/>
      <c r="H13" s="258"/>
      <c r="I13" s="258"/>
      <c r="J13" s="258"/>
      <c r="K13" s="258"/>
      <c r="L13" s="258"/>
      <c r="M13" s="258"/>
      <c r="N13" s="258"/>
      <c r="O13" s="259"/>
    </row>
    <row r="14" spans="1:15" ht="28.5" customHeight="1">
      <c r="A14" s="256" t="s">
        <v>41</v>
      </c>
      <c r="B14" s="257" t="s">
        <v>333</v>
      </c>
      <c r="C14" s="258"/>
      <c r="D14" s="258"/>
      <c r="E14" s="258"/>
      <c r="F14" s="258"/>
      <c r="G14" s="258"/>
      <c r="H14" s="258"/>
      <c r="I14" s="258"/>
      <c r="J14" s="258"/>
      <c r="K14" s="258"/>
      <c r="L14" s="258"/>
      <c r="M14" s="258"/>
      <c r="N14" s="258"/>
      <c r="O14" s="259"/>
    </row>
    <row r="15" spans="1:15" ht="28.5" customHeight="1">
      <c r="A15" s="256"/>
      <c r="B15" s="257" t="s">
        <v>334</v>
      </c>
      <c r="C15" s="258">
        <v>3515000</v>
      </c>
      <c r="D15" s="258">
        <v>2273000</v>
      </c>
      <c r="E15" s="258">
        <v>2273000</v>
      </c>
      <c r="F15" s="258">
        <v>2273000</v>
      </c>
      <c r="G15" s="258">
        <f>2273000+112611+21</f>
        <v>2385632</v>
      </c>
      <c r="H15" s="258">
        <v>2273000</v>
      </c>
      <c r="I15" s="258">
        <v>2273000</v>
      </c>
      <c r="J15" s="258">
        <v>2273000</v>
      </c>
      <c r="K15" s="258">
        <v>2272000</v>
      </c>
      <c r="L15" s="258">
        <v>2272000</v>
      </c>
      <c r="M15" s="258">
        <v>2272000</v>
      </c>
      <c r="N15" s="258">
        <v>2272000</v>
      </c>
      <c r="O15" s="259">
        <f>SUM(C15:N15)</f>
        <v>28626632</v>
      </c>
    </row>
    <row r="16" spans="1:15" ht="28.5" customHeight="1">
      <c r="A16" s="256"/>
      <c r="B16" s="257" t="s">
        <v>335</v>
      </c>
      <c r="C16" s="258"/>
      <c r="D16" s="258"/>
      <c r="E16" s="258"/>
      <c r="F16" s="258">
        <v>526211</v>
      </c>
      <c r="G16" s="258">
        <v>230460</v>
      </c>
      <c r="H16" s="258"/>
      <c r="I16" s="258"/>
      <c r="J16" s="258">
        <v>23000</v>
      </c>
      <c r="K16" s="258"/>
      <c r="L16" s="258"/>
      <c r="M16" s="258">
        <v>23000</v>
      </c>
      <c r="N16" s="258"/>
      <c r="O16" s="259">
        <f>SUM(C16:N16)</f>
        <v>802671</v>
      </c>
    </row>
    <row r="17" spans="1:15" ht="15.75">
      <c r="A17" s="256" t="s">
        <v>42</v>
      </c>
      <c r="B17" s="257" t="s">
        <v>336</v>
      </c>
      <c r="C17" s="258">
        <f>12000+44000+32000+31000</f>
        <v>119000</v>
      </c>
      <c r="D17" s="258">
        <f>19000+12000+118000+253000+31000</f>
        <v>433000</v>
      </c>
      <c r="E17" s="258">
        <f>1127000+11000+620000+382000+31000</f>
        <v>2171000</v>
      </c>
      <c r="F17" s="258">
        <f>9000+12000+76000+34000+31000+200000</f>
        <v>362000</v>
      </c>
      <c r="G17" s="258">
        <f>408000+12000+48000+35000+31000-200000</f>
        <v>334000</v>
      </c>
      <c r="H17" s="258">
        <f>46000+12000+20000+19000+31000</f>
        <v>128000</v>
      </c>
      <c r="I17" s="258">
        <f>12000+2000+2000+31000</f>
        <v>47000</v>
      </c>
      <c r="J17" s="258">
        <f>12000+237000+346000+31000</f>
        <v>626000</v>
      </c>
      <c r="K17" s="258">
        <f>1188000+11000+601000+335000+31000</f>
        <v>2166000</v>
      </c>
      <c r="L17" s="258">
        <f>10000+12000+27000+35000+31000</f>
        <v>115000</v>
      </c>
      <c r="M17" s="258">
        <f>852000+11000+76000+12000+31000</f>
        <v>982000</v>
      </c>
      <c r="N17" s="258">
        <f>241000+11000+34000+15000+29000</f>
        <v>330000</v>
      </c>
      <c r="O17" s="259">
        <f aca="true" t="shared" si="0" ref="O17:O26">SUM(C17:N17)</f>
        <v>7813000</v>
      </c>
    </row>
    <row r="18" spans="1:17" ht="15.75">
      <c r="A18" s="256" t="s">
        <v>94</v>
      </c>
      <c r="B18" s="257" t="s">
        <v>337</v>
      </c>
      <c r="C18" s="258">
        <v>931000</v>
      </c>
      <c r="D18" s="258">
        <v>877000</v>
      </c>
      <c r="E18" s="258">
        <v>958000</v>
      </c>
      <c r="F18" s="258">
        <v>1036000</v>
      </c>
      <c r="G18" s="258">
        <v>890000</v>
      </c>
      <c r="H18" s="258">
        <v>804000</v>
      </c>
      <c r="I18" s="258">
        <v>758000</v>
      </c>
      <c r="J18" s="258">
        <v>704000</v>
      </c>
      <c r="K18" s="258">
        <v>1004000</v>
      </c>
      <c r="L18" s="258">
        <v>1030000</v>
      </c>
      <c r="M18" s="258">
        <v>913000</v>
      </c>
      <c r="N18" s="258">
        <v>1003000</v>
      </c>
      <c r="O18" s="259">
        <f t="shared" si="0"/>
        <v>10908000</v>
      </c>
      <c r="Q18" s="281"/>
    </row>
    <row r="19" spans="1:15" ht="15.75">
      <c r="A19" s="256" t="s">
        <v>96</v>
      </c>
      <c r="B19" s="260" t="s">
        <v>338</v>
      </c>
      <c r="C19" s="261">
        <v>5000</v>
      </c>
      <c r="D19" s="261">
        <v>6000</v>
      </c>
      <c r="E19" s="261">
        <v>5000</v>
      </c>
      <c r="F19" s="261">
        <v>5000</v>
      </c>
      <c r="G19" s="261">
        <v>5000</v>
      </c>
      <c r="H19" s="261">
        <v>5000</v>
      </c>
      <c r="I19" s="261">
        <v>5000</v>
      </c>
      <c r="J19" s="261">
        <v>5000</v>
      </c>
      <c r="K19" s="261">
        <v>5000</v>
      </c>
      <c r="L19" s="261">
        <v>6000</v>
      </c>
      <c r="M19" s="261">
        <v>5000</v>
      </c>
      <c r="N19" s="261">
        <v>5000</v>
      </c>
      <c r="O19" s="259">
        <f t="shared" si="0"/>
        <v>62000</v>
      </c>
    </row>
    <row r="20" spans="1:15" ht="15.75">
      <c r="A20" s="256" t="s">
        <v>102</v>
      </c>
      <c r="B20" s="260" t="s">
        <v>243</v>
      </c>
      <c r="C20" s="262"/>
      <c r="D20" s="262"/>
      <c r="E20" s="262"/>
      <c r="F20" s="262"/>
      <c r="G20" s="262"/>
      <c r="H20" s="262"/>
      <c r="I20" s="262"/>
      <c r="J20" s="262"/>
      <c r="K20" s="262"/>
      <c r="L20" s="262"/>
      <c r="M20" s="262"/>
      <c r="N20" s="263"/>
      <c r="O20" s="259">
        <f t="shared" si="0"/>
        <v>0</v>
      </c>
    </row>
    <row r="21" spans="1:15" ht="31.5">
      <c r="A21" s="256"/>
      <c r="B21" s="257" t="s">
        <v>339</v>
      </c>
      <c r="C21" s="264"/>
      <c r="D21" s="264"/>
      <c r="E21" s="264"/>
      <c r="F21" s="264"/>
      <c r="G21" s="264"/>
      <c r="H21" s="264"/>
      <c r="I21" s="264"/>
      <c r="J21" s="264"/>
      <c r="K21" s="264"/>
      <c r="L21" s="264"/>
      <c r="M21" s="264"/>
      <c r="N21" s="265"/>
      <c r="O21" s="259">
        <f t="shared" si="0"/>
        <v>0</v>
      </c>
    </row>
    <row r="22" spans="1:15" ht="17.25" customHeight="1">
      <c r="A22" s="256"/>
      <c r="B22" s="257" t="s">
        <v>340</v>
      </c>
      <c r="C22" s="264"/>
      <c r="D22" s="264"/>
      <c r="E22" s="264"/>
      <c r="F22" s="264"/>
      <c r="G22" s="264"/>
      <c r="H22" s="264"/>
      <c r="I22" s="264"/>
      <c r="J22" s="264"/>
      <c r="K22" s="264"/>
      <c r="L22" s="264"/>
      <c r="M22" s="264"/>
      <c r="N22" s="265"/>
      <c r="O22" s="259">
        <f t="shared" si="0"/>
        <v>0</v>
      </c>
    </row>
    <row r="23" spans="1:15" ht="15.75">
      <c r="A23" s="256" t="s">
        <v>249</v>
      </c>
      <c r="B23" s="260" t="s">
        <v>341</v>
      </c>
      <c r="C23" s="264"/>
      <c r="D23" s="264"/>
      <c r="E23" s="264"/>
      <c r="F23" s="264"/>
      <c r="G23" s="264"/>
      <c r="H23" s="264"/>
      <c r="I23" s="264"/>
      <c r="J23" s="264"/>
      <c r="K23" s="264"/>
      <c r="L23" s="264"/>
      <c r="M23" s="264"/>
      <c r="N23" s="265"/>
      <c r="O23" s="259">
        <f t="shared" si="0"/>
        <v>0</v>
      </c>
    </row>
    <row r="24" spans="1:15" ht="47.25">
      <c r="A24" s="256"/>
      <c r="B24" s="279" t="s">
        <v>342</v>
      </c>
      <c r="C24" s="264"/>
      <c r="D24" s="264"/>
      <c r="E24" s="264"/>
      <c r="F24" s="264"/>
      <c r="G24" s="264"/>
      <c r="H24" s="264"/>
      <c r="I24" s="264"/>
      <c r="J24" s="264"/>
      <c r="K24" s="264"/>
      <c r="L24" s="264"/>
      <c r="M24" s="264"/>
      <c r="N24" s="265"/>
      <c r="O24" s="259">
        <f t="shared" si="0"/>
        <v>0</v>
      </c>
    </row>
    <row r="25" spans="1:15" ht="15.75">
      <c r="A25" s="256"/>
      <c r="B25" s="257" t="s">
        <v>343</v>
      </c>
      <c r="C25" s="264"/>
      <c r="D25" s="264"/>
      <c r="E25" s="264"/>
      <c r="F25" s="264"/>
      <c r="G25" s="264"/>
      <c r="H25" s="264"/>
      <c r="I25" s="264"/>
      <c r="J25" s="264"/>
      <c r="K25" s="264"/>
      <c r="L25" s="264"/>
      <c r="M25" s="264"/>
      <c r="N25" s="265"/>
      <c r="O25" s="259">
        <f t="shared" si="0"/>
        <v>0</v>
      </c>
    </row>
    <row r="26" spans="1:15" ht="15.75">
      <c r="A26" s="256" t="s">
        <v>251</v>
      </c>
      <c r="B26" s="260" t="s">
        <v>344</v>
      </c>
      <c r="C26" s="264">
        <v>1139077</v>
      </c>
      <c r="D26" s="264">
        <v>1917000</v>
      </c>
      <c r="E26" s="264">
        <v>2000000</v>
      </c>
      <c r="F26" s="264">
        <v>5046000</v>
      </c>
      <c r="G26" s="264">
        <v>42142923</v>
      </c>
      <c r="H26" s="264">
        <v>10260000</v>
      </c>
      <c r="I26" s="264"/>
      <c r="J26" s="264"/>
      <c r="K26" s="264"/>
      <c r="L26" s="264">
        <v>7899000</v>
      </c>
      <c r="M26" s="264"/>
      <c r="N26" s="265"/>
      <c r="O26" s="259">
        <f t="shared" si="0"/>
        <v>70404000</v>
      </c>
    </row>
    <row r="27" spans="1:15" ht="16.5" thickBot="1">
      <c r="A27" s="266" t="s">
        <v>253</v>
      </c>
      <c r="B27" s="267" t="s">
        <v>345</v>
      </c>
      <c r="C27" s="264"/>
      <c r="D27" s="264">
        <f>C49</f>
        <v>975000</v>
      </c>
      <c r="E27" s="264">
        <f aca="true" t="shared" si="1" ref="E27:N27">D49</f>
        <v>2941000</v>
      </c>
      <c r="F27" s="264">
        <f t="shared" si="1"/>
        <v>4410128</v>
      </c>
      <c r="G27" s="264">
        <f t="shared" si="1"/>
        <v>3933341</v>
      </c>
      <c r="H27" s="264">
        <f t="shared" si="1"/>
        <v>3867086</v>
      </c>
      <c r="I27" s="264">
        <f t="shared" si="1"/>
        <v>2723145</v>
      </c>
      <c r="J27" s="264">
        <f t="shared" si="1"/>
        <v>1372000</v>
      </c>
      <c r="K27" s="264">
        <f t="shared" si="1"/>
        <v>954000</v>
      </c>
      <c r="L27" s="264">
        <f t="shared" si="1"/>
        <v>2111000</v>
      </c>
      <c r="M27" s="264">
        <f t="shared" si="1"/>
        <v>1104000</v>
      </c>
      <c r="N27" s="264">
        <f t="shared" si="1"/>
        <v>1291000</v>
      </c>
      <c r="O27" s="259"/>
    </row>
    <row r="28" spans="1:16" s="19" customFormat="1" ht="27.75" customHeight="1" thickBot="1">
      <c r="A28" s="268"/>
      <c r="B28" s="268" t="s">
        <v>346</v>
      </c>
      <c r="C28" s="269">
        <f aca="true" t="shared" si="2" ref="C28:N28">SUM(C15:C27)</f>
        <v>5709077</v>
      </c>
      <c r="D28" s="269">
        <f t="shared" si="2"/>
        <v>6481000</v>
      </c>
      <c r="E28" s="269">
        <f t="shared" si="2"/>
        <v>10348000</v>
      </c>
      <c r="F28" s="269">
        <f t="shared" si="2"/>
        <v>13658339</v>
      </c>
      <c r="G28" s="269">
        <f t="shared" si="2"/>
        <v>49921356</v>
      </c>
      <c r="H28" s="269">
        <f t="shared" si="2"/>
        <v>17337086</v>
      </c>
      <c r="I28" s="269">
        <f t="shared" si="2"/>
        <v>5806145</v>
      </c>
      <c r="J28" s="269">
        <f t="shared" si="2"/>
        <v>5003000</v>
      </c>
      <c r="K28" s="269">
        <f t="shared" si="2"/>
        <v>6401000</v>
      </c>
      <c r="L28" s="269">
        <f t="shared" si="2"/>
        <v>13433000</v>
      </c>
      <c r="M28" s="269">
        <f t="shared" si="2"/>
        <v>5299000</v>
      </c>
      <c r="N28" s="269">
        <f t="shared" si="2"/>
        <v>4901000</v>
      </c>
      <c r="O28" s="270">
        <f>SUM(O14:O27)</f>
        <v>118616303</v>
      </c>
      <c r="P28" s="105"/>
    </row>
    <row r="29" spans="1:15" ht="15.75">
      <c r="A29" s="271"/>
      <c r="B29" s="272" t="s">
        <v>347</v>
      </c>
      <c r="C29" s="258"/>
      <c r="D29" s="258"/>
      <c r="E29" s="258"/>
      <c r="F29" s="258"/>
      <c r="G29" s="258"/>
      <c r="H29" s="258"/>
      <c r="I29" s="258"/>
      <c r="J29" s="258"/>
      <c r="K29" s="258"/>
      <c r="L29" s="258"/>
      <c r="M29" s="258"/>
      <c r="N29" s="258"/>
      <c r="O29" s="273"/>
    </row>
    <row r="30" spans="1:16" ht="15.75">
      <c r="A30" s="256" t="s">
        <v>260</v>
      </c>
      <c r="B30" s="260" t="s">
        <v>190</v>
      </c>
      <c r="C30" s="258">
        <f>1061000+37000</f>
        <v>1098000</v>
      </c>
      <c r="D30" s="258">
        <v>1223000</v>
      </c>
      <c r="E30" s="258">
        <v>1222000</v>
      </c>
      <c r="F30" s="258">
        <f>1416000+414339+181465</f>
        <v>2011804</v>
      </c>
      <c r="G30" s="258">
        <f>1416000+88670+266286</f>
        <v>1770956</v>
      </c>
      <c r="H30" s="258">
        <v>1416000</v>
      </c>
      <c r="I30" s="258">
        <v>1416000</v>
      </c>
      <c r="J30" s="258">
        <v>1416000</v>
      </c>
      <c r="K30" s="258">
        <v>1416000</v>
      </c>
      <c r="L30" s="258">
        <v>1416000</v>
      </c>
      <c r="M30" s="258">
        <v>1416000</v>
      </c>
      <c r="N30" s="258">
        <v>1416000</v>
      </c>
      <c r="O30" s="259">
        <f aca="true" t="shared" si="3" ref="O30:O47">SUM(C30:N30)</f>
        <v>17237760</v>
      </c>
      <c r="P30" s="281"/>
    </row>
    <row r="31" spans="1:15" ht="31.5">
      <c r="A31" s="256" t="s">
        <v>262</v>
      </c>
      <c r="B31" s="279" t="s">
        <v>348</v>
      </c>
      <c r="C31" s="258">
        <v>302000</v>
      </c>
      <c r="D31" s="258">
        <v>302000</v>
      </c>
      <c r="E31" s="258">
        <f>392000+118872</f>
        <v>510872</v>
      </c>
      <c r="F31" s="258">
        <f>392000+48995-46801</f>
        <v>394194</v>
      </c>
      <c r="G31" s="258">
        <v>392000</v>
      </c>
      <c r="H31" s="258">
        <f>392000+23941</f>
        <v>415941</v>
      </c>
      <c r="I31" s="258">
        <v>392000</v>
      </c>
      <c r="J31" s="258">
        <v>392000</v>
      </c>
      <c r="K31" s="258">
        <v>392000</v>
      </c>
      <c r="L31" s="258">
        <v>392000</v>
      </c>
      <c r="M31" s="258">
        <v>392000</v>
      </c>
      <c r="N31" s="258">
        <v>392000</v>
      </c>
      <c r="O31" s="259">
        <f t="shared" si="3"/>
        <v>4669007</v>
      </c>
    </row>
    <row r="32" spans="1:15" ht="15.75">
      <c r="A32" s="256" t="s">
        <v>264</v>
      </c>
      <c r="B32" s="260" t="s">
        <v>192</v>
      </c>
      <c r="C32" s="258">
        <f>1827000+95000</f>
        <v>1922000</v>
      </c>
      <c r="D32" s="258">
        <f>1701000+95000</f>
        <v>1796000</v>
      </c>
      <c r="E32" s="258">
        <f>1890000+95000</f>
        <v>1985000</v>
      </c>
      <c r="F32" s="258">
        <f>1853000+95000</f>
        <v>1948000</v>
      </c>
      <c r="G32" s="258">
        <f>2215000+63508</f>
        <v>2278508</v>
      </c>
      <c r="H32" s="258">
        <f>1533000+95000</f>
        <v>1628000</v>
      </c>
      <c r="I32" s="258">
        <f>1428000+95000</f>
        <v>1523000</v>
      </c>
      <c r="J32" s="258">
        <f>1302000+95000</f>
        <v>1397000</v>
      </c>
      <c r="K32" s="258">
        <f>1995000+95000</f>
        <v>2090000</v>
      </c>
      <c r="L32" s="258">
        <f>1787000+95000</f>
        <v>1882000</v>
      </c>
      <c r="M32" s="258">
        <f>1886000+95000</f>
        <v>1981000</v>
      </c>
      <c r="N32" s="258">
        <f>2047000+99000</f>
        <v>2146000</v>
      </c>
      <c r="O32" s="259">
        <f t="shared" si="3"/>
        <v>22576508</v>
      </c>
    </row>
    <row r="33" spans="1:15" ht="15.75">
      <c r="A33" s="256" t="s">
        <v>269</v>
      </c>
      <c r="B33" s="260" t="s">
        <v>193</v>
      </c>
      <c r="C33" s="258">
        <f>219000+4000</f>
        <v>223000</v>
      </c>
      <c r="D33" s="258">
        <f>219000</f>
        <v>219000</v>
      </c>
      <c r="E33" s="258">
        <f>219000+1000</f>
        <v>220000</v>
      </c>
      <c r="F33" s="258">
        <f aca="true" t="shared" si="4" ref="F33:M33">219000</f>
        <v>219000</v>
      </c>
      <c r="G33" s="258">
        <f t="shared" si="4"/>
        <v>219000</v>
      </c>
      <c r="H33" s="258">
        <f t="shared" si="4"/>
        <v>219000</v>
      </c>
      <c r="I33" s="258">
        <f t="shared" si="4"/>
        <v>219000</v>
      </c>
      <c r="J33" s="258">
        <f t="shared" si="4"/>
        <v>219000</v>
      </c>
      <c r="K33" s="258">
        <f t="shared" si="4"/>
        <v>219000</v>
      </c>
      <c r="L33" s="258">
        <f t="shared" si="4"/>
        <v>219000</v>
      </c>
      <c r="M33" s="258">
        <f t="shared" si="4"/>
        <v>219000</v>
      </c>
      <c r="N33" s="258">
        <v>947000</v>
      </c>
      <c r="O33" s="259">
        <f t="shared" si="3"/>
        <v>3361000</v>
      </c>
    </row>
    <row r="34" spans="1:15" ht="15.75">
      <c r="A34" s="256" t="s">
        <v>271</v>
      </c>
      <c r="B34" s="260" t="s">
        <v>349</v>
      </c>
      <c r="C34" s="258"/>
      <c r="D34" s="258"/>
      <c r="E34" s="258"/>
      <c r="F34" s="258"/>
      <c r="G34" s="258"/>
      <c r="H34" s="258"/>
      <c r="I34" s="258"/>
      <c r="J34" s="258"/>
      <c r="K34" s="258"/>
      <c r="L34" s="258"/>
      <c r="M34" s="258"/>
      <c r="N34" s="258"/>
      <c r="O34" s="259"/>
    </row>
    <row r="35" spans="1:15" ht="15.75">
      <c r="A35" s="256"/>
      <c r="B35" s="260" t="s">
        <v>350</v>
      </c>
      <c r="C35" s="258"/>
      <c r="D35" s="258"/>
      <c r="E35" s="258"/>
      <c r="F35" s="258"/>
      <c r="G35" s="258"/>
      <c r="H35" s="258"/>
      <c r="I35" s="258">
        <v>884145</v>
      </c>
      <c r="J35" s="258"/>
      <c r="K35" s="258"/>
      <c r="L35" s="258"/>
      <c r="M35" s="258"/>
      <c r="N35" s="258"/>
      <c r="O35" s="259">
        <f t="shared" si="3"/>
        <v>884145</v>
      </c>
    </row>
    <row r="36" spans="1:16" ht="15.75">
      <c r="A36" s="256"/>
      <c r="B36" s="260" t="s">
        <v>351</v>
      </c>
      <c r="C36" s="258">
        <v>50000</v>
      </c>
      <c r="D36" s="258"/>
      <c r="E36" s="258"/>
      <c r="F36" s="258">
        <v>112000</v>
      </c>
      <c r="G36" s="258">
        <v>200000</v>
      </c>
      <c r="H36" s="258">
        <v>675000</v>
      </c>
      <c r="I36" s="258"/>
      <c r="J36" s="258">
        <v>25000</v>
      </c>
      <c r="K36" s="258"/>
      <c r="L36" s="258">
        <v>65000</v>
      </c>
      <c r="M36" s="258"/>
      <c r="N36" s="258"/>
      <c r="O36" s="259">
        <f t="shared" si="3"/>
        <v>1127000</v>
      </c>
      <c r="P36" s="281"/>
    </row>
    <row r="37" spans="1:15" ht="15.75">
      <c r="A37" s="256" t="s">
        <v>273</v>
      </c>
      <c r="B37" s="260" t="s">
        <v>196</v>
      </c>
      <c r="C37" s="258"/>
      <c r="D37" s="258"/>
      <c r="E37" s="258">
        <v>2000000</v>
      </c>
      <c r="F37" s="258">
        <v>450000</v>
      </c>
      <c r="G37" s="258">
        <v>225000</v>
      </c>
      <c r="H37" s="258"/>
      <c r="I37" s="258"/>
      <c r="J37" s="258"/>
      <c r="K37" s="258">
        <v>173000</v>
      </c>
      <c r="L37" s="258"/>
      <c r="M37" s="258"/>
      <c r="N37" s="258"/>
      <c r="O37" s="259">
        <f t="shared" si="3"/>
        <v>2848000</v>
      </c>
    </row>
    <row r="38" spans="1:15" ht="15.75">
      <c r="A38" s="256" t="s">
        <v>280</v>
      </c>
      <c r="B38" s="260" t="s">
        <v>65</v>
      </c>
      <c r="C38" s="258"/>
      <c r="D38" s="258"/>
      <c r="E38" s="258"/>
      <c r="F38" s="258">
        <v>4590000</v>
      </c>
      <c r="G38" s="258"/>
      <c r="H38" s="258">
        <v>10260000</v>
      </c>
      <c r="I38" s="258"/>
      <c r="J38" s="258"/>
      <c r="K38" s="258"/>
      <c r="L38" s="258">
        <v>8355000</v>
      </c>
      <c r="M38" s="258"/>
      <c r="N38" s="258"/>
      <c r="O38" s="259">
        <f t="shared" si="3"/>
        <v>23205000</v>
      </c>
    </row>
    <row r="39" spans="1:15" ht="20.25" customHeight="1">
      <c r="A39" s="256" t="s">
        <v>283</v>
      </c>
      <c r="B39" s="260" t="s">
        <v>274</v>
      </c>
      <c r="C39" s="258"/>
      <c r="D39" s="258"/>
      <c r="E39" s="258"/>
      <c r="F39" s="258"/>
      <c r="G39" s="258"/>
      <c r="H39" s="258"/>
      <c r="I39" s="258"/>
      <c r="J39" s="258"/>
      <c r="K39" s="258"/>
      <c r="L39" s="258"/>
      <c r="M39" s="258"/>
      <c r="N39" s="258"/>
      <c r="O39" s="259">
        <f t="shared" si="3"/>
        <v>0</v>
      </c>
    </row>
    <row r="40" spans="1:15" ht="20.25" customHeight="1">
      <c r="A40" s="256"/>
      <c r="B40" s="260" t="s">
        <v>350</v>
      </c>
      <c r="C40" s="258"/>
      <c r="D40" s="258"/>
      <c r="E40" s="258"/>
      <c r="F40" s="258"/>
      <c r="G40" s="258"/>
      <c r="H40" s="258"/>
      <c r="I40" s="258"/>
      <c r="J40" s="258"/>
      <c r="K40" s="258"/>
      <c r="L40" s="258"/>
      <c r="M40" s="258"/>
      <c r="N40" s="258"/>
      <c r="O40" s="259">
        <f t="shared" si="3"/>
        <v>0</v>
      </c>
    </row>
    <row r="41" spans="1:15" ht="15.75">
      <c r="A41" s="256"/>
      <c r="B41" s="260" t="s">
        <v>351</v>
      </c>
      <c r="C41" s="258"/>
      <c r="D41" s="258"/>
      <c r="E41" s="258"/>
      <c r="F41" s="258"/>
      <c r="G41" s="258"/>
      <c r="H41" s="258"/>
      <c r="I41" s="258"/>
      <c r="J41" s="258">
        <v>600000</v>
      </c>
      <c r="K41" s="258"/>
      <c r="L41" s="258"/>
      <c r="M41" s="258"/>
      <c r="N41" s="258"/>
      <c r="O41" s="259">
        <f t="shared" si="3"/>
        <v>600000</v>
      </c>
    </row>
    <row r="42" spans="1:15" ht="15.75">
      <c r="A42" s="256" t="s">
        <v>285</v>
      </c>
      <c r="B42" s="260" t="s">
        <v>189</v>
      </c>
      <c r="C42" s="258"/>
      <c r="D42" s="258"/>
      <c r="E42" s="258"/>
      <c r="F42" s="258"/>
      <c r="G42" s="258"/>
      <c r="H42" s="258"/>
      <c r="I42" s="258"/>
      <c r="J42" s="258"/>
      <c r="K42" s="258"/>
      <c r="L42" s="258"/>
      <c r="M42" s="258"/>
      <c r="N42" s="258"/>
      <c r="O42" s="259">
        <f t="shared" si="3"/>
        <v>0</v>
      </c>
    </row>
    <row r="43" spans="1:15" ht="15.75">
      <c r="A43" s="256"/>
      <c r="B43" s="311" t="s">
        <v>399</v>
      </c>
      <c r="C43" s="258">
        <v>1139077</v>
      </c>
      <c r="D43" s="258"/>
      <c r="E43" s="258"/>
      <c r="F43" s="258"/>
      <c r="G43" s="258">
        <v>179682</v>
      </c>
      <c r="H43" s="258"/>
      <c r="I43" s="258"/>
      <c r="J43" s="258"/>
      <c r="K43" s="258"/>
      <c r="L43" s="258"/>
      <c r="M43" s="258"/>
      <c r="N43" s="258"/>
      <c r="O43" s="259">
        <f t="shared" si="3"/>
        <v>1318759</v>
      </c>
    </row>
    <row r="44" spans="1:15" ht="15.75">
      <c r="A44" s="256"/>
      <c r="B44" s="260" t="s">
        <v>352</v>
      </c>
      <c r="C44" s="258"/>
      <c r="D44" s="258"/>
      <c r="E44" s="258"/>
      <c r="F44" s="258"/>
      <c r="G44" s="258"/>
      <c r="H44" s="258"/>
      <c r="I44" s="258"/>
      <c r="J44" s="258"/>
      <c r="K44" s="258"/>
      <c r="L44" s="258"/>
      <c r="M44" s="258"/>
      <c r="N44" s="258"/>
      <c r="O44" s="259">
        <f t="shared" si="3"/>
        <v>0</v>
      </c>
    </row>
    <row r="45" spans="1:15" ht="15.75">
      <c r="A45" s="256"/>
      <c r="B45" s="260" t="s">
        <v>353</v>
      </c>
      <c r="C45" s="258"/>
      <c r="D45" s="258"/>
      <c r="E45" s="258"/>
      <c r="F45" s="258"/>
      <c r="G45" s="258"/>
      <c r="H45" s="258"/>
      <c r="I45" s="258"/>
      <c r="J45" s="258"/>
      <c r="K45" s="258"/>
      <c r="L45" s="258"/>
      <c r="M45" s="258"/>
      <c r="N45" s="258"/>
      <c r="O45" s="259">
        <f t="shared" si="3"/>
        <v>0</v>
      </c>
    </row>
    <row r="46" spans="1:16" ht="15.75">
      <c r="A46" s="256" t="s">
        <v>354</v>
      </c>
      <c r="B46" s="260" t="s">
        <v>355</v>
      </c>
      <c r="C46" s="258"/>
      <c r="D46" s="258"/>
      <c r="E46" s="258"/>
      <c r="F46" s="258"/>
      <c r="G46" s="258">
        <v>40789124</v>
      </c>
      <c r="H46" s="258"/>
      <c r="I46" s="258"/>
      <c r="J46" s="258"/>
      <c r="K46" s="258"/>
      <c r="L46" s="258"/>
      <c r="M46" s="258"/>
      <c r="N46" s="258"/>
      <c r="O46" s="259">
        <f t="shared" si="3"/>
        <v>40789124</v>
      </c>
      <c r="P46" s="281"/>
    </row>
    <row r="47" spans="1:15" ht="16.5" thickBot="1">
      <c r="A47" s="266" t="s">
        <v>356</v>
      </c>
      <c r="B47" s="267" t="s">
        <v>357</v>
      </c>
      <c r="C47" s="258"/>
      <c r="D47" s="258"/>
      <c r="E47" s="258"/>
      <c r="F47" s="258"/>
      <c r="G47" s="258"/>
      <c r="H47" s="258"/>
      <c r="I47" s="258"/>
      <c r="J47" s="258"/>
      <c r="K47" s="258"/>
      <c r="L47" s="258"/>
      <c r="M47" s="258"/>
      <c r="N47" s="258"/>
      <c r="O47" s="259">
        <f t="shared" si="3"/>
        <v>0</v>
      </c>
    </row>
    <row r="48" spans="1:19" s="19" customFormat="1" ht="24" customHeight="1" thickBot="1">
      <c r="A48" s="268"/>
      <c r="B48" s="268" t="s">
        <v>358</v>
      </c>
      <c r="C48" s="269">
        <f aca="true" t="shared" si="5" ref="C48:N48">SUM(C30:C47)</f>
        <v>4734077</v>
      </c>
      <c r="D48" s="269">
        <f t="shared" si="5"/>
        <v>3540000</v>
      </c>
      <c r="E48" s="269">
        <f t="shared" si="5"/>
        <v>5937872</v>
      </c>
      <c r="F48" s="269">
        <f t="shared" si="5"/>
        <v>9724998</v>
      </c>
      <c r="G48" s="269">
        <f t="shared" si="5"/>
        <v>46054270</v>
      </c>
      <c r="H48" s="269">
        <f t="shared" si="5"/>
        <v>14613941</v>
      </c>
      <c r="I48" s="269">
        <f t="shared" si="5"/>
        <v>4434145</v>
      </c>
      <c r="J48" s="269">
        <f t="shared" si="5"/>
        <v>4049000</v>
      </c>
      <c r="K48" s="269">
        <f t="shared" si="5"/>
        <v>4290000</v>
      </c>
      <c r="L48" s="269">
        <f t="shared" si="5"/>
        <v>12329000</v>
      </c>
      <c r="M48" s="269">
        <f t="shared" si="5"/>
        <v>4008000</v>
      </c>
      <c r="N48" s="269">
        <f t="shared" si="5"/>
        <v>4901000</v>
      </c>
      <c r="O48" s="270">
        <f>SUM(O30:O47)</f>
        <v>118616303</v>
      </c>
      <c r="S48" s="274"/>
    </row>
    <row r="49" spans="1:15" ht="26.25" customHeight="1" thickBot="1">
      <c r="A49" s="275"/>
      <c r="B49" s="276" t="s">
        <v>359</v>
      </c>
      <c r="C49" s="277">
        <f aca="true" t="shared" si="6" ref="C49:N49">C28-C48</f>
        <v>975000</v>
      </c>
      <c r="D49" s="277">
        <f t="shared" si="6"/>
        <v>2941000</v>
      </c>
      <c r="E49" s="277">
        <f t="shared" si="6"/>
        <v>4410128</v>
      </c>
      <c r="F49" s="277">
        <f t="shared" si="6"/>
        <v>3933341</v>
      </c>
      <c r="G49" s="277">
        <f t="shared" si="6"/>
        <v>3867086</v>
      </c>
      <c r="H49" s="277">
        <f t="shared" si="6"/>
        <v>2723145</v>
      </c>
      <c r="I49" s="277">
        <f t="shared" si="6"/>
        <v>1372000</v>
      </c>
      <c r="J49" s="277">
        <f t="shared" si="6"/>
        <v>954000</v>
      </c>
      <c r="K49" s="277">
        <f t="shared" si="6"/>
        <v>2111000</v>
      </c>
      <c r="L49" s="277">
        <f t="shared" si="6"/>
        <v>1104000</v>
      </c>
      <c r="M49" s="277">
        <f t="shared" si="6"/>
        <v>1291000</v>
      </c>
      <c r="N49" s="277">
        <f t="shared" si="6"/>
        <v>0</v>
      </c>
      <c r="O49" s="278"/>
    </row>
    <row r="51" spans="3:15" ht="15.75">
      <c r="C51" s="280"/>
      <c r="D51" s="280"/>
      <c r="E51" s="280"/>
      <c r="F51" s="280"/>
      <c r="G51" s="280"/>
      <c r="H51" s="280"/>
      <c r="I51" s="280"/>
      <c r="J51" s="280"/>
      <c r="K51" s="280"/>
      <c r="L51" s="280"/>
      <c r="M51" s="280"/>
      <c r="N51" s="280"/>
      <c r="O51" s="280"/>
    </row>
    <row r="52" ht="15.75">
      <c r="O52" s="280"/>
    </row>
    <row r="53" ht="15.75">
      <c r="O53" s="280"/>
    </row>
    <row r="54" ht="15.75">
      <c r="O54" s="280"/>
    </row>
    <row r="55" ht="15.75">
      <c r="O55" s="280"/>
    </row>
  </sheetData>
  <sheetProtection/>
  <mergeCells count="5">
    <mergeCell ref="B8:O8"/>
    <mergeCell ref="B5:O5"/>
    <mergeCell ref="B6:O6"/>
    <mergeCell ref="B7:O7"/>
    <mergeCell ref="A4:O4"/>
  </mergeCells>
  <printOptions horizontalCentered="1"/>
  <pageMargins left="0" right="0" top="0" bottom="0" header="0.31496062992125984" footer="0.31496062992125984"/>
  <pageSetup fitToHeight="1" fitToWidth="1" horizontalDpi="600" verticalDpi="600" orientation="landscape" paperSize="9" scale="58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D8"/>
  <sheetViews>
    <sheetView tabSelected="1" zoomScalePageLayoutView="0" workbookViewId="0" topLeftCell="A1">
      <selection activeCell="D6" sqref="D6"/>
    </sheetView>
  </sheetViews>
  <sheetFormatPr defaultColWidth="9.00390625" defaultRowHeight="12.75"/>
  <cols>
    <col min="1" max="1" width="16.25390625" style="0" customWidth="1"/>
    <col min="2" max="2" width="18.625" style="0" customWidth="1"/>
    <col min="3" max="3" width="19.125" style="0" customWidth="1"/>
    <col min="4" max="4" width="19.75390625" style="0" customWidth="1"/>
  </cols>
  <sheetData>
    <row r="2" ht="12.75">
      <c r="D2">
        <v>75604098</v>
      </c>
    </row>
    <row r="3" spans="1:4" ht="12.75">
      <c r="A3" t="s">
        <v>411</v>
      </c>
      <c r="B3">
        <v>112611</v>
      </c>
      <c r="C3">
        <v>112611</v>
      </c>
      <c r="D3">
        <f>D2+C3</f>
        <v>75716709</v>
      </c>
    </row>
    <row r="4" spans="1:4" ht="12.75">
      <c r="A4" s="323" t="s">
        <v>413</v>
      </c>
      <c r="B4">
        <v>15240</v>
      </c>
      <c r="C4">
        <v>15240</v>
      </c>
      <c r="D4">
        <f>D3+C4</f>
        <v>75731949</v>
      </c>
    </row>
    <row r="5" spans="1:4" ht="12.75">
      <c r="A5" s="324" t="s">
        <v>414</v>
      </c>
      <c r="B5">
        <v>63487</v>
      </c>
      <c r="C5">
        <v>63487</v>
      </c>
      <c r="D5">
        <f>D4+C5</f>
        <v>75795436</v>
      </c>
    </row>
    <row r="6" spans="1:4" ht="12.75">
      <c r="A6" s="325">
        <v>3</v>
      </c>
      <c r="B6">
        <v>42064196</v>
      </c>
      <c r="C6">
        <v>42064196</v>
      </c>
      <c r="D6">
        <f>D5+C6</f>
        <v>117859632</v>
      </c>
    </row>
    <row r="7" spans="1:4" ht="12.75">
      <c r="A7" s="323" t="s">
        <v>415</v>
      </c>
      <c r="B7">
        <v>756671</v>
      </c>
      <c r="C7">
        <v>756671</v>
      </c>
      <c r="D7">
        <f>D6+C7</f>
        <v>118616303</v>
      </c>
    </row>
    <row r="8" spans="2:3" ht="12.75">
      <c r="B8">
        <f>B3+B4+B5+B6+B7</f>
        <v>43012205</v>
      </c>
      <c r="C8">
        <f>SUM(C1:C7)</f>
        <v>43012205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1"/>
  <sheetViews>
    <sheetView zoomScalePageLayoutView="0" workbookViewId="0" topLeftCell="A1">
      <selection activeCell="A5" sqref="A5:E5"/>
    </sheetView>
  </sheetViews>
  <sheetFormatPr defaultColWidth="9.00390625" defaultRowHeight="12.75"/>
  <cols>
    <col min="1" max="1" width="64.625" style="4" customWidth="1"/>
    <col min="2" max="2" width="14.125" style="53" customWidth="1"/>
    <col min="3" max="3" width="4.875" style="4" customWidth="1"/>
    <col min="4" max="4" width="17.75390625" style="53" customWidth="1"/>
    <col min="5" max="5" width="5.25390625" style="4" customWidth="1"/>
    <col min="6" max="6" width="9.125" style="4" customWidth="1"/>
    <col min="7" max="7" width="14.25390625" style="4" bestFit="1" customWidth="1"/>
    <col min="8" max="16384" width="9.125" style="4" customWidth="1"/>
  </cols>
  <sheetData>
    <row r="1" spans="1:5" ht="15">
      <c r="A1" s="364" t="s">
        <v>439</v>
      </c>
      <c r="B1" s="364"/>
      <c r="C1" s="364"/>
      <c r="D1" s="364"/>
      <c r="E1" s="364"/>
    </row>
    <row r="2" spans="1:5" ht="15">
      <c r="A2" s="353"/>
      <c r="B2" s="353"/>
      <c r="C2" s="353"/>
      <c r="D2" s="353"/>
      <c r="E2" s="353"/>
    </row>
    <row r="3" spans="1:5" ht="15">
      <c r="A3" s="364" t="s">
        <v>425</v>
      </c>
      <c r="B3" s="364"/>
      <c r="C3" s="364"/>
      <c r="D3" s="364"/>
      <c r="E3" s="364"/>
    </row>
    <row r="4" spans="1:5" ht="15">
      <c r="A4" s="353"/>
      <c r="B4" s="353"/>
      <c r="C4" s="353"/>
      <c r="D4" s="353"/>
      <c r="E4" s="353"/>
    </row>
    <row r="5" spans="1:5" s="48" customFormat="1" ht="15.75">
      <c r="A5" s="367"/>
      <c r="B5" s="367"/>
      <c r="C5" s="367"/>
      <c r="D5" s="367"/>
      <c r="E5" s="367"/>
    </row>
    <row r="6" spans="1:5" s="48" customFormat="1" ht="15.75">
      <c r="A6" s="366" t="s">
        <v>38</v>
      </c>
      <c r="B6" s="366"/>
      <c r="C6" s="366"/>
      <c r="D6" s="366"/>
      <c r="E6" s="366"/>
    </row>
    <row r="7" spans="1:5" ht="15.75">
      <c r="A7" s="366" t="s">
        <v>162</v>
      </c>
      <c r="B7" s="366"/>
      <c r="C7" s="366"/>
      <c r="D7" s="366"/>
      <c r="E7" s="366"/>
    </row>
    <row r="8" spans="1:5" ht="12.75" customHeight="1">
      <c r="A8" s="365" t="s">
        <v>370</v>
      </c>
      <c r="B8" s="365"/>
      <c r="C8" s="365"/>
      <c r="D8" s="365"/>
      <c r="E8" s="365"/>
    </row>
    <row r="9" spans="1:5" s="1" customFormat="1" ht="15">
      <c r="A9" s="4"/>
      <c r="B9" s="53"/>
      <c r="C9" s="4"/>
      <c r="D9" s="45"/>
      <c r="E9" s="4"/>
    </row>
    <row r="10" spans="1:4" s="1" customFormat="1" ht="18.75">
      <c r="A10" s="111" t="s">
        <v>163</v>
      </c>
      <c r="B10" s="54"/>
      <c r="D10" s="112"/>
    </row>
    <row r="11" spans="1:5" ht="15.75">
      <c r="A11" s="7" t="s">
        <v>164</v>
      </c>
      <c r="B11" s="54"/>
      <c r="C11" s="1"/>
      <c r="D11" s="113">
        <f>B12+B13</f>
        <v>29429303</v>
      </c>
      <c r="E11" s="1" t="s">
        <v>436</v>
      </c>
    </row>
    <row r="12" spans="1:7" ht="15.75">
      <c r="A12" s="114" t="s">
        <v>165</v>
      </c>
      <c r="B12" s="53">
        <f>'2.mell - bevétel'!H68</f>
        <v>28626632</v>
      </c>
      <c r="C12" s="4" t="s">
        <v>436</v>
      </c>
      <c r="D12" s="45"/>
      <c r="G12" s="73"/>
    </row>
    <row r="13" spans="1:5" s="1" customFormat="1" ht="15.75" customHeight="1">
      <c r="A13" s="114" t="s">
        <v>166</v>
      </c>
      <c r="B13" s="53">
        <f>'2.mell - bevétel'!H74</f>
        <v>802671</v>
      </c>
      <c r="C13" s="4" t="s">
        <v>436</v>
      </c>
      <c r="D13" s="45"/>
      <c r="E13" s="4"/>
    </row>
    <row r="14" spans="1:4" s="1" customFormat="1" ht="15.75">
      <c r="A14" s="7"/>
      <c r="B14" s="54"/>
      <c r="D14" s="113"/>
    </row>
    <row r="15" spans="1:5" s="1" customFormat="1" ht="15.75">
      <c r="A15" s="7" t="s">
        <v>167</v>
      </c>
      <c r="B15" s="54"/>
      <c r="D15" s="113">
        <f>'2.mell - bevétel'!H86</f>
        <v>0</v>
      </c>
      <c r="E15" s="1" t="s">
        <v>436</v>
      </c>
    </row>
    <row r="16" spans="1:4" s="1" customFormat="1" ht="15.75">
      <c r="A16" s="7"/>
      <c r="B16" s="54"/>
      <c r="D16" s="113"/>
    </row>
    <row r="17" spans="1:5" s="1" customFormat="1" ht="15.75">
      <c r="A17" s="7" t="s">
        <v>114</v>
      </c>
      <c r="B17" s="54"/>
      <c r="D17" s="113">
        <f>'2.mell - bevétel'!H113</f>
        <v>7813000</v>
      </c>
      <c r="E17" s="1" t="s">
        <v>436</v>
      </c>
    </row>
    <row r="18" spans="1:7" s="1" customFormat="1" ht="15.75">
      <c r="A18" s="7"/>
      <c r="B18" s="54"/>
      <c r="D18" s="113"/>
      <c r="G18" s="74"/>
    </row>
    <row r="19" spans="1:5" s="1" customFormat="1" ht="15.75">
      <c r="A19" s="7" t="s">
        <v>54</v>
      </c>
      <c r="B19" s="54"/>
      <c r="D19" s="113">
        <f>'2.mell - bevétel'!H137</f>
        <v>10908000</v>
      </c>
      <c r="E19" s="1" t="s">
        <v>436</v>
      </c>
    </row>
    <row r="20" spans="1:4" s="1" customFormat="1" ht="15.75">
      <c r="A20" s="8"/>
      <c r="B20" s="55"/>
      <c r="D20" s="113"/>
    </row>
    <row r="21" spans="1:5" s="1" customFormat="1" ht="15.75">
      <c r="A21" s="7" t="s">
        <v>168</v>
      </c>
      <c r="B21" s="54"/>
      <c r="D21" s="113">
        <v>0</v>
      </c>
      <c r="E21" s="1" t="s">
        <v>436</v>
      </c>
    </row>
    <row r="22" spans="1:4" s="1" customFormat="1" ht="15.75">
      <c r="A22" s="8"/>
      <c r="B22" s="54"/>
      <c r="D22" s="113"/>
    </row>
    <row r="23" spans="1:5" s="1" customFormat="1" ht="15.75">
      <c r="A23" s="7" t="s">
        <v>169</v>
      </c>
      <c r="D23" s="113">
        <f>B24+B25</f>
        <v>0</v>
      </c>
      <c r="E23" s="1" t="s">
        <v>436</v>
      </c>
    </row>
    <row r="24" spans="1:7" s="6" customFormat="1" ht="32.25">
      <c r="A24" s="114" t="s">
        <v>170</v>
      </c>
      <c r="B24" s="55">
        <v>0</v>
      </c>
      <c r="C24" s="1" t="s">
        <v>436</v>
      </c>
      <c r="D24" s="113"/>
      <c r="E24" s="1"/>
      <c r="F24" s="1"/>
      <c r="G24" s="75"/>
    </row>
    <row r="25" spans="1:7" ht="18.75">
      <c r="A25" s="48" t="s">
        <v>171</v>
      </c>
      <c r="B25" s="54">
        <v>0</v>
      </c>
      <c r="C25" s="1" t="s">
        <v>436</v>
      </c>
      <c r="D25" s="113"/>
      <c r="E25" s="1"/>
      <c r="F25" s="6"/>
      <c r="G25" s="76"/>
    </row>
    <row r="26" spans="1:7" s="1" customFormat="1" ht="18.75">
      <c r="A26" s="63"/>
      <c r="B26" s="53"/>
      <c r="C26" s="4"/>
      <c r="D26" s="115"/>
      <c r="E26" s="6"/>
      <c r="G26" s="77"/>
    </row>
    <row r="27" spans="1:5" s="1" customFormat="1" ht="15.75">
      <c r="A27" s="7" t="s">
        <v>142</v>
      </c>
      <c r="B27" s="54"/>
      <c r="D27" s="113">
        <f>B28+B29</f>
        <v>62000</v>
      </c>
      <c r="E27" s="1" t="s">
        <v>436</v>
      </c>
    </row>
    <row r="28" spans="1:4" s="1" customFormat="1" ht="31.5">
      <c r="A28" s="114" t="s">
        <v>172</v>
      </c>
      <c r="B28" s="54">
        <f>'2.mell - bevétel'!H144</f>
        <v>62000</v>
      </c>
      <c r="C28" s="1" t="s">
        <v>436</v>
      </c>
      <c r="D28" s="113"/>
    </row>
    <row r="29" spans="1:4" s="1" customFormat="1" ht="15.75">
      <c r="A29" s="48" t="s">
        <v>173</v>
      </c>
      <c r="B29" s="54">
        <v>0</v>
      </c>
      <c r="C29" s="1" t="s">
        <v>436</v>
      </c>
      <c r="D29" s="113"/>
    </row>
    <row r="30" spans="1:4" s="1" customFormat="1" ht="15.75">
      <c r="A30" s="63"/>
      <c r="D30" s="112"/>
    </row>
    <row r="31" spans="1:5" s="1" customFormat="1" ht="15.75">
      <c r="A31" s="7" t="s">
        <v>43</v>
      </c>
      <c r="D31" s="116">
        <f>SUM(D11:D30)</f>
        <v>48212303</v>
      </c>
      <c r="E31" s="1" t="s">
        <v>436</v>
      </c>
    </row>
    <row r="32" spans="1:4" s="1" customFormat="1" ht="15.75">
      <c r="A32" s="48"/>
      <c r="D32" s="112"/>
    </row>
    <row r="33" spans="1:4" s="1" customFormat="1" ht="18.75">
      <c r="A33" s="111" t="s">
        <v>174</v>
      </c>
      <c r="D33" s="112"/>
    </row>
    <row r="34" spans="1:5" s="1" customFormat="1" ht="15.75">
      <c r="A34" s="9" t="s">
        <v>10</v>
      </c>
      <c r="B34" s="54"/>
      <c r="D34" s="113">
        <f>B36+B37+B38+B39+B40</f>
        <v>90644544</v>
      </c>
      <c r="E34" s="1" t="s">
        <v>436</v>
      </c>
    </row>
    <row r="35" spans="1:4" s="1" customFormat="1" ht="15.75">
      <c r="A35" s="8" t="s">
        <v>9</v>
      </c>
      <c r="B35" s="54"/>
      <c r="D35" s="113"/>
    </row>
    <row r="36" spans="1:4" s="1" customFormat="1" ht="15.75">
      <c r="A36" s="48" t="s">
        <v>175</v>
      </c>
      <c r="B36" s="54">
        <f>'4.mell. - kiadás'!D42</f>
        <v>17237760</v>
      </c>
      <c r="C36" s="1" t="s">
        <v>436</v>
      </c>
      <c r="D36" s="113"/>
    </row>
    <row r="37" spans="1:4" s="1" customFormat="1" ht="15.75">
      <c r="A37" s="48" t="s">
        <v>176</v>
      </c>
      <c r="B37" s="54">
        <f>'4.mell. - kiadás'!E42</f>
        <v>4669007</v>
      </c>
      <c r="C37" s="1" t="s">
        <v>436</v>
      </c>
      <c r="D37" s="113"/>
    </row>
    <row r="38" spans="1:4" s="1" customFormat="1" ht="15.75">
      <c r="A38" s="48" t="s">
        <v>177</v>
      </c>
      <c r="B38" s="54">
        <f>'4.mell. - kiadás'!F42</f>
        <v>22576508</v>
      </c>
      <c r="C38" s="1" t="s">
        <v>436</v>
      </c>
      <c r="D38" s="113"/>
    </row>
    <row r="39" spans="1:4" s="1" customFormat="1" ht="15.75">
      <c r="A39" s="117" t="s">
        <v>178</v>
      </c>
      <c r="B39" s="54">
        <f>'4.mell. - kiadás'!G42</f>
        <v>3361000</v>
      </c>
      <c r="C39" s="1" t="s">
        <v>436</v>
      </c>
      <c r="D39" s="113"/>
    </row>
    <row r="40" spans="1:4" s="1" customFormat="1" ht="15.75">
      <c r="A40" s="48" t="s">
        <v>70</v>
      </c>
      <c r="B40" s="54">
        <f>'4.mell. - kiadás'!H42</f>
        <v>42800269</v>
      </c>
      <c r="C40" s="1" t="s">
        <v>436</v>
      </c>
      <c r="D40" s="113"/>
    </row>
    <row r="41" spans="1:4" s="1" customFormat="1" ht="15.75">
      <c r="A41" s="48"/>
      <c r="B41" s="55"/>
      <c r="D41" s="113"/>
    </row>
    <row r="42" spans="1:5" s="1" customFormat="1" ht="15.75">
      <c r="A42" s="9" t="s">
        <v>11</v>
      </c>
      <c r="B42" s="54"/>
      <c r="D42" s="118">
        <f>B44+B45+B46</f>
        <v>26653000</v>
      </c>
      <c r="E42" s="1" t="s">
        <v>436</v>
      </c>
    </row>
    <row r="43" spans="1:4" s="1" customFormat="1" ht="15.75">
      <c r="A43" s="8" t="s">
        <v>9</v>
      </c>
      <c r="B43" s="54"/>
      <c r="D43" s="113"/>
    </row>
    <row r="44" spans="1:4" s="1" customFormat="1" ht="15.75">
      <c r="A44" s="48" t="s">
        <v>179</v>
      </c>
      <c r="B44" s="55">
        <f>'4.mell. - kiadás'!J42</f>
        <v>2848000</v>
      </c>
      <c r="C44" s="1" t="s">
        <v>436</v>
      </c>
      <c r="D44" s="113"/>
    </row>
    <row r="45" spans="1:4" s="1" customFormat="1" ht="15.75">
      <c r="A45" s="48" t="s">
        <v>180</v>
      </c>
      <c r="B45" s="55">
        <f>'4.mell. - kiadás'!K42</f>
        <v>23205000</v>
      </c>
      <c r="C45" s="1" t="s">
        <v>436</v>
      </c>
      <c r="D45" s="113"/>
    </row>
    <row r="46" spans="1:6" ht="15.75">
      <c r="A46" s="48" t="s">
        <v>71</v>
      </c>
      <c r="B46" s="55">
        <f>'4.mell. - kiadás'!L42</f>
        <v>600000</v>
      </c>
      <c r="C46" s="1" t="s">
        <v>436</v>
      </c>
      <c r="D46" s="113"/>
      <c r="E46" s="1"/>
      <c r="F46" s="1"/>
    </row>
    <row r="47" spans="1:4" s="1" customFormat="1" ht="15.75">
      <c r="A47" s="48"/>
      <c r="B47" s="55"/>
      <c r="D47" s="113"/>
    </row>
    <row r="48" spans="1:5" s="1" customFormat="1" ht="15.75">
      <c r="A48" s="19" t="s">
        <v>181</v>
      </c>
      <c r="B48" s="55"/>
      <c r="D48" s="345">
        <f>B49+B50+B51</f>
        <v>1318759</v>
      </c>
      <c r="E48" s="1" t="s">
        <v>436</v>
      </c>
    </row>
    <row r="49" spans="1:4" s="1" customFormat="1" ht="15.75">
      <c r="A49" s="48" t="s">
        <v>182</v>
      </c>
      <c r="B49" s="54"/>
      <c r="C49" s="1" t="s">
        <v>436</v>
      </c>
      <c r="D49" s="345"/>
    </row>
    <row r="50" spans="1:6" s="6" customFormat="1" ht="18.75">
      <c r="A50" s="48" t="s">
        <v>183</v>
      </c>
      <c r="B50" s="54"/>
      <c r="C50" s="1" t="s">
        <v>436</v>
      </c>
      <c r="D50" s="345"/>
      <c r="E50" s="1"/>
      <c r="F50" s="4"/>
    </row>
    <row r="51" spans="1:6" ht="15.75">
      <c r="A51" s="48" t="s">
        <v>398</v>
      </c>
      <c r="B51" s="348">
        <v>1318759</v>
      </c>
      <c r="C51" s="1" t="s">
        <v>436</v>
      </c>
      <c r="D51" s="345"/>
      <c r="E51" s="1"/>
      <c r="F51" s="1"/>
    </row>
    <row r="52" spans="1:6" ht="15.75">
      <c r="A52" s="7" t="s">
        <v>46</v>
      </c>
      <c r="B52" s="55"/>
      <c r="C52" s="1"/>
      <c r="D52" s="346">
        <f>SUM(D34:D51)</f>
        <v>118616303</v>
      </c>
      <c r="E52" s="4" t="s">
        <v>436</v>
      </c>
      <c r="F52" s="1"/>
    </row>
    <row r="53" spans="1:6" ht="15.75">
      <c r="A53" s="48"/>
      <c r="B53" s="54"/>
      <c r="C53" s="1"/>
      <c r="D53" s="347"/>
      <c r="E53" s="1"/>
      <c r="F53" s="1"/>
    </row>
    <row r="54" spans="1:6" ht="18.75">
      <c r="A54" s="7" t="s">
        <v>47</v>
      </c>
      <c r="B54" s="54"/>
      <c r="C54" s="1"/>
      <c r="D54" s="346">
        <f>D31-D52</f>
        <v>-70404000</v>
      </c>
      <c r="E54" s="4" t="s">
        <v>436</v>
      </c>
      <c r="F54" s="6"/>
    </row>
    <row r="55" spans="1:4" ht="15.75">
      <c r="A55" s="48"/>
      <c r="B55" s="54"/>
      <c r="C55" s="1"/>
      <c r="D55" s="45"/>
    </row>
    <row r="56" spans="1:5" ht="48">
      <c r="A56" s="119" t="s">
        <v>421</v>
      </c>
      <c r="B56" s="56"/>
      <c r="C56" s="6"/>
      <c r="D56" s="45">
        <v>29614876</v>
      </c>
      <c r="E56" s="4" t="s">
        <v>436</v>
      </c>
    </row>
    <row r="57" spans="1:6" s="1" customFormat="1" ht="15.75">
      <c r="A57" s="352" t="s">
        <v>420</v>
      </c>
      <c r="B57" s="53"/>
      <c r="C57" s="4"/>
      <c r="D57" s="45">
        <v>40789124</v>
      </c>
      <c r="E57" s="4"/>
      <c r="F57" s="4"/>
    </row>
    <row r="58" spans="1:5" ht="15.75">
      <c r="A58" s="7" t="s">
        <v>69</v>
      </c>
      <c r="D58" s="344">
        <f>D54+D56+D57</f>
        <v>0</v>
      </c>
      <c r="E58" s="4" t="s">
        <v>436</v>
      </c>
    </row>
    <row r="59" spans="1:4" s="1" customFormat="1" ht="10.5" customHeight="1">
      <c r="A59" s="5"/>
      <c r="B59" s="54"/>
      <c r="D59" s="25"/>
    </row>
    <row r="60" spans="1:5" ht="15.75">
      <c r="A60" s="5"/>
      <c r="B60" s="54"/>
      <c r="C60" s="1"/>
      <c r="D60" s="25"/>
      <c r="E60" s="7"/>
    </row>
    <row r="61" spans="1:5" ht="15.75">
      <c r="A61" s="7"/>
      <c r="D61" s="26"/>
      <c r="E61" s="7"/>
    </row>
  </sheetData>
  <sheetProtection/>
  <mergeCells count="6">
    <mergeCell ref="A1:E1"/>
    <mergeCell ref="A8:E8"/>
    <mergeCell ref="A6:E6"/>
    <mergeCell ref="A5:E5"/>
    <mergeCell ref="A7:E7"/>
    <mergeCell ref="A3:E3"/>
  </mergeCells>
  <printOptions horizontalCentered="1"/>
  <pageMargins left="0.1968503937007874" right="0.1968503937007874" top="0" bottom="0" header="0.5118110236220472" footer="0.5118110236220472"/>
  <pageSetup fitToHeight="1" fitToWidth="1"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5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25390625" style="62" customWidth="1"/>
    <col min="2" max="5" width="3.125" style="61" customWidth="1"/>
    <col min="6" max="6" width="52.125" style="8" customWidth="1"/>
    <col min="7" max="7" width="14.00390625" style="8" customWidth="1"/>
    <col min="8" max="8" width="12.625" style="8" customWidth="1"/>
    <col min="9" max="9" width="9.375" style="8" customWidth="1"/>
    <col min="10" max="16384" width="9.125" style="8" customWidth="1"/>
  </cols>
  <sheetData>
    <row r="1" spans="1:9" ht="15.75">
      <c r="A1" s="212" t="s">
        <v>440</v>
      </c>
      <c r="B1" s="212"/>
      <c r="C1" s="212"/>
      <c r="D1" s="212"/>
      <c r="E1" s="212"/>
      <c r="F1" s="78"/>
      <c r="G1" s="78"/>
      <c r="H1" s="78"/>
      <c r="I1" s="78"/>
    </row>
    <row r="2" spans="1:9" ht="15.75">
      <c r="A2" s="212"/>
      <c r="B2" s="212"/>
      <c r="C2" s="212"/>
      <c r="D2" s="212"/>
      <c r="E2" s="212"/>
      <c r="F2" s="78"/>
      <c r="G2" s="78"/>
      <c r="H2" s="78"/>
      <c r="I2" s="78"/>
    </row>
    <row r="3" spans="1:9" ht="15.75">
      <c r="A3" s="212" t="s">
        <v>426</v>
      </c>
      <c r="B3" s="212"/>
      <c r="C3" s="212"/>
      <c r="D3" s="212"/>
      <c r="E3" s="212"/>
      <c r="F3" s="78"/>
      <c r="G3" s="78"/>
      <c r="H3" s="78"/>
      <c r="I3" s="78"/>
    </row>
    <row r="4" spans="5:9" ht="15.75">
      <c r="E4" s="79"/>
      <c r="F4" s="79"/>
      <c r="G4" s="79"/>
      <c r="H4" s="79"/>
      <c r="I4" s="79"/>
    </row>
    <row r="5" spans="1:9" s="9" customFormat="1" ht="15.75">
      <c r="A5" s="378" t="s">
        <v>3</v>
      </c>
      <c r="B5" s="378"/>
      <c r="C5" s="378"/>
      <c r="D5" s="378"/>
      <c r="E5" s="378"/>
      <c r="F5" s="378"/>
      <c r="G5" s="378"/>
      <c r="H5" s="378"/>
      <c r="I5" s="378"/>
    </row>
    <row r="6" spans="1:9" s="9" customFormat="1" ht="15.75">
      <c r="A6" s="378" t="s">
        <v>35</v>
      </c>
      <c r="B6" s="378"/>
      <c r="C6" s="378"/>
      <c r="D6" s="378"/>
      <c r="E6" s="378"/>
      <c r="F6" s="378"/>
      <c r="G6" s="378"/>
      <c r="H6" s="378"/>
      <c r="I6" s="378"/>
    </row>
    <row r="7" spans="1:9" ht="15.75">
      <c r="A7" s="378" t="s">
        <v>371</v>
      </c>
      <c r="B7" s="378"/>
      <c r="C7" s="378"/>
      <c r="D7" s="378"/>
      <c r="E7" s="378"/>
      <c r="F7" s="378"/>
      <c r="G7" s="378"/>
      <c r="H7" s="378"/>
      <c r="I7" s="378"/>
    </row>
    <row r="8" ht="15.75" hidden="1"/>
    <row r="9" spans="6:7" ht="15.75">
      <c r="F9" s="379"/>
      <c r="G9" s="380"/>
    </row>
    <row r="10" spans="8:9" ht="16.5" thickBot="1">
      <c r="H10" s="64"/>
      <c r="I10" s="65" t="s">
        <v>437</v>
      </c>
    </row>
    <row r="11" spans="1:9" ht="15.75">
      <c r="A11" s="369" t="s">
        <v>14</v>
      </c>
      <c r="B11" s="370"/>
      <c r="C11" s="370"/>
      <c r="D11" s="370"/>
      <c r="E11" s="370"/>
      <c r="F11" s="371"/>
      <c r="G11" s="66" t="s">
        <v>12</v>
      </c>
      <c r="H11" s="66" t="s">
        <v>12</v>
      </c>
      <c r="I11" s="66" t="s">
        <v>13</v>
      </c>
    </row>
    <row r="12" spans="1:9" ht="15.75">
      <c r="A12" s="372"/>
      <c r="B12" s="373"/>
      <c r="C12" s="373"/>
      <c r="D12" s="373"/>
      <c r="E12" s="373"/>
      <c r="F12" s="374"/>
      <c r="G12" s="67" t="s">
        <v>7</v>
      </c>
      <c r="H12" s="68" t="s">
        <v>7</v>
      </c>
      <c r="I12" s="67"/>
    </row>
    <row r="13" spans="1:9" ht="16.5" thickBot="1">
      <c r="A13" s="375"/>
      <c r="B13" s="376"/>
      <c r="C13" s="376"/>
      <c r="D13" s="376"/>
      <c r="E13" s="376"/>
      <c r="F13" s="377"/>
      <c r="G13" s="69" t="s">
        <v>152</v>
      </c>
      <c r="H13" s="69" t="s">
        <v>371</v>
      </c>
      <c r="I13" s="69" t="s">
        <v>15</v>
      </c>
    </row>
    <row r="14" spans="1:9" ht="15.75">
      <c r="A14" s="288"/>
      <c r="B14" s="288"/>
      <c r="C14" s="288"/>
      <c r="D14" s="288"/>
      <c r="E14" s="288"/>
      <c r="F14" s="288"/>
      <c r="G14" s="288"/>
      <c r="H14" s="288"/>
      <c r="I14" s="288"/>
    </row>
    <row r="15" spans="1:9" ht="15.75">
      <c r="A15" s="288"/>
      <c r="B15" s="288"/>
      <c r="C15" s="288"/>
      <c r="D15" s="288"/>
      <c r="E15" s="288"/>
      <c r="F15" s="288"/>
      <c r="G15" s="288"/>
      <c r="H15" s="288"/>
      <c r="I15" s="288"/>
    </row>
    <row r="16" spans="1:9" ht="15.75">
      <c r="A16" s="19" t="s">
        <v>48</v>
      </c>
      <c r="B16" s="368" t="s">
        <v>75</v>
      </c>
      <c r="C16" s="368"/>
      <c r="D16" s="368"/>
      <c r="E16" s="368"/>
      <c r="F16" s="368"/>
      <c r="G16" s="81"/>
      <c r="H16" s="82"/>
      <c r="I16" s="81"/>
    </row>
    <row r="17" spans="1:9" ht="15.75">
      <c r="A17" s="19"/>
      <c r="B17" s="19" t="s">
        <v>48</v>
      </c>
      <c r="C17" s="19" t="s">
        <v>76</v>
      </c>
      <c r="D17" s="19"/>
      <c r="E17" s="19"/>
      <c r="F17" s="19"/>
      <c r="G17" s="40"/>
      <c r="H17" s="40"/>
      <c r="I17" s="19"/>
    </row>
    <row r="18" spans="1:9" ht="33" customHeight="1">
      <c r="A18" s="19"/>
      <c r="B18" s="19"/>
      <c r="C18" s="19" t="s">
        <v>41</v>
      </c>
      <c r="D18" s="368" t="s">
        <v>77</v>
      </c>
      <c r="E18" s="368"/>
      <c r="F18" s="368"/>
      <c r="G18" s="82"/>
      <c r="H18" s="82"/>
      <c r="I18" s="81"/>
    </row>
    <row r="19" spans="1:9" ht="33.75" customHeight="1">
      <c r="A19" s="19"/>
      <c r="B19" s="19"/>
      <c r="C19" s="19"/>
      <c r="D19" s="19" t="s">
        <v>41</v>
      </c>
      <c r="E19" s="368" t="s">
        <v>78</v>
      </c>
      <c r="F19" s="368"/>
      <c r="G19" s="82"/>
      <c r="H19" s="82"/>
      <c r="I19" s="81"/>
    </row>
    <row r="20" spans="1:9" ht="15.75">
      <c r="A20" s="22"/>
      <c r="B20" s="22"/>
      <c r="C20" s="22"/>
      <c r="D20" s="22"/>
      <c r="E20" s="22" t="s">
        <v>55</v>
      </c>
      <c r="F20" s="22" t="s">
        <v>49</v>
      </c>
      <c r="G20" s="39"/>
      <c r="H20" s="39"/>
      <c r="I20" s="83"/>
    </row>
    <row r="21" spans="1:9" ht="15.75">
      <c r="A21" s="22"/>
      <c r="B21" s="22"/>
      <c r="C21" s="22"/>
      <c r="D21" s="22"/>
      <c r="E21" s="22"/>
      <c r="F21" s="22" t="s">
        <v>79</v>
      </c>
      <c r="G21" s="39"/>
      <c r="I21" s="83"/>
    </row>
    <row r="22" spans="1:9" ht="31.5">
      <c r="A22" s="22"/>
      <c r="B22" s="22"/>
      <c r="C22" s="22"/>
      <c r="D22" s="22"/>
      <c r="E22" s="22" t="s">
        <v>56</v>
      </c>
      <c r="F22" s="84" t="s">
        <v>50</v>
      </c>
      <c r="G22" s="85"/>
      <c r="I22" s="83"/>
    </row>
    <row r="23" spans="1:9" ht="31.5">
      <c r="A23" s="22"/>
      <c r="B23" s="22"/>
      <c r="C23" s="22"/>
      <c r="D23" s="22"/>
      <c r="E23" s="22" t="s">
        <v>80</v>
      </c>
      <c r="F23" s="84" t="s">
        <v>81</v>
      </c>
      <c r="G23" s="326">
        <v>2553000</v>
      </c>
      <c r="H23" s="327">
        <v>2553350</v>
      </c>
      <c r="I23" s="83">
        <f>H23/G23*100</f>
        <v>100.01370936153545</v>
      </c>
    </row>
    <row r="24" spans="1:9" ht="15.75">
      <c r="A24" s="22"/>
      <c r="B24" s="22"/>
      <c r="C24" s="22"/>
      <c r="D24" s="22"/>
      <c r="E24" s="22"/>
      <c r="F24" s="22" t="s">
        <v>79</v>
      </c>
      <c r="G24" s="39"/>
      <c r="I24" s="83"/>
    </row>
    <row r="25" spans="1:9" ht="15.75">
      <c r="A25" s="22"/>
      <c r="B25" s="22"/>
      <c r="C25" s="22"/>
      <c r="D25" s="22"/>
      <c r="E25" s="22" t="s">
        <v>82</v>
      </c>
      <c r="F25" s="84" t="s">
        <v>83</v>
      </c>
      <c r="G25" s="326">
        <v>3392000</v>
      </c>
      <c r="H25" s="327">
        <v>3648000</v>
      </c>
      <c r="I25" s="83">
        <f aca="true" t="shared" si="0" ref="I25:I31">H25/G25*100</f>
        <v>107.54716981132076</v>
      </c>
    </row>
    <row r="26" spans="1:9" ht="15.75">
      <c r="A26" s="22"/>
      <c r="B26" s="22"/>
      <c r="C26" s="22"/>
      <c r="D26" s="22"/>
      <c r="E26" s="22"/>
      <c r="F26" s="22" t="s">
        <v>79</v>
      </c>
      <c r="G26" s="39"/>
      <c r="I26" s="83"/>
    </row>
    <row r="27" spans="1:9" ht="33" customHeight="1">
      <c r="A27" s="22"/>
      <c r="B27" s="22"/>
      <c r="C27" s="22"/>
      <c r="D27" s="22"/>
      <c r="E27" s="22" t="s">
        <v>84</v>
      </c>
      <c r="F27" s="84" t="s">
        <v>85</v>
      </c>
      <c r="G27" s="39">
        <v>100000</v>
      </c>
      <c r="H27" s="327">
        <v>100000</v>
      </c>
      <c r="I27" s="83">
        <f t="shared" si="0"/>
        <v>100</v>
      </c>
    </row>
    <row r="28" spans="1:9" ht="15.75">
      <c r="A28" s="22"/>
      <c r="B28" s="22"/>
      <c r="C28" s="22"/>
      <c r="D28" s="22"/>
      <c r="E28" s="22"/>
      <c r="F28" s="22" t="s">
        <v>79</v>
      </c>
      <c r="G28" s="39"/>
      <c r="I28" s="83"/>
    </row>
    <row r="29" spans="1:9" ht="15.75">
      <c r="A29" s="22"/>
      <c r="B29" s="22"/>
      <c r="C29" s="22"/>
      <c r="D29" s="22"/>
      <c r="E29" s="22" t="s">
        <v>86</v>
      </c>
      <c r="F29" s="84" t="s">
        <v>87</v>
      </c>
      <c r="G29" s="326">
        <v>7507000</v>
      </c>
      <c r="H29" s="327">
        <v>7506890</v>
      </c>
      <c r="I29" s="83">
        <f t="shared" si="0"/>
        <v>99.99853470094578</v>
      </c>
    </row>
    <row r="30" spans="1:9" s="49" customFormat="1" ht="15.75">
      <c r="A30" s="22"/>
      <c r="B30" s="22"/>
      <c r="C30" s="22"/>
      <c r="D30" s="22"/>
      <c r="E30" s="22"/>
      <c r="F30" s="22" t="s">
        <v>79</v>
      </c>
      <c r="G30" s="39"/>
      <c r="I30" s="83"/>
    </row>
    <row r="31" spans="1:9" ht="15.75">
      <c r="A31" s="22"/>
      <c r="B31" s="22"/>
      <c r="C31" s="22"/>
      <c r="D31" s="22" t="s">
        <v>57</v>
      </c>
      <c r="E31" s="22" t="s">
        <v>88</v>
      </c>
      <c r="F31" s="22"/>
      <c r="G31" s="328">
        <v>4000000</v>
      </c>
      <c r="H31" s="327">
        <v>5000000</v>
      </c>
      <c r="I31" s="83">
        <f t="shared" si="0"/>
        <v>125</v>
      </c>
    </row>
    <row r="32" spans="1:9" ht="15.75">
      <c r="A32" s="22"/>
      <c r="B32" s="22"/>
      <c r="C32" s="22"/>
      <c r="D32" s="22"/>
      <c r="E32" s="22"/>
      <c r="F32" s="22" t="s">
        <v>79</v>
      </c>
      <c r="G32" s="329">
        <v>-239000</v>
      </c>
      <c r="H32" s="327">
        <v>-267242</v>
      </c>
      <c r="I32" s="83">
        <f>H32/G32*100</f>
        <v>111.81673640167364</v>
      </c>
    </row>
    <row r="33" spans="1:9" ht="15.75">
      <c r="A33" s="22"/>
      <c r="B33" s="22"/>
      <c r="C33" s="22"/>
      <c r="D33" s="22" t="s">
        <v>58</v>
      </c>
      <c r="E33" s="22" t="s">
        <v>154</v>
      </c>
      <c r="F33" s="22"/>
      <c r="G33" s="39">
        <v>20000</v>
      </c>
      <c r="H33" s="327">
        <v>20400</v>
      </c>
      <c r="I33" s="83">
        <f>H33/G33*100</f>
        <v>102</v>
      </c>
    </row>
    <row r="34" spans="1:9" ht="15.75">
      <c r="A34" s="22"/>
      <c r="B34" s="22"/>
      <c r="C34" s="22"/>
      <c r="D34" s="22" t="s">
        <v>155</v>
      </c>
      <c r="E34" s="22" t="s">
        <v>104</v>
      </c>
      <c r="F34" s="22"/>
      <c r="G34" s="39">
        <v>682000</v>
      </c>
      <c r="H34" s="327">
        <v>206150</v>
      </c>
      <c r="I34" s="83">
        <f>H34/G34*100</f>
        <v>30.227272727272727</v>
      </c>
    </row>
    <row r="35" spans="1:9" ht="15.75">
      <c r="A35" s="22"/>
      <c r="B35" s="22"/>
      <c r="C35" s="22" t="s">
        <v>21</v>
      </c>
      <c r="D35" s="391" t="s">
        <v>90</v>
      </c>
      <c r="E35" s="391"/>
      <c r="F35" s="391"/>
      <c r="G35" s="39">
        <v>6000</v>
      </c>
      <c r="H35" s="327">
        <v>3200</v>
      </c>
      <c r="I35" s="83">
        <f>H35/G35*100</f>
        <v>53.333333333333336</v>
      </c>
    </row>
    <row r="36" spans="1:9" ht="15.75">
      <c r="A36" s="22"/>
      <c r="B36" s="22"/>
      <c r="C36" s="22" t="s">
        <v>102</v>
      </c>
      <c r="D36" s="22" t="s">
        <v>156</v>
      </c>
      <c r="E36" s="22"/>
      <c r="F36" s="22"/>
      <c r="G36" s="39">
        <v>48000</v>
      </c>
      <c r="H36" s="327">
        <v>33909</v>
      </c>
      <c r="I36" s="83">
        <f>H36/G36*100</f>
        <v>70.64375000000001</v>
      </c>
    </row>
    <row r="37" spans="1:9" s="49" customFormat="1" ht="15.75">
      <c r="A37" s="22"/>
      <c r="B37" s="22"/>
      <c r="C37" s="22"/>
      <c r="D37" s="22" t="s">
        <v>21</v>
      </c>
      <c r="E37" s="22" t="s">
        <v>89</v>
      </c>
      <c r="F37" s="22"/>
      <c r="G37" s="39"/>
      <c r="I37" s="83"/>
    </row>
    <row r="38" spans="1:9" ht="15.75">
      <c r="A38" s="22"/>
      <c r="B38" s="22"/>
      <c r="C38" s="22"/>
      <c r="D38" s="22"/>
      <c r="E38" s="22"/>
      <c r="F38" s="22" t="s">
        <v>79</v>
      </c>
      <c r="G38" s="39"/>
      <c r="I38" s="83"/>
    </row>
    <row r="39" spans="1:9" ht="15.75">
      <c r="A39" s="22"/>
      <c r="B39" s="22"/>
      <c r="C39" s="22"/>
      <c r="D39" s="22"/>
      <c r="E39" s="22"/>
      <c r="F39" s="22"/>
      <c r="G39" s="39"/>
      <c r="I39" s="83"/>
    </row>
    <row r="40" spans="1:9" ht="31.5" customHeight="1">
      <c r="A40" s="87"/>
      <c r="B40" s="87"/>
      <c r="C40" s="88"/>
      <c r="D40" s="381" t="s">
        <v>91</v>
      </c>
      <c r="E40" s="381"/>
      <c r="F40" s="381"/>
      <c r="G40" s="330">
        <f>SUM(G20:G39)</f>
        <v>18069000</v>
      </c>
      <c r="H40" s="330">
        <f>SUM(H20:H39)</f>
        <v>18804657</v>
      </c>
      <c r="I40" s="110">
        <f>H40/G40*100</f>
        <v>104.07137639050308</v>
      </c>
    </row>
    <row r="41" spans="1:9" s="49" customFormat="1" ht="15.75">
      <c r="A41" s="19"/>
      <c r="B41" s="19"/>
      <c r="C41" s="19"/>
      <c r="D41" s="80"/>
      <c r="E41" s="80"/>
      <c r="F41" s="80"/>
      <c r="G41" s="82"/>
      <c r="I41" s="83"/>
    </row>
    <row r="42" spans="1:9" ht="15.75">
      <c r="A42" s="22"/>
      <c r="B42" s="22"/>
      <c r="C42" s="19" t="s">
        <v>42</v>
      </c>
      <c r="D42" s="368" t="s">
        <v>92</v>
      </c>
      <c r="E42" s="368"/>
      <c r="F42" s="368"/>
      <c r="G42" s="82"/>
      <c r="I42" s="83"/>
    </row>
    <row r="43" spans="1:9" ht="15.75">
      <c r="A43" s="22"/>
      <c r="B43" s="22"/>
      <c r="C43" s="22"/>
      <c r="D43" s="22" t="s">
        <v>41</v>
      </c>
      <c r="E43" s="22" t="s">
        <v>157</v>
      </c>
      <c r="F43" s="22"/>
      <c r="G43" s="39">
        <v>327000</v>
      </c>
      <c r="I43" s="83">
        <f>H43/G43*100</f>
        <v>0</v>
      </c>
    </row>
    <row r="44" spans="1:9" ht="30.75" customHeight="1">
      <c r="A44" s="22"/>
      <c r="B44" s="22"/>
      <c r="C44" s="22"/>
      <c r="D44" s="22" t="s">
        <v>21</v>
      </c>
      <c r="E44" s="391" t="s">
        <v>158</v>
      </c>
      <c r="F44" s="391"/>
      <c r="G44" s="39">
        <v>1990000</v>
      </c>
      <c r="H44" s="327">
        <v>3855289</v>
      </c>
      <c r="I44" s="83"/>
    </row>
    <row r="45" spans="1:9" ht="15.75">
      <c r="A45" s="22"/>
      <c r="B45" s="22"/>
      <c r="C45" s="22"/>
      <c r="D45" s="22" t="s">
        <v>42</v>
      </c>
      <c r="E45" s="22" t="s">
        <v>93</v>
      </c>
      <c r="F45" s="22"/>
      <c r="G45" s="39">
        <v>1052000</v>
      </c>
      <c r="H45" s="327">
        <v>830400</v>
      </c>
      <c r="I45" s="83">
        <f>H45/G45*100</f>
        <v>78.93536121673004</v>
      </c>
    </row>
    <row r="46" spans="1:9" ht="15.75">
      <c r="A46" s="22"/>
      <c r="B46" s="22"/>
      <c r="C46" s="22"/>
      <c r="D46" s="22" t="s">
        <v>94</v>
      </c>
      <c r="E46" s="22" t="s">
        <v>95</v>
      </c>
      <c r="F46" s="22"/>
      <c r="G46" s="39"/>
      <c r="H46" s="327"/>
      <c r="I46" s="83"/>
    </row>
    <row r="47" spans="1:9" ht="15.75">
      <c r="A47" s="22"/>
      <c r="B47" s="22"/>
      <c r="C47" s="22"/>
      <c r="D47" s="22" t="s">
        <v>96</v>
      </c>
      <c r="E47" s="22" t="s">
        <v>97</v>
      </c>
      <c r="F47" s="22"/>
      <c r="G47" s="39">
        <v>3128000</v>
      </c>
      <c r="H47" s="327">
        <v>3823675</v>
      </c>
      <c r="I47" s="83">
        <f>H47/G47*100</f>
        <v>122.24024936061382</v>
      </c>
    </row>
    <row r="48" spans="1:9" ht="15.75">
      <c r="A48" s="22"/>
      <c r="B48" s="22"/>
      <c r="C48" s="22"/>
      <c r="D48" s="22"/>
      <c r="E48" s="22"/>
      <c r="F48" s="22"/>
      <c r="G48" s="39"/>
      <c r="H48" s="327"/>
      <c r="I48" s="83"/>
    </row>
    <row r="49" spans="1:9" ht="33.75" customHeight="1">
      <c r="A49" s="87"/>
      <c r="B49" s="87"/>
      <c r="C49" s="381" t="s">
        <v>98</v>
      </c>
      <c r="D49" s="381"/>
      <c r="E49" s="381"/>
      <c r="F49" s="381"/>
      <c r="G49" s="332">
        <f>SUM(G43:G48)</f>
        <v>6497000</v>
      </c>
      <c r="H49" s="331">
        <f>SUM(H43:H48)</f>
        <v>8509364</v>
      </c>
      <c r="I49" s="110">
        <f>H49/G49*100</f>
        <v>130.97374172695092</v>
      </c>
    </row>
    <row r="50" spans="1:9" ht="33.75" customHeight="1">
      <c r="A50" s="87"/>
      <c r="B50" s="87"/>
      <c r="C50" s="286"/>
      <c r="D50" s="286"/>
      <c r="E50" s="286"/>
      <c r="F50" s="286"/>
      <c r="G50" s="89"/>
      <c r="H50" s="89"/>
      <c r="I50" s="110"/>
    </row>
    <row r="51" spans="1:9" ht="33.75" customHeight="1">
      <c r="A51" s="87"/>
      <c r="B51" s="87"/>
      <c r="C51" s="286"/>
      <c r="D51" s="286"/>
      <c r="E51" s="286"/>
      <c r="F51" s="286"/>
      <c r="G51" s="89"/>
      <c r="H51" s="89"/>
      <c r="I51" s="110"/>
    </row>
    <row r="52" spans="1:9" ht="16.5" thickBot="1">
      <c r="A52" s="87"/>
      <c r="B52" s="87"/>
      <c r="C52" s="286"/>
      <c r="D52" s="286"/>
      <c r="E52" s="286"/>
      <c r="F52" s="286"/>
      <c r="G52" s="89"/>
      <c r="H52" s="89"/>
      <c r="I52" s="110"/>
    </row>
    <row r="53" spans="1:9" ht="15.75">
      <c r="A53" s="382" t="s">
        <v>14</v>
      </c>
      <c r="B53" s="383"/>
      <c r="C53" s="383"/>
      <c r="D53" s="383"/>
      <c r="E53" s="383"/>
      <c r="F53" s="384"/>
      <c r="G53" s="66" t="s">
        <v>12</v>
      </c>
      <c r="H53" s="66" t="s">
        <v>12</v>
      </c>
      <c r="I53" s="66" t="s">
        <v>13</v>
      </c>
    </row>
    <row r="54" spans="1:9" ht="15.75">
      <c r="A54" s="385"/>
      <c r="B54" s="386"/>
      <c r="C54" s="386"/>
      <c r="D54" s="386"/>
      <c r="E54" s="386"/>
      <c r="F54" s="387"/>
      <c r="G54" s="67" t="s">
        <v>7</v>
      </c>
      <c r="H54" s="68" t="s">
        <v>7</v>
      </c>
      <c r="I54" s="67"/>
    </row>
    <row r="55" spans="1:9" ht="16.5" thickBot="1">
      <c r="A55" s="388"/>
      <c r="B55" s="389"/>
      <c r="C55" s="389"/>
      <c r="D55" s="389"/>
      <c r="E55" s="389"/>
      <c r="F55" s="390"/>
      <c r="G55" s="69" t="s">
        <v>152</v>
      </c>
      <c r="H55" s="69" t="s">
        <v>371</v>
      </c>
      <c r="I55" s="69" t="s">
        <v>15</v>
      </c>
    </row>
    <row r="56" spans="1:9" ht="12" customHeight="1">
      <c r="A56" s="22"/>
      <c r="B56" s="22"/>
      <c r="C56" s="22"/>
      <c r="D56" s="22"/>
      <c r="E56" s="22"/>
      <c r="F56" s="22"/>
      <c r="G56" s="39"/>
      <c r="H56" s="39"/>
      <c r="I56" s="83"/>
    </row>
    <row r="57" spans="1:9" ht="31.5" customHeight="1">
      <c r="A57" s="22"/>
      <c r="B57" s="22"/>
      <c r="C57" s="19" t="s">
        <v>94</v>
      </c>
      <c r="D57" s="368" t="s">
        <v>99</v>
      </c>
      <c r="E57" s="368"/>
      <c r="F57" s="368"/>
      <c r="G57" s="82"/>
      <c r="H57" s="82"/>
      <c r="I57" s="81"/>
    </row>
    <row r="58" spans="1:9" ht="15.75">
      <c r="A58" s="22"/>
      <c r="B58" s="22"/>
      <c r="C58" s="22"/>
      <c r="D58" s="22" t="s">
        <v>41</v>
      </c>
      <c r="E58" s="391" t="s">
        <v>53</v>
      </c>
      <c r="F58" s="391"/>
      <c r="G58" s="85"/>
      <c r="H58" s="85"/>
      <c r="I58" s="84"/>
    </row>
    <row r="59" spans="1:9" ht="31.5">
      <c r="A59" s="22"/>
      <c r="B59" s="22"/>
      <c r="C59" s="22"/>
      <c r="D59" s="22"/>
      <c r="E59" s="22" t="s">
        <v>58</v>
      </c>
      <c r="F59" s="84" t="s">
        <v>100</v>
      </c>
      <c r="G59" s="329">
        <v>1200000</v>
      </c>
      <c r="H59" s="333">
        <v>1200000</v>
      </c>
      <c r="I59" s="83">
        <f>H59/G59*100</f>
        <v>100</v>
      </c>
    </row>
    <row r="60" spans="1:9" ht="12" customHeight="1">
      <c r="A60" s="22"/>
      <c r="B60" s="22"/>
      <c r="C60" s="22"/>
      <c r="D60" s="22"/>
      <c r="E60" s="22"/>
      <c r="F60" s="22"/>
      <c r="G60" s="39"/>
      <c r="H60" s="39"/>
      <c r="I60" s="83"/>
    </row>
    <row r="61" spans="1:9" ht="15.75">
      <c r="A61" s="87"/>
      <c r="B61" s="87"/>
      <c r="C61" s="393" t="s">
        <v>101</v>
      </c>
      <c r="D61" s="393"/>
      <c r="E61" s="393"/>
      <c r="F61" s="393"/>
      <c r="G61" s="331">
        <f>SUM(G59:G60)</f>
        <v>1200000</v>
      </c>
      <c r="H61" s="331">
        <f>SUM(H59:H60)</f>
        <v>1200000</v>
      </c>
      <c r="I61" s="334">
        <f>H61/G61*100</f>
        <v>100</v>
      </c>
    </row>
    <row r="62" spans="1:9" ht="12" customHeight="1">
      <c r="A62" s="22"/>
      <c r="B62" s="22"/>
      <c r="C62" s="22"/>
      <c r="D62" s="22"/>
      <c r="E62" s="22"/>
      <c r="F62" s="22"/>
      <c r="G62" s="39"/>
      <c r="H62" s="39"/>
      <c r="I62" s="83"/>
    </row>
    <row r="63" spans="1:9" ht="15.75">
      <c r="A63" s="92"/>
      <c r="B63" s="92"/>
      <c r="C63" s="96" t="s">
        <v>102</v>
      </c>
      <c r="D63" s="19" t="s">
        <v>103</v>
      </c>
      <c r="E63" s="92"/>
      <c r="F63" s="92"/>
      <c r="G63" s="97"/>
      <c r="H63" s="97"/>
      <c r="I63" s="83"/>
    </row>
    <row r="64" spans="1:9" ht="15.75">
      <c r="A64" s="92"/>
      <c r="B64" s="92"/>
      <c r="C64" s="92"/>
      <c r="D64" s="92" t="s">
        <v>41</v>
      </c>
      <c r="E64" s="394" t="s">
        <v>418</v>
      </c>
      <c r="F64" s="394"/>
      <c r="G64" s="97"/>
      <c r="H64" s="97">
        <v>112611</v>
      </c>
      <c r="I64" s="83"/>
    </row>
    <row r="65" spans="1:9" ht="12" customHeight="1">
      <c r="A65" s="22"/>
      <c r="B65" s="22"/>
      <c r="C65" s="22"/>
      <c r="D65" s="22"/>
      <c r="E65" s="22"/>
      <c r="F65" s="22"/>
      <c r="G65" s="39"/>
      <c r="H65" s="39"/>
      <c r="I65" s="83"/>
    </row>
    <row r="66" spans="1:9" ht="15.75">
      <c r="A66" s="22"/>
      <c r="B66" s="22"/>
      <c r="C66" s="87" t="s">
        <v>153</v>
      </c>
      <c r="D66" s="22"/>
      <c r="E66" s="22"/>
      <c r="F66" s="22"/>
      <c r="G66" s="89"/>
      <c r="H66" s="89"/>
      <c r="I66" s="83"/>
    </row>
    <row r="67" spans="1:9" ht="12" customHeight="1">
      <c r="A67" s="22"/>
      <c r="B67" s="22"/>
      <c r="C67" s="19"/>
      <c r="D67" s="22"/>
      <c r="E67" s="22"/>
      <c r="F67" s="22"/>
      <c r="G67" s="39"/>
      <c r="H67" s="39"/>
      <c r="I67" s="83"/>
    </row>
    <row r="68" spans="1:9" ht="15.75">
      <c r="A68" s="92"/>
      <c r="B68" s="368" t="s">
        <v>105</v>
      </c>
      <c r="C68" s="368"/>
      <c r="D68" s="368"/>
      <c r="E68" s="368"/>
      <c r="F68" s="368"/>
      <c r="G68" s="335">
        <f>G40+G49+G61+G66</f>
        <v>25766000</v>
      </c>
      <c r="H68" s="335">
        <f>H40+H49+H61+H64</f>
        <v>28626632</v>
      </c>
      <c r="I68" s="100">
        <f>H68/G68*100</f>
        <v>111.10235193666071</v>
      </c>
    </row>
    <row r="69" spans="1:9" ht="12" customHeight="1">
      <c r="A69" s="22"/>
      <c r="B69" s="22"/>
      <c r="C69" s="22"/>
      <c r="D69" s="22"/>
      <c r="E69" s="22"/>
      <c r="F69" s="22"/>
      <c r="G69" s="39"/>
      <c r="H69" s="39"/>
      <c r="I69" s="83"/>
    </row>
    <row r="70" spans="1:9" ht="15.75">
      <c r="A70" s="92"/>
      <c r="B70" s="19" t="s">
        <v>51</v>
      </c>
      <c r="C70" s="368" t="s">
        <v>106</v>
      </c>
      <c r="D70" s="368"/>
      <c r="E70" s="368"/>
      <c r="F70" s="368"/>
      <c r="G70" s="81"/>
      <c r="H70" s="82"/>
      <c r="I70" s="83"/>
    </row>
    <row r="71" spans="1:9" ht="15.75">
      <c r="A71" s="22"/>
      <c r="B71" s="22"/>
      <c r="C71" s="22" t="s">
        <v>21</v>
      </c>
      <c r="D71" s="22" t="s">
        <v>107</v>
      </c>
      <c r="E71" s="22"/>
      <c r="F71" s="22"/>
      <c r="G71" s="97"/>
      <c r="H71" s="39">
        <v>756671</v>
      </c>
      <c r="I71" s="83"/>
    </row>
    <row r="72" spans="1:9" ht="30" customHeight="1">
      <c r="A72" s="22"/>
      <c r="B72" s="22"/>
      <c r="C72" s="22" t="s">
        <v>42</v>
      </c>
      <c r="D72" s="392" t="s">
        <v>366</v>
      </c>
      <c r="E72" s="392"/>
      <c r="F72" s="392"/>
      <c r="G72" s="97">
        <v>46000</v>
      </c>
      <c r="H72" s="39">
        <v>46000</v>
      </c>
      <c r="I72" s="83"/>
    </row>
    <row r="73" spans="1:9" ht="12" customHeight="1">
      <c r="A73" s="22"/>
      <c r="B73" s="22"/>
      <c r="C73" s="22"/>
      <c r="D73" s="22"/>
      <c r="E73" s="22"/>
      <c r="F73" s="22"/>
      <c r="G73" s="39"/>
      <c r="H73" s="39"/>
      <c r="I73" s="83"/>
    </row>
    <row r="74" spans="1:9" ht="15.75" customHeight="1">
      <c r="A74" s="92"/>
      <c r="B74" s="368" t="s">
        <v>108</v>
      </c>
      <c r="C74" s="368"/>
      <c r="D74" s="368"/>
      <c r="E74" s="368"/>
      <c r="F74" s="368"/>
      <c r="G74" s="99">
        <f>SUM(G71:G73)</f>
        <v>46000</v>
      </c>
      <c r="H74" s="99">
        <f>SUM(H71:H73)</f>
        <v>802671</v>
      </c>
      <c r="I74" s="100"/>
    </row>
    <row r="75" spans="1:9" ht="12" customHeight="1">
      <c r="A75" s="22"/>
      <c r="B75" s="22"/>
      <c r="C75" s="22"/>
      <c r="D75" s="22"/>
      <c r="E75" s="22"/>
      <c r="F75" s="22"/>
      <c r="G75" s="39"/>
      <c r="H75" s="39"/>
      <c r="I75" s="83"/>
    </row>
    <row r="76" spans="1:9" ht="36" customHeight="1">
      <c r="A76" s="368" t="s">
        <v>109</v>
      </c>
      <c r="B76" s="368"/>
      <c r="C76" s="368"/>
      <c r="D76" s="368"/>
      <c r="E76" s="368"/>
      <c r="F76" s="368"/>
      <c r="G76" s="101">
        <f>G74+G68</f>
        <v>25812000</v>
      </c>
      <c r="H76" s="336">
        <f>H74+H68</f>
        <v>29429303</v>
      </c>
      <c r="I76" s="83">
        <f>H76/G76*100</f>
        <v>114.01403610723695</v>
      </c>
    </row>
    <row r="77" spans="1:9" ht="36" customHeight="1">
      <c r="A77" s="80"/>
      <c r="B77" s="80"/>
      <c r="C77" s="80"/>
      <c r="D77" s="80"/>
      <c r="E77" s="80"/>
      <c r="F77" s="80"/>
      <c r="G77" s="101"/>
      <c r="H77" s="101"/>
      <c r="I77" s="83"/>
    </row>
    <row r="78" spans="1:9" ht="12" customHeight="1">
      <c r="A78" s="22"/>
      <c r="B78" s="22"/>
      <c r="C78" s="22"/>
      <c r="D78" s="22"/>
      <c r="E78" s="22"/>
      <c r="F78" s="22"/>
      <c r="G78" s="39"/>
      <c r="H78" s="39"/>
      <c r="I78" s="83"/>
    </row>
    <row r="79" spans="1:9" s="70" customFormat="1" ht="15.75" customHeight="1">
      <c r="A79" s="19" t="s">
        <v>51</v>
      </c>
      <c r="B79" s="368" t="s">
        <v>110</v>
      </c>
      <c r="C79" s="368"/>
      <c r="D79" s="368"/>
      <c r="E79" s="368"/>
      <c r="F79" s="368"/>
      <c r="G79" s="81"/>
      <c r="H79" s="82"/>
      <c r="I79" s="83"/>
    </row>
    <row r="80" spans="1:9" ht="12" customHeight="1">
      <c r="A80" s="22"/>
      <c r="B80" s="22"/>
      <c r="C80" s="22"/>
      <c r="D80" s="22"/>
      <c r="E80" s="22"/>
      <c r="F80" s="22"/>
      <c r="G80" s="39"/>
      <c r="H80" s="39"/>
      <c r="I80" s="83"/>
    </row>
    <row r="81" spans="1:9" s="70" customFormat="1" ht="27.75" customHeight="1">
      <c r="A81" s="22"/>
      <c r="B81" s="19" t="s">
        <v>41</v>
      </c>
      <c r="C81" s="368" t="s">
        <v>111</v>
      </c>
      <c r="D81" s="368"/>
      <c r="E81" s="368"/>
      <c r="F81" s="368"/>
      <c r="G81" s="81"/>
      <c r="H81" s="82"/>
      <c r="I81" s="83"/>
    </row>
    <row r="82" spans="3:9" ht="35.25" customHeight="1">
      <c r="C82" s="61" t="s">
        <v>21</v>
      </c>
      <c r="D82" s="392" t="s">
        <v>159</v>
      </c>
      <c r="E82" s="392"/>
      <c r="F82" s="392"/>
      <c r="G82" s="102">
        <v>9743000</v>
      </c>
      <c r="H82" s="102"/>
      <c r="I82" s="10"/>
    </row>
    <row r="83" spans="1:9" ht="12" customHeight="1">
      <c r="A83" s="22"/>
      <c r="B83" s="22"/>
      <c r="C83" s="22"/>
      <c r="D83" s="22"/>
      <c r="E83" s="22"/>
      <c r="F83" s="22"/>
      <c r="G83" s="39"/>
      <c r="H83" s="39"/>
      <c r="I83" s="83"/>
    </row>
    <row r="84" spans="1:9" ht="15.75" customHeight="1">
      <c r="A84" s="92"/>
      <c r="B84" s="368" t="s">
        <v>112</v>
      </c>
      <c r="C84" s="368"/>
      <c r="D84" s="368"/>
      <c r="E84" s="368"/>
      <c r="F84" s="368"/>
      <c r="G84" s="103">
        <f>SUM(G82:G83)</f>
        <v>9743000</v>
      </c>
      <c r="H84" s="103">
        <f>SUM(H82:H83)</f>
        <v>0</v>
      </c>
      <c r="I84" s="83">
        <f>H84/G84*100</f>
        <v>0</v>
      </c>
    </row>
    <row r="85" spans="1:9" ht="12" customHeight="1">
      <c r="A85" s="22"/>
      <c r="B85" s="22"/>
      <c r="C85" s="22"/>
      <c r="D85" s="22"/>
      <c r="E85" s="22"/>
      <c r="F85" s="22"/>
      <c r="G85" s="39"/>
      <c r="H85" s="39"/>
      <c r="I85" s="83"/>
    </row>
    <row r="86" spans="1:9" ht="34.5" customHeight="1">
      <c r="A86" s="368" t="s">
        <v>113</v>
      </c>
      <c r="B86" s="368"/>
      <c r="C86" s="368"/>
      <c r="D86" s="368"/>
      <c r="E86" s="368"/>
      <c r="F86" s="368"/>
      <c r="G86" s="99">
        <f>G84</f>
        <v>9743000</v>
      </c>
      <c r="H86" s="99">
        <f>H84</f>
        <v>0</v>
      </c>
      <c r="I86" s="100">
        <f>H86/G86*100</f>
        <v>0</v>
      </c>
    </row>
    <row r="87" spans="1:9" ht="11.25" customHeight="1">
      <c r="A87" s="80"/>
      <c r="B87" s="80"/>
      <c r="C87" s="80"/>
      <c r="D87" s="80"/>
      <c r="E87" s="80"/>
      <c r="F87" s="80"/>
      <c r="G87" s="99"/>
      <c r="H87" s="99"/>
      <c r="I87" s="100"/>
    </row>
    <row r="88" spans="1:9" ht="12" customHeight="1">
      <c r="A88" s="22"/>
      <c r="B88" s="22"/>
      <c r="C88" s="22"/>
      <c r="D88" s="22"/>
      <c r="E88" s="22"/>
      <c r="F88" s="22"/>
      <c r="G88" s="39"/>
      <c r="H88" s="39"/>
      <c r="I88" s="83"/>
    </row>
    <row r="89" spans="1:9" ht="15.75">
      <c r="A89" s="19" t="s">
        <v>52</v>
      </c>
      <c r="B89" s="19" t="s">
        <v>114</v>
      </c>
      <c r="C89" s="19"/>
      <c r="D89" s="19"/>
      <c r="E89" s="19"/>
      <c r="F89" s="19"/>
      <c r="G89" s="19"/>
      <c r="H89" s="40"/>
      <c r="I89" s="83"/>
    </row>
    <row r="90" spans="1:9" ht="12" customHeight="1">
      <c r="A90" s="22"/>
      <c r="B90" s="22"/>
      <c r="C90" s="22"/>
      <c r="D90" s="22"/>
      <c r="E90" s="22"/>
      <c r="F90" s="22"/>
      <c r="G90" s="39"/>
      <c r="H90" s="39"/>
      <c r="I90" s="83"/>
    </row>
    <row r="91" spans="1:9" ht="15.75">
      <c r="A91" s="22"/>
      <c r="B91" s="22" t="s">
        <v>41</v>
      </c>
      <c r="C91" s="22" t="s">
        <v>115</v>
      </c>
      <c r="D91" s="22"/>
      <c r="E91" s="22"/>
      <c r="F91" s="22"/>
      <c r="G91" s="22"/>
      <c r="H91" s="39"/>
      <c r="I91" s="83"/>
    </row>
    <row r="92" spans="1:9" ht="15.75">
      <c r="A92" s="22"/>
      <c r="B92" s="22"/>
      <c r="C92" s="22" t="s">
        <v>41</v>
      </c>
      <c r="D92" s="22" t="s">
        <v>116</v>
      </c>
      <c r="E92" s="22"/>
      <c r="F92" s="22"/>
      <c r="G92" s="97">
        <v>1500000</v>
      </c>
      <c r="H92" s="326">
        <v>1500000</v>
      </c>
      <c r="I92" s="83">
        <f>H92/G92*100</f>
        <v>100</v>
      </c>
    </row>
    <row r="93" spans="1:9" ht="15.75">
      <c r="A93" s="19"/>
      <c r="B93" s="19" t="s">
        <v>21</v>
      </c>
      <c r="C93" s="19" t="s">
        <v>117</v>
      </c>
      <c r="D93" s="19"/>
      <c r="E93" s="19"/>
      <c r="F93" s="19"/>
      <c r="G93" s="19"/>
      <c r="H93" s="337"/>
      <c r="I93" s="83"/>
    </row>
    <row r="94" spans="1:9" s="9" customFormat="1" ht="15.75">
      <c r="A94" s="22"/>
      <c r="B94" s="22"/>
      <c r="C94" s="22" t="s">
        <v>41</v>
      </c>
      <c r="D94" s="22" t="s">
        <v>118</v>
      </c>
      <c r="E94" s="22"/>
      <c r="F94" s="22"/>
      <c r="G94" s="97">
        <v>3900000</v>
      </c>
      <c r="H94" s="326">
        <v>3900000</v>
      </c>
      <c r="I94" s="83">
        <f>H94/G94*100</f>
        <v>100</v>
      </c>
    </row>
    <row r="95" spans="1:9" ht="15.75">
      <c r="A95" s="19"/>
      <c r="B95" s="19" t="s">
        <v>42</v>
      </c>
      <c r="C95" s="19" t="s">
        <v>119</v>
      </c>
      <c r="D95" s="19"/>
      <c r="E95" s="19"/>
      <c r="F95" s="19"/>
      <c r="G95" s="97"/>
      <c r="H95" s="337"/>
      <c r="I95" s="83"/>
    </row>
    <row r="96" spans="1:9" ht="15.75">
      <c r="A96" s="22"/>
      <c r="B96" s="22"/>
      <c r="C96" s="22" t="s">
        <v>41</v>
      </c>
      <c r="D96" s="22" t="s">
        <v>120</v>
      </c>
      <c r="E96" s="22"/>
      <c r="F96" s="22"/>
      <c r="G96" s="97">
        <v>1913000</v>
      </c>
      <c r="H96" s="326">
        <v>1913000</v>
      </c>
      <c r="I96" s="83">
        <f>H96/G96*100</f>
        <v>100</v>
      </c>
    </row>
    <row r="97" spans="1:9" ht="15.75">
      <c r="A97" s="22"/>
      <c r="B97" s="19" t="s">
        <v>94</v>
      </c>
      <c r="C97" s="19" t="s">
        <v>121</v>
      </c>
      <c r="D97" s="22"/>
      <c r="E97" s="22"/>
      <c r="F97" s="22"/>
      <c r="G97" s="97"/>
      <c r="H97" s="39"/>
      <c r="I97" s="83"/>
    </row>
    <row r="98" spans="1:9" ht="15.75">
      <c r="A98" s="22"/>
      <c r="B98" s="22"/>
      <c r="C98" s="22" t="s">
        <v>41</v>
      </c>
      <c r="D98" s="22" t="s">
        <v>122</v>
      </c>
      <c r="E98" s="22"/>
      <c r="F98" s="22"/>
      <c r="G98" s="97">
        <v>14000</v>
      </c>
      <c r="H98" s="39">
        <v>140000</v>
      </c>
      <c r="I98" s="83">
        <f>H98/G98*100</f>
        <v>1000</v>
      </c>
    </row>
    <row r="99" spans="1:9" ht="15.75">
      <c r="A99" s="22"/>
      <c r="B99" s="22"/>
      <c r="C99" s="22"/>
      <c r="D99" s="22"/>
      <c r="E99" s="22"/>
      <c r="F99" s="22"/>
      <c r="G99" s="97"/>
      <c r="H99" s="39"/>
      <c r="I99" s="83"/>
    </row>
    <row r="100" spans="1:9" ht="15.75">
      <c r="A100" s="22"/>
      <c r="B100" s="22"/>
      <c r="C100" s="22"/>
      <c r="D100" s="22"/>
      <c r="E100" s="22"/>
      <c r="F100" s="22"/>
      <c r="G100" s="97"/>
      <c r="H100" s="39"/>
      <c r="I100" s="83"/>
    </row>
    <row r="101" spans="1:9" ht="15.75">
      <c r="A101" s="22"/>
      <c r="B101" s="22"/>
      <c r="C101" s="22"/>
      <c r="D101" s="22"/>
      <c r="E101" s="22"/>
      <c r="F101" s="22"/>
      <c r="G101" s="97"/>
      <c r="H101" s="39"/>
      <c r="I101" s="83"/>
    </row>
    <row r="102" spans="1:9" ht="15.75">
      <c r="A102" s="22"/>
      <c r="B102" s="22"/>
      <c r="C102" s="22"/>
      <c r="D102" s="22"/>
      <c r="E102" s="22"/>
      <c r="F102" s="22"/>
      <c r="G102" s="97"/>
      <c r="H102" s="39"/>
      <c r="I102" s="83"/>
    </row>
    <row r="103" spans="1:9" ht="16.5" thickBot="1">
      <c r="A103" s="22"/>
      <c r="B103" s="22"/>
      <c r="C103" s="22"/>
      <c r="D103" s="22"/>
      <c r="E103" s="22"/>
      <c r="F103" s="22"/>
      <c r="G103" s="97"/>
      <c r="H103" s="39"/>
      <c r="I103" s="83"/>
    </row>
    <row r="104" spans="1:9" ht="15.75" customHeight="1">
      <c r="A104" s="318" t="s">
        <v>14</v>
      </c>
      <c r="B104" s="289"/>
      <c r="C104" s="289"/>
      <c r="D104" s="289"/>
      <c r="E104" s="289"/>
      <c r="F104" s="290"/>
      <c r="G104" s="90" t="s">
        <v>12</v>
      </c>
      <c r="H104" s="90" t="s">
        <v>12</v>
      </c>
      <c r="I104" s="91" t="s">
        <v>13</v>
      </c>
    </row>
    <row r="105" spans="1:9" ht="15.75">
      <c r="A105" s="291"/>
      <c r="B105" s="92"/>
      <c r="C105" s="92"/>
      <c r="D105" s="92"/>
      <c r="E105" s="92"/>
      <c r="F105" s="292"/>
      <c r="G105" s="93" t="s">
        <v>7</v>
      </c>
      <c r="H105" s="93" t="s">
        <v>7</v>
      </c>
      <c r="I105" s="67"/>
    </row>
    <row r="106" spans="1:9" s="70" customFormat="1" ht="15.75" customHeight="1" thickBot="1">
      <c r="A106" s="295"/>
      <c r="B106" s="293"/>
      <c r="C106" s="293"/>
      <c r="D106" s="293"/>
      <c r="E106" s="293"/>
      <c r="F106" s="294"/>
      <c r="G106" s="94" t="s">
        <v>152</v>
      </c>
      <c r="H106" s="94" t="s">
        <v>397</v>
      </c>
      <c r="I106" s="69" t="s">
        <v>15</v>
      </c>
    </row>
    <row r="107" spans="1:9" ht="15.75">
      <c r="A107" s="22"/>
      <c r="B107" s="22"/>
      <c r="C107" s="19" t="s">
        <v>21</v>
      </c>
      <c r="D107" s="22" t="s">
        <v>74</v>
      </c>
      <c r="E107" s="22"/>
      <c r="F107" s="22"/>
      <c r="G107" s="97">
        <v>280000</v>
      </c>
      <c r="H107" s="39">
        <v>280000</v>
      </c>
      <c r="I107" s="83">
        <f>H107/G107*100</f>
        <v>100</v>
      </c>
    </row>
    <row r="108" spans="1:9" ht="15.75">
      <c r="A108" s="19"/>
      <c r="B108" s="19" t="s">
        <v>96</v>
      </c>
      <c r="C108" s="19" t="s">
        <v>123</v>
      </c>
      <c r="D108" s="19"/>
      <c r="E108" s="19"/>
      <c r="F108" s="19"/>
      <c r="G108" s="97"/>
      <c r="H108" s="40"/>
      <c r="I108" s="83"/>
    </row>
    <row r="109" spans="1:9" ht="15.75">
      <c r="A109" s="22"/>
      <c r="B109" s="22"/>
      <c r="C109" s="19" t="s">
        <v>41</v>
      </c>
      <c r="D109" s="22" t="s">
        <v>124</v>
      </c>
      <c r="E109" s="22"/>
      <c r="F109" s="22"/>
      <c r="G109" s="97">
        <v>5000</v>
      </c>
      <c r="H109" s="39">
        <v>5000</v>
      </c>
      <c r="I109" s="83">
        <f>H109/G109*100</f>
        <v>100</v>
      </c>
    </row>
    <row r="110" spans="1:9" ht="15.75" customHeight="1">
      <c r="A110" s="92"/>
      <c r="B110" s="92"/>
      <c r="C110" s="92" t="s">
        <v>42</v>
      </c>
      <c r="D110" s="98" t="s">
        <v>123</v>
      </c>
      <c r="E110" s="92"/>
      <c r="F110" s="92"/>
      <c r="G110" s="97"/>
      <c r="H110" s="97"/>
      <c r="I110" s="83"/>
    </row>
    <row r="111" spans="1:9" ht="15.75">
      <c r="A111" s="22"/>
      <c r="B111" s="22"/>
      <c r="C111" s="19" t="s">
        <v>94</v>
      </c>
      <c r="D111" s="22" t="s">
        <v>125</v>
      </c>
      <c r="E111" s="22"/>
      <c r="F111" s="22"/>
      <c r="G111" s="97">
        <v>75000</v>
      </c>
      <c r="H111" s="39">
        <v>75000</v>
      </c>
      <c r="I111" s="83">
        <f>H111/G111*100</f>
        <v>100</v>
      </c>
    </row>
    <row r="112" spans="1:9" ht="9" customHeight="1">
      <c r="A112" s="92"/>
      <c r="B112" s="92"/>
      <c r="C112" s="92"/>
      <c r="D112" s="92"/>
      <c r="E112" s="92"/>
      <c r="F112" s="92"/>
      <c r="G112" s="97"/>
      <c r="H112" s="97"/>
      <c r="I112" s="83"/>
    </row>
    <row r="113" spans="1:9" s="9" customFormat="1" ht="15.75">
      <c r="A113" s="19" t="s">
        <v>60</v>
      </c>
      <c r="B113" s="92"/>
      <c r="C113" s="92"/>
      <c r="D113" s="92"/>
      <c r="E113" s="92"/>
      <c r="F113" s="92"/>
      <c r="G113" s="99">
        <f>G92+G94+G96+G98+G107+G109+G110+G111</f>
        <v>7687000</v>
      </c>
      <c r="H113" s="338">
        <f>H92+H94+H96+H98+H107+H109+H110+H111</f>
        <v>7813000</v>
      </c>
      <c r="I113" s="100">
        <f>H113/G113*100</f>
        <v>101.63913100039026</v>
      </c>
    </row>
    <row r="114" spans="1:9" ht="9" customHeight="1">
      <c r="A114" s="92"/>
      <c r="B114" s="92"/>
      <c r="C114" s="92"/>
      <c r="D114" s="92"/>
      <c r="E114" s="92"/>
      <c r="F114" s="92"/>
      <c r="G114" s="97"/>
      <c r="H114" s="97"/>
      <c r="I114" s="83"/>
    </row>
    <row r="115" spans="1:9" ht="15.75">
      <c r="A115" s="19" t="s">
        <v>126</v>
      </c>
      <c r="B115" s="19" t="s">
        <v>54</v>
      </c>
      <c r="C115" s="19"/>
      <c r="D115" s="19"/>
      <c r="E115" s="19"/>
      <c r="F115" s="19"/>
      <c r="G115" s="19"/>
      <c r="H115" s="40"/>
      <c r="I115" s="83"/>
    </row>
    <row r="116" spans="1:9" ht="9" customHeight="1">
      <c r="A116" s="92"/>
      <c r="B116" s="92"/>
      <c r="C116" s="92"/>
      <c r="D116" s="92"/>
      <c r="E116" s="92"/>
      <c r="F116" s="92"/>
      <c r="G116" s="97"/>
      <c r="H116" s="97"/>
      <c r="I116" s="83"/>
    </row>
    <row r="117" spans="1:9" ht="15.75">
      <c r="A117" s="92"/>
      <c r="B117" s="92" t="s">
        <v>41</v>
      </c>
      <c r="C117" s="394" t="s">
        <v>127</v>
      </c>
      <c r="D117" s="394"/>
      <c r="E117" s="394"/>
      <c r="F117" s="394"/>
      <c r="G117" s="97"/>
      <c r="H117" s="97"/>
      <c r="I117" s="83"/>
    </row>
    <row r="118" spans="1:9" ht="15.75">
      <c r="A118" s="92"/>
      <c r="B118" s="92"/>
      <c r="C118" s="92" t="s">
        <v>41</v>
      </c>
      <c r="D118" s="98" t="s">
        <v>138</v>
      </c>
      <c r="E118" s="98"/>
      <c r="F118" s="98"/>
      <c r="G118" s="97">
        <v>180000</v>
      </c>
      <c r="H118" s="97">
        <v>187000</v>
      </c>
      <c r="I118" s="83">
        <f>H118/G118*100</f>
        <v>103.8888888888889</v>
      </c>
    </row>
    <row r="119" spans="1:9" ht="15.75">
      <c r="A119" s="92"/>
      <c r="B119" s="92"/>
      <c r="C119" s="92" t="s">
        <v>21</v>
      </c>
      <c r="D119" s="98" t="s">
        <v>130</v>
      </c>
      <c r="E119" s="98"/>
      <c r="F119" s="98"/>
      <c r="G119" s="97"/>
      <c r="H119" s="97"/>
      <c r="I119" s="83"/>
    </row>
    <row r="120" spans="1:9" ht="15.75">
      <c r="A120" s="92"/>
      <c r="B120" s="92"/>
      <c r="C120" s="92"/>
      <c r="D120" s="98" t="s">
        <v>41</v>
      </c>
      <c r="E120" s="98" t="s">
        <v>131</v>
      </c>
      <c r="F120" s="98"/>
      <c r="G120" s="97">
        <v>20000</v>
      </c>
      <c r="H120" s="97">
        <v>20000</v>
      </c>
      <c r="I120" s="83">
        <f>H120/G120*100</f>
        <v>100</v>
      </c>
    </row>
    <row r="121" spans="1:9" ht="15.75">
      <c r="A121" s="92"/>
      <c r="B121" s="92"/>
      <c r="C121" s="92"/>
      <c r="D121" s="98" t="s">
        <v>21</v>
      </c>
      <c r="E121" s="98" t="s">
        <v>132</v>
      </c>
      <c r="F121" s="98"/>
      <c r="G121" s="97">
        <v>820000</v>
      </c>
      <c r="H121" s="97">
        <v>820000</v>
      </c>
      <c r="I121" s="83">
        <f>H121/G121*100</f>
        <v>100</v>
      </c>
    </row>
    <row r="122" spans="1:9" ht="15.75">
      <c r="A122" s="92"/>
      <c r="B122" s="92"/>
      <c r="C122" s="92"/>
      <c r="D122" s="98" t="s">
        <v>42</v>
      </c>
      <c r="E122" s="98" t="s">
        <v>133</v>
      </c>
      <c r="F122" s="98"/>
      <c r="G122" s="97">
        <v>2000</v>
      </c>
      <c r="H122" s="97">
        <v>2000</v>
      </c>
      <c r="I122" s="83">
        <f>H122/G122*100</f>
        <v>100</v>
      </c>
    </row>
    <row r="123" spans="1:9" ht="15.75">
      <c r="A123" s="92"/>
      <c r="B123" s="92"/>
      <c r="C123" s="92"/>
      <c r="D123" s="98" t="s">
        <v>94</v>
      </c>
      <c r="E123" s="98" t="s">
        <v>61</v>
      </c>
      <c r="F123" s="98"/>
      <c r="G123" s="97">
        <v>1000</v>
      </c>
      <c r="H123" s="97">
        <v>1000</v>
      </c>
      <c r="I123" s="83">
        <f>H123/G123*100</f>
        <v>100</v>
      </c>
    </row>
    <row r="124" spans="1:9" ht="15.75">
      <c r="A124" s="92"/>
      <c r="B124" s="92"/>
      <c r="C124" s="92"/>
      <c r="D124" s="98" t="s">
        <v>96</v>
      </c>
      <c r="E124" s="98" t="s">
        <v>134</v>
      </c>
      <c r="F124" s="98"/>
      <c r="G124" s="97">
        <v>85000</v>
      </c>
      <c r="H124" s="97">
        <v>85000</v>
      </c>
      <c r="I124" s="83">
        <f>H124/G124*100</f>
        <v>100</v>
      </c>
    </row>
    <row r="125" spans="1:9" ht="15.75">
      <c r="A125" s="92"/>
      <c r="B125" s="92"/>
      <c r="C125" s="92" t="s">
        <v>42</v>
      </c>
      <c r="D125" s="98" t="s">
        <v>161</v>
      </c>
      <c r="E125" s="98"/>
      <c r="F125" s="98"/>
      <c r="G125" s="97"/>
      <c r="H125" s="97"/>
      <c r="I125" s="83"/>
    </row>
    <row r="126" spans="1:9" ht="15.75">
      <c r="A126" s="92"/>
      <c r="B126" s="92"/>
      <c r="D126" s="92" t="s">
        <v>41</v>
      </c>
      <c r="E126" s="98" t="s">
        <v>128</v>
      </c>
      <c r="F126" s="92"/>
      <c r="G126" s="97">
        <v>40000</v>
      </c>
      <c r="H126" s="97">
        <v>40000</v>
      </c>
      <c r="I126" s="83">
        <f>H126/G126*100</f>
        <v>100</v>
      </c>
    </row>
    <row r="127" spans="1:9" ht="15.75">
      <c r="A127" s="92"/>
      <c r="B127" s="92"/>
      <c r="D127" s="92" t="s">
        <v>21</v>
      </c>
      <c r="E127" s="98" t="s">
        <v>129</v>
      </c>
      <c r="F127" s="98"/>
      <c r="G127" s="97">
        <v>1149000</v>
      </c>
      <c r="H127" s="97">
        <v>385000</v>
      </c>
      <c r="I127" s="83">
        <f>H127/G127*100</f>
        <v>33.507397737162755</v>
      </c>
    </row>
    <row r="128" spans="4:9" ht="15.75">
      <c r="D128" s="61" t="s">
        <v>42</v>
      </c>
      <c r="E128" s="98" t="s">
        <v>62</v>
      </c>
      <c r="G128" s="97">
        <v>340000</v>
      </c>
      <c r="H128" s="97">
        <v>661000</v>
      </c>
      <c r="I128" s="83">
        <f>H128/G128*100</f>
        <v>194.41176470588235</v>
      </c>
    </row>
    <row r="129" spans="1:9" ht="15.75">
      <c r="A129" s="92"/>
      <c r="B129" s="92" t="s">
        <v>21</v>
      </c>
      <c r="C129" s="98" t="s">
        <v>135</v>
      </c>
      <c r="D129" s="98"/>
      <c r="E129" s="98"/>
      <c r="F129" s="98"/>
      <c r="G129" s="97"/>
      <c r="H129" s="97"/>
      <c r="I129" s="83"/>
    </row>
    <row r="130" spans="1:9" ht="15.75">
      <c r="A130" s="92"/>
      <c r="B130" s="92"/>
      <c r="C130" s="92" t="s">
        <v>41</v>
      </c>
      <c r="D130" s="98" t="s">
        <v>136</v>
      </c>
      <c r="E130" s="98"/>
      <c r="F130" s="98"/>
      <c r="G130" s="97">
        <v>2593000</v>
      </c>
      <c r="H130" s="339">
        <v>4099000</v>
      </c>
      <c r="I130" s="83">
        <f>H130/G130*100</f>
        <v>158.0794446586965</v>
      </c>
    </row>
    <row r="131" spans="1:9" ht="15.75">
      <c r="A131" s="92"/>
      <c r="B131" s="92" t="s">
        <v>42</v>
      </c>
      <c r="C131" s="98" t="s">
        <v>137</v>
      </c>
      <c r="D131" s="98"/>
      <c r="E131" s="98"/>
      <c r="F131" s="98"/>
      <c r="G131" s="97"/>
      <c r="H131" s="339"/>
      <c r="I131" s="83"/>
    </row>
    <row r="132" spans="1:9" ht="15.75">
      <c r="A132" s="92"/>
      <c r="B132" s="92"/>
      <c r="C132" s="92" t="s">
        <v>41</v>
      </c>
      <c r="D132" s="98" t="s">
        <v>72</v>
      </c>
      <c r="E132" s="98"/>
      <c r="F132" s="98"/>
      <c r="G132" s="97">
        <v>1107000</v>
      </c>
      <c r="H132" s="339">
        <v>1249000</v>
      </c>
      <c r="I132" s="83">
        <f>H132/G132*100</f>
        <v>112.8274616079494</v>
      </c>
    </row>
    <row r="133" spans="1:9" ht="15.75">
      <c r="A133" s="92"/>
      <c r="B133" s="92" t="s">
        <v>94</v>
      </c>
      <c r="C133" s="98" t="s">
        <v>139</v>
      </c>
      <c r="D133" s="92"/>
      <c r="E133" s="92"/>
      <c r="F133" s="92"/>
      <c r="G133" s="97">
        <v>1489000</v>
      </c>
      <c r="H133" s="339">
        <f>337000+178000+50000+104000+1107000+11000+29000</f>
        <v>1816000</v>
      </c>
      <c r="I133" s="83">
        <f>H133/G133*100</f>
        <v>121.96104768300873</v>
      </c>
    </row>
    <row r="134" spans="1:9" ht="15.75">
      <c r="A134" s="92"/>
      <c r="B134" s="92" t="s">
        <v>96</v>
      </c>
      <c r="C134" s="98" t="s">
        <v>140</v>
      </c>
      <c r="D134" s="92"/>
      <c r="E134" s="92"/>
      <c r="F134" s="92"/>
      <c r="G134" s="97">
        <v>1409000</v>
      </c>
      <c r="H134" s="339">
        <f>115000+1107000+80000+239000</f>
        <v>1541000</v>
      </c>
      <c r="I134" s="83">
        <f>H134/G134*100</f>
        <v>109.36834634492547</v>
      </c>
    </row>
    <row r="135" spans="1:9" ht="15.75">
      <c r="A135" s="92"/>
      <c r="B135" s="92" t="s">
        <v>102</v>
      </c>
      <c r="C135" s="98" t="s">
        <v>141</v>
      </c>
      <c r="D135" s="92"/>
      <c r="E135" s="92"/>
      <c r="F135" s="92"/>
      <c r="G135" s="97">
        <v>2000</v>
      </c>
      <c r="H135" s="97">
        <v>2000</v>
      </c>
      <c r="I135" s="83">
        <f>H135/G135*100</f>
        <v>100</v>
      </c>
    </row>
    <row r="136" spans="1:9" ht="9" customHeight="1">
      <c r="A136" s="92"/>
      <c r="B136" s="92"/>
      <c r="C136" s="92"/>
      <c r="D136" s="92"/>
      <c r="E136" s="92"/>
      <c r="F136" s="92"/>
      <c r="G136" s="97"/>
      <c r="H136" s="97"/>
      <c r="I136" s="83"/>
    </row>
    <row r="137" spans="1:9" ht="15.75">
      <c r="A137" s="19" t="s">
        <v>16</v>
      </c>
      <c r="B137" s="92"/>
      <c r="C137" s="92"/>
      <c r="D137" s="92"/>
      <c r="E137" s="92"/>
      <c r="F137" s="92"/>
      <c r="G137" s="99">
        <f>SUM(G117:G136)</f>
        <v>9237000</v>
      </c>
      <c r="H137" s="335">
        <f>SUM(H117:H136)</f>
        <v>10908000</v>
      </c>
      <c r="I137" s="100">
        <f>H137/G137*100</f>
        <v>118.09028905488795</v>
      </c>
    </row>
    <row r="138" spans="1:9" ht="9" customHeight="1">
      <c r="A138" s="92"/>
      <c r="B138" s="92"/>
      <c r="C138" s="92"/>
      <c r="D138" s="92"/>
      <c r="E138" s="92"/>
      <c r="F138" s="92"/>
      <c r="G138" s="97"/>
      <c r="H138" s="97"/>
      <c r="I138" s="83"/>
    </row>
    <row r="139" spans="1:9" ht="15.75">
      <c r="A139" s="19" t="s">
        <v>59</v>
      </c>
      <c r="B139" s="19" t="s">
        <v>142</v>
      </c>
      <c r="C139" s="19"/>
      <c r="D139" s="19"/>
      <c r="E139" s="19"/>
      <c r="F139" s="19"/>
      <c r="G139" s="19"/>
      <c r="H139" s="40"/>
      <c r="I139" s="83"/>
    </row>
    <row r="140" spans="1:9" ht="15.75">
      <c r="A140" s="22"/>
      <c r="B140" s="22" t="s">
        <v>41</v>
      </c>
      <c r="C140" s="285" t="s">
        <v>143</v>
      </c>
      <c r="D140" s="95"/>
      <c r="E140" s="95"/>
      <c r="F140" s="95"/>
      <c r="G140" s="84"/>
      <c r="H140" s="85"/>
      <c r="I140" s="83"/>
    </row>
    <row r="141" spans="1:9" ht="30" customHeight="1">
      <c r="A141" s="22"/>
      <c r="B141" s="22"/>
      <c r="C141" s="95" t="s">
        <v>41</v>
      </c>
      <c r="D141" s="391" t="s">
        <v>144</v>
      </c>
      <c r="E141" s="391"/>
      <c r="F141" s="391"/>
      <c r="G141" s="97">
        <v>92000</v>
      </c>
      <c r="H141" s="104">
        <v>62000</v>
      </c>
      <c r="I141" s="83">
        <f>H141/G141*100</f>
        <v>67.3913043478261</v>
      </c>
    </row>
    <row r="142" spans="1:9" ht="30" customHeight="1">
      <c r="A142" s="22"/>
      <c r="B142" s="22"/>
      <c r="C142" s="95" t="s">
        <v>21</v>
      </c>
      <c r="D142" s="391" t="s">
        <v>160</v>
      </c>
      <c r="E142" s="391"/>
      <c r="F142" s="391"/>
      <c r="G142" s="339">
        <v>26215000</v>
      </c>
      <c r="H142" s="104"/>
      <c r="I142" s="83"/>
    </row>
    <row r="143" spans="1:9" ht="9" customHeight="1">
      <c r="A143" s="92"/>
      <c r="B143" s="92"/>
      <c r="C143" s="92"/>
      <c r="D143" s="22"/>
      <c r="E143" s="92"/>
      <c r="F143" s="92"/>
      <c r="G143" s="339"/>
      <c r="H143" s="97"/>
      <c r="I143" s="83"/>
    </row>
    <row r="144" spans="1:9" ht="15.75">
      <c r="A144" s="395" t="s">
        <v>145</v>
      </c>
      <c r="B144" s="395"/>
      <c r="C144" s="395"/>
      <c r="D144" s="395"/>
      <c r="E144" s="395"/>
      <c r="F144" s="395"/>
      <c r="G144" s="340">
        <f>SUM(G141:G143)</f>
        <v>26307000</v>
      </c>
      <c r="H144" s="105">
        <f>SUM(H141:H143)</f>
        <v>62000</v>
      </c>
      <c r="I144" s="100">
        <f>H144/G144*100</f>
        <v>0.2356787166913749</v>
      </c>
    </row>
    <row r="145" spans="1:9" ht="9" customHeight="1">
      <c r="A145" s="92"/>
      <c r="B145" s="92"/>
      <c r="C145" s="92"/>
      <c r="D145" s="92"/>
      <c r="E145" s="92"/>
      <c r="F145" s="92"/>
      <c r="G145" s="339"/>
      <c r="H145" s="97"/>
      <c r="I145" s="83"/>
    </row>
    <row r="146" spans="1:9" ht="16.5">
      <c r="A146" s="106" t="s">
        <v>146</v>
      </c>
      <c r="B146" s="106"/>
      <c r="C146" s="106"/>
      <c r="D146" s="106"/>
      <c r="E146" s="106"/>
      <c r="F146" s="106"/>
      <c r="G146" s="340">
        <f>G144+G137+G113+G86+G76</f>
        <v>78786000</v>
      </c>
      <c r="H146" s="340">
        <f>H144+H137+H113+H86+H76</f>
        <v>48212303</v>
      </c>
      <c r="I146" s="100">
        <f>H146/G146*100</f>
        <v>61.193997664559696</v>
      </c>
    </row>
    <row r="147" spans="1:9" ht="16.5">
      <c r="A147" s="106"/>
      <c r="B147" s="106"/>
      <c r="C147" s="106"/>
      <c r="D147" s="106"/>
      <c r="E147" s="106"/>
      <c r="F147" s="106"/>
      <c r="G147" s="107"/>
      <c r="H147" s="107"/>
      <c r="I147" s="100"/>
    </row>
    <row r="148" spans="1:9" ht="15.75">
      <c r="A148" s="108" t="s">
        <v>147</v>
      </c>
      <c r="B148" s="368" t="s">
        <v>148</v>
      </c>
      <c r="C148" s="368"/>
      <c r="D148" s="368"/>
      <c r="E148" s="368"/>
      <c r="F148" s="368"/>
      <c r="G148" s="19"/>
      <c r="H148" s="85"/>
      <c r="I148" s="83"/>
    </row>
    <row r="149" spans="1:9" ht="15.75">
      <c r="A149" s="19"/>
      <c r="B149" s="80" t="s">
        <v>41</v>
      </c>
      <c r="C149" s="368" t="s">
        <v>149</v>
      </c>
      <c r="D149" s="368"/>
      <c r="E149" s="368"/>
      <c r="F149" s="368"/>
      <c r="G149" s="97"/>
      <c r="H149" s="85"/>
      <c r="I149" s="83"/>
    </row>
    <row r="150" spans="1:9" ht="15.75">
      <c r="A150" s="19"/>
      <c r="B150" s="80"/>
      <c r="C150" s="95" t="s">
        <v>41</v>
      </c>
      <c r="D150" s="391" t="s">
        <v>150</v>
      </c>
      <c r="E150" s="391"/>
      <c r="F150" s="391"/>
      <c r="G150" s="97">
        <v>1115000</v>
      </c>
      <c r="H150" s="341">
        <v>70404000</v>
      </c>
      <c r="I150" s="83">
        <f>H150/G150*100</f>
        <v>6314.260089686099</v>
      </c>
    </row>
    <row r="151" spans="1:9" ht="15.75">
      <c r="A151" s="22"/>
      <c r="B151" s="22"/>
      <c r="C151" s="22"/>
      <c r="D151" s="22"/>
      <c r="E151" s="22"/>
      <c r="F151" s="22"/>
      <c r="G151" s="48"/>
      <c r="H151" s="328"/>
      <c r="I151" s="83"/>
    </row>
    <row r="152" spans="1:9" ht="16.5">
      <c r="A152" s="106" t="s">
        <v>148</v>
      </c>
      <c r="B152" s="106"/>
      <c r="C152" s="106"/>
      <c r="D152" s="106"/>
      <c r="E152" s="106"/>
      <c r="F152" s="106"/>
      <c r="G152" s="109">
        <f>G150</f>
        <v>1115000</v>
      </c>
      <c r="H152" s="20">
        <f>H150</f>
        <v>70404000</v>
      </c>
      <c r="I152" s="83">
        <f>H152/G152*100</f>
        <v>6314.260089686099</v>
      </c>
    </row>
    <row r="153" spans="1:9" ht="15.75">
      <c r="A153" s="22"/>
      <c r="B153" s="22"/>
      <c r="C153" s="22"/>
      <c r="D153" s="22"/>
      <c r="E153" s="22"/>
      <c r="F153" s="22"/>
      <c r="G153" s="48"/>
      <c r="H153" s="342"/>
      <c r="I153" s="83"/>
    </row>
    <row r="154" spans="1:9" ht="18.75">
      <c r="A154" s="21" t="s">
        <v>151</v>
      </c>
      <c r="B154" s="21"/>
      <c r="C154" s="21"/>
      <c r="D154" s="21"/>
      <c r="E154" s="21"/>
      <c r="F154" s="21"/>
      <c r="G154" s="343">
        <f>G146+G152</f>
        <v>79901000</v>
      </c>
      <c r="H154" s="20">
        <f>H146+H152</f>
        <v>118616303</v>
      </c>
      <c r="I154" s="100">
        <f>H154/G154*100</f>
        <v>148.45409068722543</v>
      </c>
    </row>
  </sheetData>
  <sheetProtection/>
  <mergeCells count="37">
    <mergeCell ref="C149:F149"/>
    <mergeCell ref="D150:F150"/>
    <mergeCell ref="E44:F44"/>
    <mergeCell ref="D142:F142"/>
    <mergeCell ref="D141:F141"/>
    <mergeCell ref="A144:F144"/>
    <mergeCell ref="B148:F148"/>
    <mergeCell ref="A76:F76"/>
    <mergeCell ref="C117:F117"/>
    <mergeCell ref="A86:F86"/>
    <mergeCell ref="B84:F84"/>
    <mergeCell ref="D82:F82"/>
    <mergeCell ref="C81:F81"/>
    <mergeCell ref="B79:F79"/>
    <mergeCell ref="B74:F74"/>
    <mergeCell ref="B68:F68"/>
    <mergeCell ref="C70:F70"/>
    <mergeCell ref="D72:F72"/>
    <mergeCell ref="D57:F57"/>
    <mergeCell ref="E58:F58"/>
    <mergeCell ref="C61:F61"/>
    <mergeCell ref="E64:F64"/>
    <mergeCell ref="C49:F49"/>
    <mergeCell ref="A53:F55"/>
    <mergeCell ref="E19:F19"/>
    <mergeCell ref="D35:F35"/>
    <mergeCell ref="D40:F40"/>
    <mergeCell ref="D42:F42"/>
    <mergeCell ref="B16:F16"/>
    <mergeCell ref="A11:F13"/>
    <mergeCell ref="A5:I5"/>
    <mergeCell ref="A6:I6"/>
    <mergeCell ref="A7:I7"/>
    <mergeCell ref="D18:F18"/>
    <mergeCell ref="F9:G9"/>
  </mergeCells>
  <printOptions horizontalCentered="1"/>
  <pageMargins left="0.1968503937007874" right="0.1968503937007874" top="0.1968503937007874" bottom="0" header="0.5118110236220472" footer="0.511811023622047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0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9.125" style="200" customWidth="1"/>
    <col min="2" max="2" width="61.125" style="200" customWidth="1"/>
    <col min="3" max="6" width="26.25390625" style="200" customWidth="1"/>
    <col min="7" max="16384" width="9.125" style="200" customWidth="1"/>
  </cols>
  <sheetData>
    <row r="2" spans="1:6" s="188" customFormat="1" ht="15.75">
      <c r="A2" s="140" t="s">
        <v>441</v>
      </c>
      <c r="C2" s="189"/>
      <c r="D2" s="190"/>
      <c r="E2" s="190"/>
      <c r="F2" s="190"/>
    </row>
    <row r="3" spans="1:6" s="188" customFormat="1" ht="15.75">
      <c r="A3" s="140"/>
      <c r="C3" s="189"/>
      <c r="D3" s="190"/>
      <c r="E3" s="190"/>
      <c r="F3" s="190"/>
    </row>
    <row r="4" spans="1:6" s="188" customFormat="1" ht="15.75">
      <c r="A4" s="140" t="s">
        <v>427</v>
      </c>
      <c r="C4" s="189"/>
      <c r="D4" s="190"/>
      <c r="E4" s="190"/>
      <c r="F4" s="190"/>
    </row>
    <row r="5" spans="2:6" s="72" customFormat="1" ht="15" customHeight="1">
      <c r="B5" s="416"/>
      <c r="C5" s="416"/>
      <c r="D5" s="416"/>
      <c r="E5" s="416"/>
      <c r="F5" s="416"/>
    </row>
    <row r="6" spans="3:6" s="191" customFormat="1" ht="15" customHeight="1">
      <c r="C6" s="192"/>
      <c r="D6" s="193"/>
      <c r="E6" s="193"/>
      <c r="F6" s="193"/>
    </row>
    <row r="7" spans="2:6" s="138" customFormat="1" ht="15" customHeight="1">
      <c r="B7" s="379" t="s">
        <v>38</v>
      </c>
      <c r="C7" s="379"/>
      <c r="D7" s="379"/>
      <c r="E7" s="379"/>
      <c r="F7" s="379"/>
    </row>
    <row r="8" spans="2:6" s="138" customFormat="1" ht="15.75">
      <c r="B8" s="417" t="s">
        <v>294</v>
      </c>
      <c r="C8" s="417"/>
      <c r="D8" s="417"/>
      <c r="E8" s="417"/>
      <c r="F8" s="417"/>
    </row>
    <row r="9" spans="2:6" s="138" customFormat="1" ht="15" customHeight="1">
      <c r="B9" s="379" t="s">
        <v>371</v>
      </c>
      <c r="C9" s="379"/>
      <c r="D9" s="379"/>
      <c r="E9" s="379"/>
      <c r="F9" s="379"/>
    </row>
    <row r="10" spans="2:6" s="188" customFormat="1" ht="12" customHeight="1" thickBot="1">
      <c r="B10" s="189"/>
      <c r="C10" s="194"/>
      <c r="D10" s="195"/>
      <c r="E10" s="195"/>
      <c r="F10" s="196"/>
    </row>
    <row r="11" spans="1:6" s="188" customFormat="1" ht="16.5" customHeight="1" thickBot="1">
      <c r="A11" s="396" t="s">
        <v>185</v>
      </c>
      <c r="B11" s="399" t="s">
        <v>186</v>
      </c>
      <c r="C11" s="402" t="s">
        <v>295</v>
      </c>
      <c r="D11" s="405" t="s">
        <v>296</v>
      </c>
      <c r="E11" s="405"/>
      <c r="F11" s="406"/>
    </row>
    <row r="12" spans="1:6" s="188" customFormat="1" ht="33" customHeight="1" thickBot="1">
      <c r="A12" s="397"/>
      <c r="B12" s="400"/>
      <c r="C12" s="403"/>
      <c r="D12" s="197" t="s">
        <v>297</v>
      </c>
      <c r="E12" s="198" t="s">
        <v>298</v>
      </c>
      <c r="F12" s="199" t="s">
        <v>299</v>
      </c>
    </row>
    <row r="13" spans="1:6" s="188" customFormat="1" ht="22.5" customHeight="1">
      <c r="A13" s="397"/>
      <c r="B13" s="400"/>
      <c r="C13" s="403"/>
      <c r="D13" s="407" t="s">
        <v>300</v>
      </c>
      <c r="E13" s="408"/>
      <c r="F13" s="409"/>
    </row>
    <row r="14" spans="1:6" ht="12.75">
      <c r="A14" s="397"/>
      <c r="B14" s="400"/>
      <c r="C14" s="403"/>
      <c r="D14" s="410"/>
      <c r="E14" s="411"/>
      <c r="F14" s="412"/>
    </row>
    <row r="15" spans="1:6" ht="3" customHeight="1" thickBot="1">
      <c r="A15" s="398"/>
      <c r="B15" s="401"/>
      <c r="C15" s="404"/>
      <c r="D15" s="413"/>
      <c r="E15" s="414"/>
      <c r="F15" s="415"/>
    </row>
    <row r="16" spans="1:6" ht="30">
      <c r="A16" s="201" t="s">
        <v>202</v>
      </c>
      <c r="B16" s="202" t="s">
        <v>203</v>
      </c>
      <c r="C16" s="203">
        <f>SUM(D16:F16)</f>
        <v>69000</v>
      </c>
      <c r="D16" s="203">
        <f>3125000-3056000</f>
        <v>69000</v>
      </c>
      <c r="E16" s="203"/>
      <c r="F16" s="204"/>
    </row>
    <row r="17" spans="1:6" ht="15">
      <c r="A17" s="127" t="s">
        <v>204</v>
      </c>
      <c r="B17" s="124" t="s">
        <v>33</v>
      </c>
      <c r="C17" s="205">
        <f aca="true" t="shared" si="0" ref="C17:C29">SUM(D17:F17)</f>
        <v>52000</v>
      </c>
      <c r="D17" s="205">
        <v>52000</v>
      </c>
      <c r="E17" s="205"/>
      <c r="F17" s="206"/>
    </row>
    <row r="18" spans="1:6" ht="15">
      <c r="A18" s="127" t="s">
        <v>205</v>
      </c>
      <c r="B18" s="124" t="s">
        <v>206</v>
      </c>
      <c r="C18" s="205">
        <f t="shared" si="0"/>
        <v>956000</v>
      </c>
      <c r="D18" s="205">
        <f>820000+2000000-2000000</f>
        <v>820000</v>
      </c>
      <c r="E18" s="205">
        <v>136000</v>
      </c>
      <c r="F18" s="206"/>
    </row>
    <row r="19" spans="1:6" ht="15">
      <c r="A19" s="127" t="s">
        <v>301</v>
      </c>
      <c r="B19" s="124" t="s">
        <v>302</v>
      </c>
      <c r="C19" s="205">
        <f t="shared" si="0"/>
        <v>28626632</v>
      </c>
      <c r="D19" s="205">
        <f>28514021+112611</f>
        <v>28626632</v>
      </c>
      <c r="E19" s="205"/>
      <c r="F19" s="206"/>
    </row>
    <row r="20" spans="1:6" ht="15">
      <c r="A20" s="127" t="s">
        <v>422</v>
      </c>
      <c r="B20" s="124" t="s">
        <v>423</v>
      </c>
      <c r="C20" s="205">
        <f t="shared" si="0"/>
        <v>70404000</v>
      </c>
      <c r="D20" s="205">
        <f>3059000+2000000+23205000+42061196+78727+77</f>
        <v>70404000</v>
      </c>
      <c r="E20" s="205"/>
      <c r="F20" s="206"/>
    </row>
    <row r="21" spans="1:6" ht="15">
      <c r="A21" s="127" t="s">
        <v>416</v>
      </c>
      <c r="B21" s="124" t="s">
        <v>417</v>
      </c>
      <c r="C21" s="205">
        <f t="shared" si="0"/>
        <v>756671</v>
      </c>
      <c r="D21" s="205">
        <v>756671</v>
      </c>
      <c r="E21" s="205"/>
      <c r="F21" s="206"/>
    </row>
    <row r="22" spans="1:6" ht="15">
      <c r="A22" s="127" t="s">
        <v>209</v>
      </c>
      <c r="B22" s="124" t="s">
        <v>210</v>
      </c>
      <c r="C22" s="205">
        <f t="shared" si="0"/>
        <v>6313000</v>
      </c>
      <c r="D22" s="205">
        <v>6313000</v>
      </c>
      <c r="E22" s="205"/>
      <c r="F22" s="206"/>
    </row>
    <row r="23" spans="1:6" ht="15">
      <c r="A23" s="127" t="s">
        <v>219</v>
      </c>
      <c r="B23" s="124" t="s">
        <v>31</v>
      </c>
      <c r="C23" s="205">
        <f t="shared" si="0"/>
        <v>0</v>
      </c>
      <c r="D23" s="205">
        <f>23205000-23205000</f>
        <v>0</v>
      </c>
      <c r="E23" s="205"/>
      <c r="F23" s="206"/>
    </row>
    <row r="24" spans="1:6" ht="15">
      <c r="A24" s="127" t="s">
        <v>303</v>
      </c>
      <c r="B24" s="124" t="s">
        <v>304</v>
      </c>
      <c r="C24" s="205">
        <f t="shared" si="0"/>
        <v>489000</v>
      </c>
      <c r="D24" s="205">
        <v>489000</v>
      </c>
      <c r="E24" s="205"/>
      <c r="F24" s="206"/>
    </row>
    <row r="25" spans="1:6" ht="15">
      <c r="A25" s="127" t="s">
        <v>305</v>
      </c>
      <c r="B25" s="124" t="s">
        <v>306</v>
      </c>
      <c r="C25" s="205">
        <f t="shared" si="0"/>
        <v>317000</v>
      </c>
      <c r="D25" s="205"/>
      <c r="E25" s="205">
        <v>317000</v>
      </c>
      <c r="F25" s="206"/>
    </row>
    <row r="26" spans="1:6" ht="15">
      <c r="A26" s="127" t="s">
        <v>305</v>
      </c>
      <c r="B26" s="130" t="s">
        <v>372</v>
      </c>
      <c r="C26" s="205">
        <f>SUM(D26:F26)</f>
        <v>954000</v>
      </c>
      <c r="D26" s="205"/>
      <c r="E26" s="205">
        <v>954000</v>
      </c>
      <c r="F26" s="206"/>
    </row>
    <row r="27" spans="1:6" ht="15">
      <c r="A27" s="210">
        <v>104051</v>
      </c>
      <c r="B27" s="124" t="s">
        <v>361</v>
      </c>
      <c r="C27" s="205">
        <f t="shared" si="0"/>
        <v>46000</v>
      </c>
      <c r="D27" s="205"/>
      <c r="E27" s="205"/>
      <c r="F27" s="206">
        <v>46000</v>
      </c>
    </row>
    <row r="28" spans="1:6" ht="15">
      <c r="A28" s="127" t="s">
        <v>227</v>
      </c>
      <c r="B28" s="130" t="s">
        <v>360</v>
      </c>
      <c r="C28" s="205">
        <f t="shared" si="0"/>
        <v>1825000</v>
      </c>
      <c r="D28" s="205">
        <v>1825000</v>
      </c>
      <c r="E28" s="205"/>
      <c r="F28" s="206"/>
    </row>
    <row r="29" spans="1:6" ht="30.75" thickBot="1">
      <c r="A29" s="210">
        <v>900020</v>
      </c>
      <c r="B29" s="124" t="s">
        <v>307</v>
      </c>
      <c r="C29" s="205">
        <f t="shared" si="0"/>
        <v>7808000</v>
      </c>
      <c r="D29" s="205">
        <v>7808000</v>
      </c>
      <c r="E29" s="205"/>
      <c r="F29" s="206"/>
    </row>
    <row r="30" spans="1:6" ht="30" customHeight="1" thickBot="1">
      <c r="A30" s="211"/>
      <c r="B30" s="211" t="s">
        <v>1</v>
      </c>
      <c r="C30" s="209">
        <f>SUM(C16:C29)</f>
        <v>118616303</v>
      </c>
      <c r="D30" s="209">
        <f>SUM(D16:D29)</f>
        <v>117163303</v>
      </c>
      <c r="E30" s="209">
        <f>SUM(E16:E29)</f>
        <v>1407000</v>
      </c>
      <c r="F30" s="209">
        <f>SUM(F16:F29)</f>
        <v>46000</v>
      </c>
    </row>
  </sheetData>
  <sheetProtection/>
  <mergeCells count="9">
    <mergeCell ref="A11:A15"/>
    <mergeCell ref="B11:B15"/>
    <mergeCell ref="C11:C15"/>
    <mergeCell ref="D11:F11"/>
    <mergeCell ref="D13:F15"/>
    <mergeCell ref="B5:F5"/>
    <mergeCell ref="B7:F7"/>
    <mergeCell ref="B8:F8"/>
    <mergeCell ref="B9:F9"/>
  </mergeCells>
  <printOptions horizontalCentered="1"/>
  <pageMargins left="0" right="0" top="0.7874015748031497" bottom="0.7480314960629921" header="0.31496062992125984" footer="0.31496062992125984"/>
  <pageSetup fitToHeight="1" fitToWidth="1" horizontalDpi="600" verticalDpi="600" orientation="landscape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9.125" style="11" customWidth="1"/>
    <col min="2" max="2" width="44.125" style="11" customWidth="1"/>
    <col min="3" max="3" width="11.625" style="11" customWidth="1"/>
    <col min="4" max="7" width="10.375" style="11" customWidth="1"/>
    <col min="8" max="11" width="10.25390625" style="11" customWidth="1"/>
    <col min="12" max="12" width="9.625" style="11" customWidth="1"/>
    <col min="13" max="13" width="10.875" style="11" customWidth="1"/>
    <col min="14" max="14" width="15.25390625" style="11" customWidth="1"/>
    <col min="15" max="15" width="9.875" style="11" customWidth="1"/>
    <col min="16" max="16" width="10.625" style="11" customWidth="1"/>
    <col min="17" max="17" width="9.625" style="11" customWidth="1"/>
    <col min="18" max="16384" width="9.125" style="11" customWidth="1"/>
  </cols>
  <sheetData>
    <row r="1" spans="1:19" ht="15.75">
      <c r="A1" s="140" t="s">
        <v>442</v>
      </c>
      <c r="K1" s="450"/>
      <c r="L1" s="450"/>
      <c r="M1" s="450"/>
      <c r="N1" s="450"/>
      <c r="O1" s="450"/>
      <c r="P1" s="450"/>
      <c r="Q1" s="450"/>
      <c r="R1" s="450"/>
      <c r="S1" s="450"/>
    </row>
    <row r="2" spans="1:19" ht="15.75">
      <c r="A2" s="140"/>
      <c r="K2" s="79"/>
      <c r="L2" s="79"/>
      <c r="M2" s="79"/>
      <c r="N2" s="79"/>
      <c r="O2" s="79"/>
      <c r="P2" s="79"/>
      <c r="Q2" s="79"/>
      <c r="R2" s="79"/>
      <c r="S2" s="79"/>
    </row>
    <row r="3" spans="1:16" ht="15.75" customHeight="1">
      <c r="A3" s="421" t="s">
        <v>428</v>
      </c>
      <c r="B3" s="421"/>
      <c r="C3" s="421"/>
      <c r="D3" s="421"/>
      <c r="E3" s="421"/>
      <c r="F3" s="421"/>
      <c r="G3" s="421"/>
      <c r="H3" s="421"/>
      <c r="I3" s="421"/>
      <c r="J3" s="421"/>
      <c r="K3" s="421"/>
      <c r="L3" s="421"/>
      <c r="M3" s="421"/>
      <c r="N3" s="421"/>
      <c r="O3" s="421"/>
      <c r="P3" s="421"/>
    </row>
    <row r="4" spans="1:19" s="121" customFormat="1" ht="15.75" customHeight="1">
      <c r="A4" s="422"/>
      <c r="B4" s="422"/>
      <c r="C4" s="422"/>
      <c r="D4" s="422"/>
      <c r="E4" s="422"/>
      <c r="F4" s="422"/>
      <c r="G4" s="422"/>
      <c r="H4" s="422"/>
      <c r="I4" s="422"/>
      <c r="J4" s="422"/>
      <c r="K4" s="422"/>
      <c r="L4" s="422"/>
      <c r="M4" s="422"/>
      <c r="N4" s="422"/>
      <c r="O4" s="422"/>
      <c r="P4" s="422"/>
      <c r="Q4" s="422"/>
      <c r="R4" s="422"/>
      <c r="S4" s="422"/>
    </row>
    <row r="5" spans="1:16" s="121" customFormat="1" ht="15.75" customHeight="1">
      <c r="A5" s="120"/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</row>
    <row r="6" spans="1:19" s="121" customFormat="1" ht="15.75" customHeight="1">
      <c r="A6" s="422" t="s">
        <v>38</v>
      </c>
      <c r="B6" s="422"/>
      <c r="C6" s="422"/>
      <c r="D6" s="422"/>
      <c r="E6" s="422"/>
      <c r="F6" s="422"/>
      <c r="G6" s="422"/>
      <c r="H6" s="422"/>
      <c r="I6" s="422"/>
      <c r="J6" s="422"/>
      <c r="K6" s="422"/>
      <c r="L6" s="422"/>
      <c r="M6" s="422"/>
      <c r="N6" s="422"/>
      <c r="O6" s="422"/>
      <c r="P6" s="422"/>
      <c r="Q6" s="422"/>
      <c r="R6" s="422"/>
      <c r="S6" s="422"/>
    </row>
    <row r="7" spans="1:19" s="121" customFormat="1" ht="15.75" customHeight="1">
      <c r="A7" s="422" t="s">
        <v>184</v>
      </c>
      <c r="B7" s="422"/>
      <c r="C7" s="422"/>
      <c r="D7" s="422"/>
      <c r="E7" s="422"/>
      <c r="F7" s="422"/>
      <c r="G7" s="422"/>
      <c r="H7" s="422"/>
      <c r="I7" s="422"/>
      <c r="J7" s="422"/>
      <c r="K7" s="422"/>
      <c r="L7" s="422"/>
      <c r="M7" s="422"/>
      <c r="N7" s="422"/>
      <c r="O7" s="422"/>
      <c r="P7" s="422"/>
      <c r="Q7" s="422"/>
      <c r="R7" s="422"/>
      <c r="S7" s="422"/>
    </row>
    <row r="8" spans="1:19" s="121" customFormat="1" ht="15.75" customHeight="1">
      <c r="A8" s="422" t="s">
        <v>370</v>
      </c>
      <c r="B8" s="422"/>
      <c r="C8" s="422"/>
      <c r="D8" s="422"/>
      <c r="E8" s="422"/>
      <c r="F8" s="422"/>
      <c r="G8" s="422"/>
      <c r="H8" s="422"/>
      <c r="I8" s="422"/>
      <c r="J8" s="422"/>
      <c r="K8" s="422"/>
      <c r="L8" s="422"/>
      <c r="M8" s="422"/>
      <c r="N8" s="422"/>
      <c r="O8" s="422"/>
      <c r="P8" s="422"/>
      <c r="Q8" s="422"/>
      <c r="R8" s="422"/>
      <c r="S8" s="422"/>
    </row>
    <row r="9" spans="18:19" s="121" customFormat="1" ht="15.75" thickBot="1">
      <c r="R9" s="451" t="s">
        <v>412</v>
      </c>
      <c r="S9" s="451"/>
    </row>
    <row r="10" spans="1:19" s="122" customFormat="1" ht="20.25" customHeight="1" thickBot="1">
      <c r="A10" s="452" t="s">
        <v>185</v>
      </c>
      <c r="B10" s="431" t="s">
        <v>186</v>
      </c>
      <c r="C10" s="418" t="s">
        <v>187</v>
      </c>
      <c r="D10" s="444" t="s">
        <v>188</v>
      </c>
      <c r="E10" s="445"/>
      <c r="F10" s="445"/>
      <c r="G10" s="445"/>
      <c r="H10" s="445"/>
      <c r="I10" s="445"/>
      <c r="J10" s="445"/>
      <c r="K10" s="445"/>
      <c r="L10" s="445"/>
      <c r="M10" s="445"/>
      <c r="N10" s="445"/>
      <c r="O10" s="445"/>
      <c r="P10" s="445"/>
      <c r="Q10" s="446"/>
      <c r="R10" s="426" t="s">
        <v>2</v>
      </c>
      <c r="S10" s="427"/>
    </row>
    <row r="11" spans="1:19" s="122" customFormat="1" ht="38.25" customHeight="1" thickBot="1">
      <c r="A11" s="453"/>
      <c r="B11" s="432"/>
      <c r="C11" s="419"/>
      <c r="D11" s="447" t="s">
        <v>63</v>
      </c>
      <c r="E11" s="448"/>
      <c r="F11" s="448"/>
      <c r="G11" s="448"/>
      <c r="H11" s="448"/>
      <c r="I11" s="449"/>
      <c r="J11" s="444" t="s">
        <v>64</v>
      </c>
      <c r="K11" s="445"/>
      <c r="L11" s="445"/>
      <c r="M11" s="446"/>
      <c r="N11" s="441" t="s">
        <v>189</v>
      </c>
      <c r="O11" s="442"/>
      <c r="P11" s="442"/>
      <c r="Q11" s="443"/>
      <c r="R11" s="439" t="s">
        <v>5</v>
      </c>
      <c r="S11" s="440"/>
    </row>
    <row r="12" spans="1:19" s="122" customFormat="1" ht="21" customHeight="1" thickBot="1">
      <c r="A12" s="453"/>
      <c r="B12" s="432"/>
      <c r="C12" s="419"/>
      <c r="D12" s="418" t="s">
        <v>190</v>
      </c>
      <c r="E12" s="418" t="s">
        <v>191</v>
      </c>
      <c r="F12" s="418" t="s">
        <v>192</v>
      </c>
      <c r="G12" s="418" t="s">
        <v>193</v>
      </c>
      <c r="H12" s="418" t="s">
        <v>194</v>
      </c>
      <c r="I12" s="428" t="s">
        <v>195</v>
      </c>
      <c r="J12" s="434" t="s">
        <v>196</v>
      </c>
      <c r="K12" s="434" t="s">
        <v>65</v>
      </c>
      <c r="L12" s="418" t="s">
        <v>308</v>
      </c>
      <c r="M12" s="423" t="s">
        <v>309</v>
      </c>
      <c r="N12" s="418" t="s">
        <v>373</v>
      </c>
      <c r="O12" s="418" t="s">
        <v>197</v>
      </c>
      <c r="P12" s="418" t="s">
        <v>198</v>
      </c>
      <c r="Q12" s="423" t="s">
        <v>310</v>
      </c>
      <c r="R12" s="184" t="s">
        <v>199</v>
      </c>
      <c r="S12" s="185" t="s">
        <v>200</v>
      </c>
    </row>
    <row r="13" spans="1:19" s="122" customFormat="1" ht="18.75" customHeight="1">
      <c r="A13" s="453"/>
      <c r="B13" s="432"/>
      <c r="C13" s="419"/>
      <c r="D13" s="419"/>
      <c r="E13" s="419"/>
      <c r="F13" s="419"/>
      <c r="G13" s="419"/>
      <c r="H13" s="419"/>
      <c r="I13" s="429"/>
      <c r="J13" s="435"/>
      <c r="K13" s="435"/>
      <c r="L13" s="419"/>
      <c r="M13" s="424"/>
      <c r="N13" s="419"/>
      <c r="O13" s="419"/>
      <c r="P13" s="419"/>
      <c r="Q13" s="424"/>
      <c r="R13" s="437" t="s">
        <v>201</v>
      </c>
      <c r="S13" s="438"/>
    </row>
    <row r="14" spans="1:19" s="122" customFormat="1" ht="20.25" customHeight="1" thickBot="1">
      <c r="A14" s="454"/>
      <c r="B14" s="433"/>
      <c r="C14" s="420"/>
      <c r="D14" s="420"/>
      <c r="E14" s="420"/>
      <c r="F14" s="420"/>
      <c r="G14" s="420"/>
      <c r="H14" s="420"/>
      <c r="I14" s="430"/>
      <c r="J14" s="436"/>
      <c r="K14" s="436"/>
      <c r="L14" s="420"/>
      <c r="M14" s="425"/>
      <c r="N14" s="420"/>
      <c r="O14" s="420"/>
      <c r="P14" s="420"/>
      <c r="Q14" s="425"/>
      <c r="R14" s="439"/>
      <c r="S14" s="440"/>
    </row>
    <row r="15" spans="1:19" s="121" customFormat="1" ht="30">
      <c r="A15" s="123" t="s">
        <v>202</v>
      </c>
      <c r="B15" s="124" t="s">
        <v>203</v>
      </c>
      <c r="C15" s="213">
        <f>I15+M15+O15+P15</f>
        <v>55466494</v>
      </c>
      <c r="D15" s="135">
        <f>8073000+24970+17000</f>
        <v>8114970</v>
      </c>
      <c r="E15" s="136">
        <f>2291000+6742+4131</f>
        <v>2301873</v>
      </c>
      <c r="F15" s="136">
        <f>3938000+63487</f>
        <v>4001487</v>
      </c>
      <c r="G15" s="136"/>
      <c r="H15" s="136">
        <f>162000+40789124</f>
        <v>40951124</v>
      </c>
      <c r="I15" s="214">
        <f aca="true" t="shared" si="0" ref="I15:I41">SUM(D15:H15)</f>
        <v>55369454</v>
      </c>
      <c r="J15" s="137">
        <f>102000-4960</f>
        <v>97040</v>
      </c>
      <c r="K15" s="137"/>
      <c r="L15" s="137"/>
      <c r="M15" s="215">
        <f>SUM(J15:L15)</f>
        <v>97040</v>
      </c>
      <c r="N15" s="215"/>
      <c r="O15" s="216"/>
      <c r="P15" s="217"/>
      <c r="Q15" s="217"/>
      <c r="R15" s="126">
        <f>0.5+0.1+0.2-0.3</f>
        <v>0.5</v>
      </c>
      <c r="S15" s="183">
        <v>0.5</v>
      </c>
    </row>
    <row r="16" spans="1:19" s="121" customFormat="1" ht="15">
      <c r="A16" s="127" t="s">
        <v>204</v>
      </c>
      <c r="B16" s="124" t="s">
        <v>33</v>
      </c>
      <c r="C16" s="213">
        <f aca="true" t="shared" si="1" ref="C16:C41">I16+M16+O16+P16</f>
        <v>64000</v>
      </c>
      <c r="D16" s="135"/>
      <c r="E16" s="136"/>
      <c r="F16" s="136">
        <v>64000</v>
      </c>
      <c r="G16" s="136"/>
      <c r="H16" s="136"/>
      <c r="I16" s="214">
        <f t="shared" si="0"/>
        <v>64000</v>
      </c>
      <c r="J16" s="137"/>
      <c r="K16" s="137"/>
      <c r="L16" s="137"/>
      <c r="M16" s="215"/>
      <c r="N16" s="215"/>
      <c r="O16" s="216"/>
      <c r="P16" s="217"/>
      <c r="Q16" s="217"/>
      <c r="R16" s="128"/>
      <c r="S16" s="125"/>
    </row>
    <row r="17" spans="1:19" s="121" customFormat="1" ht="29.25" customHeight="1">
      <c r="A17" s="127" t="s">
        <v>205</v>
      </c>
      <c r="B17" s="124" t="s">
        <v>206</v>
      </c>
      <c r="C17" s="213">
        <f>I17+M17+Q17</f>
        <v>2245000</v>
      </c>
      <c r="D17" s="135"/>
      <c r="E17" s="136"/>
      <c r="F17" s="136">
        <v>245000</v>
      </c>
      <c r="G17" s="136"/>
      <c r="H17" s="136"/>
      <c r="I17" s="214">
        <f t="shared" si="0"/>
        <v>245000</v>
      </c>
      <c r="J17" s="137">
        <v>2000000</v>
      </c>
      <c r="K17" s="137"/>
      <c r="L17" s="137"/>
      <c r="M17" s="215">
        <f>SUM(J17:L17)</f>
        <v>2000000</v>
      </c>
      <c r="N17" s="215"/>
      <c r="O17" s="216"/>
      <c r="P17" s="217"/>
      <c r="Q17" s="217"/>
      <c r="R17" s="129"/>
      <c r="S17" s="125"/>
    </row>
    <row r="18" spans="1:19" s="121" customFormat="1" ht="30" customHeight="1">
      <c r="A18" s="127" t="s">
        <v>301</v>
      </c>
      <c r="B18" s="124" t="s">
        <v>302</v>
      </c>
      <c r="C18" s="213">
        <f>I18+M18+Q18</f>
        <v>2202904</v>
      </c>
      <c r="D18" s="135"/>
      <c r="E18" s="136"/>
      <c r="F18" s="136"/>
      <c r="G18" s="136"/>
      <c r="H18" s="136">
        <f>15240+4500+864405</f>
        <v>884145</v>
      </c>
      <c r="I18" s="214">
        <f t="shared" si="0"/>
        <v>884145</v>
      </c>
      <c r="J18" s="137"/>
      <c r="K18" s="137"/>
      <c r="L18" s="137"/>
      <c r="M18" s="215"/>
      <c r="N18" s="215">
        <f>1139077+179682</f>
        <v>1318759</v>
      </c>
      <c r="O18" s="216"/>
      <c r="P18" s="217"/>
      <c r="Q18" s="217">
        <f>N18+O18+P18</f>
        <v>1318759</v>
      </c>
      <c r="R18" s="126"/>
      <c r="S18" s="125"/>
    </row>
    <row r="19" spans="1:19" s="121" customFormat="1" ht="14.25" customHeight="1">
      <c r="A19" s="127" t="s">
        <v>416</v>
      </c>
      <c r="B19" s="124" t="s">
        <v>417</v>
      </c>
      <c r="C19" s="213">
        <f>I19+M19+Q19</f>
        <v>777025</v>
      </c>
      <c r="D19" s="135">
        <f>15000+618705+26385</f>
        <v>660090</v>
      </c>
      <c r="E19" s="136">
        <f>5354+111581</f>
        <v>116935</v>
      </c>
      <c r="F19" s="136"/>
      <c r="G19" s="136"/>
      <c r="H19" s="136"/>
      <c r="I19" s="214">
        <f t="shared" si="0"/>
        <v>777025</v>
      </c>
      <c r="J19" s="137"/>
      <c r="K19" s="137"/>
      <c r="L19" s="137"/>
      <c r="M19" s="215"/>
      <c r="N19" s="215"/>
      <c r="O19" s="216"/>
      <c r="P19" s="217"/>
      <c r="Q19" s="217"/>
      <c r="R19" s="126"/>
      <c r="S19" s="125"/>
    </row>
    <row r="20" spans="1:19" s="121" customFormat="1" ht="19.5" customHeight="1">
      <c r="A20" s="127" t="s">
        <v>379</v>
      </c>
      <c r="B20" s="124" t="s">
        <v>380</v>
      </c>
      <c r="C20" s="213">
        <f>I20+M20+Q20</f>
        <v>19021</v>
      </c>
      <c r="D20" s="135"/>
      <c r="E20" s="136"/>
      <c r="F20" s="136">
        <v>19021</v>
      </c>
      <c r="G20" s="136"/>
      <c r="H20" s="136"/>
      <c r="I20" s="214">
        <f t="shared" si="0"/>
        <v>19021</v>
      </c>
      <c r="J20" s="137"/>
      <c r="K20" s="137"/>
      <c r="L20" s="137"/>
      <c r="M20" s="215"/>
      <c r="N20" s="215"/>
      <c r="O20" s="216"/>
      <c r="P20" s="217"/>
      <c r="Q20" s="217"/>
      <c r="R20" s="126"/>
      <c r="S20" s="125"/>
    </row>
    <row r="21" spans="1:19" s="121" customFormat="1" ht="30">
      <c r="A21" s="127" t="s">
        <v>207</v>
      </c>
      <c r="B21" s="124" t="s">
        <v>208</v>
      </c>
      <c r="C21" s="213">
        <f>I21+M21+O21+P21</f>
        <v>27000</v>
      </c>
      <c r="D21" s="135"/>
      <c r="E21" s="136"/>
      <c r="F21" s="136">
        <v>27000</v>
      </c>
      <c r="G21" s="136"/>
      <c r="H21" s="136"/>
      <c r="I21" s="214">
        <f t="shared" si="0"/>
        <v>27000</v>
      </c>
      <c r="J21" s="137"/>
      <c r="K21" s="137"/>
      <c r="L21" s="137"/>
      <c r="M21" s="215"/>
      <c r="N21" s="215"/>
      <c r="O21" s="216"/>
      <c r="P21" s="217"/>
      <c r="Q21" s="217"/>
      <c r="R21" s="126"/>
      <c r="S21" s="125"/>
    </row>
    <row r="22" spans="1:19" s="121" customFormat="1" ht="30">
      <c r="A22" s="127" t="s">
        <v>209</v>
      </c>
      <c r="B22" s="124" t="s">
        <v>210</v>
      </c>
      <c r="C22" s="213">
        <f>I22+M22+O22+P22</f>
        <v>6313000</v>
      </c>
      <c r="D22" s="135"/>
      <c r="E22" s="136"/>
      <c r="F22" s="136">
        <v>6313000</v>
      </c>
      <c r="G22" s="136"/>
      <c r="H22" s="136"/>
      <c r="I22" s="214">
        <f t="shared" si="0"/>
        <v>6313000</v>
      </c>
      <c r="J22" s="137"/>
      <c r="K22" s="137"/>
      <c r="L22" s="137"/>
      <c r="M22" s="215"/>
      <c r="N22" s="215"/>
      <c r="O22" s="216"/>
      <c r="P22" s="217"/>
      <c r="Q22" s="217"/>
      <c r="R22" s="129"/>
      <c r="S22" s="125"/>
    </row>
    <row r="23" spans="1:19" s="121" customFormat="1" ht="15">
      <c r="A23" s="127" t="s">
        <v>211</v>
      </c>
      <c r="B23" s="124" t="s">
        <v>212</v>
      </c>
      <c r="C23" s="213">
        <f>I23+M23+O23+P23</f>
        <v>600000</v>
      </c>
      <c r="D23" s="135"/>
      <c r="E23" s="136"/>
      <c r="F23" s="136"/>
      <c r="G23" s="136"/>
      <c r="H23" s="136"/>
      <c r="I23" s="214"/>
      <c r="J23" s="137"/>
      <c r="K23" s="137"/>
      <c r="L23" s="137">
        <v>600000</v>
      </c>
      <c r="M23" s="215">
        <f>SUM(J23:L23)</f>
        <v>600000</v>
      </c>
      <c r="N23" s="215"/>
      <c r="O23" s="216"/>
      <c r="P23" s="217"/>
      <c r="Q23" s="217"/>
      <c r="R23" s="129"/>
      <c r="S23" s="125"/>
    </row>
    <row r="24" spans="1:19" s="121" customFormat="1" ht="15">
      <c r="A24" s="127" t="s">
        <v>213</v>
      </c>
      <c r="B24" s="124" t="s">
        <v>214</v>
      </c>
      <c r="C24" s="213">
        <f t="shared" si="1"/>
        <v>1900000</v>
      </c>
      <c r="D24" s="135"/>
      <c r="E24" s="136"/>
      <c r="F24" s="136">
        <v>1900000</v>
      </c>
      <c r="G24" s="137"/>
      <c r="H24" s="136"/>
      <c r="I24" s="214">
        <f t="shared" si="0"/>
        <v>1900000</v>
      </c>
      <c r="J24" s="137"/>
      <c r="K24" s="137"/>
      <c r="L24" s="137"/>
      <c r="M24" s="215"/>
      <c r="N24" s="215"/>
      <c r="O24" s="216"/>
      <c r="P24" s="217"/>
      <c r="Q24" s="217"/>
      <c r="R24" s="129"/>
      <c r="S24" s="125"/>
    </row>
    <row r="25" spans="1:19" s="121" customFormat="1" ht="15">
      <c r="A25" s="127" t="s">
        <v>215</v>
      </c>
      <c r="B25" s="124" t="s">
        <v>216</v>
      </c>
      <c r="C25" s="213">
        <f t="shared" si="1"/>
        <v>635000</v>
      </c>
      <c r="D25" s="135"/>
      <c r="E25" s="136"/>
      <c r="F25" s="136">
        <v>635000</v>
      </c>
      <c r="G25" s="137"/>
      <c r="H25" s="136"/>
      <c r="I25" s="214">
        <f t="shared" si="0"/>
        <v>635000</v>
      </c>
      <c r="J25" s="137"/>
      <c r="K25" s="137"/>
      <c r="L25" s="137"/>
      <c r="M25" s="215"/>
      <c r="N25" s="215"/>
      <c r="O25" s="216"/>
      <c r="P25" s="217"/>
      <c r="Q25" s="217"/>
      <c r="R25" s="129"/>
      <c r="S25" s="125"/>
    </row>
    <row r="26" spans="1:19" s="121" customFormat="1" ht="30">
      <c r="A26" s="127" t="s">
        <v>217</v>
      </c>
      <c r="B26" s="124" t="s">
        <v>218</v>
      </c>
      <c r="C26" s="213">
        <f t="shared" si="1"/>
        <v>2379348</v>
      </c>
      <c r="D26" s="135">
        <f>704000+44400</f>
        <v>748400</v>
      </c>
      <c r="E26" s="136">
        <f>192000+11988</f>
        <v>203988</v>
      </c>
      <c r="F26" s="136">
        <v>957000</v>
      </c>
      <c r="G26" s="137"/>
      <c r="H26" s="136"/>
      <c r="I26" s="214">
        <f t="shared" si="0"/>
        <v>1909388</v>
      </c>
      <c r="J26" s="137">
        <f>465000+4960</f>
        <v>469960</v>
      </c>
      <c r="K26" s="137"/>
      <c r="L26" s="137"/>
      <c r="M26" s="215">
        <f>SUM(J26:L26)</f>
        <v>469960</v>
      </c>
      <c r="N26" s="215"/>
      <c r="O26" s="216"/>
      <c r="P26" s="217"/>
      <c r="Q26" s="217"/>
      <c r="R26" s="129">
        <v>0.5</v>
      </c>
      <c r="S26" s="125">
        <v>0.5</v>
      </c>
    </row>
    <row r="27" spans="1:19" s="121" customFormat="1" ht="15">
      <c r="A27" s="127" t="s">
        <v>219</v>
      </c>
      <c r="B27" s="124" t="s">
        <v>31</v>
      </c>
      <c r="C27" s="213">
        <f t="shared" si="1"/>
        <v>23265000</v>
      </c>
      <c r="D27" s="135"/>
      <c r="E27" s="136"/>
      <c r="F27" s="136">
        <v>60000</v>
      </c>
      <c r="G27" s="137"/>
      <c r="H27" s="136"/>
      <c r="I27" s="214">
        <f t="shared" si="0"/>
        <v>60000</v>
      </c>
      <c r="J27" s="137"/>
      <c r="K27" s="137">
        <v>23205000</v>
      </c>
      <c r="L27" s="137"/>
      <c r="M27" s="215">
        <f aca="true" t="shared" si="2" ref="M27:M41">SUM(J27:L27)</f>
        <v>23205000</v>
      </c>
      <c r="N27" s="215"/>
      <c r="O27" s="216"/>
      <c r="P27" s="217"/>
      <c r="Q27" s="217"/>
      <c r="R27" s="129"/>
      <c r="S27" s="125"/>
    </row>
    <row r="28" spans="1:19" s="121" customFormat="1" ht="31.5" customHeight="1">
      <c r="A28" s="127" t="s">
        <v>220</v>
      </c>
      <c r="B28" s="124" t="s">
        <v>221</v>
      </c>
      <c r="C28" s="213">
        <f t="shared" si="1"/>
        <v>675000</v>
      </c>
      <c r="D28" s="135"/>
      <c r="E28" s="136"/>
      <c r="F28" s="136"/>
      <c r="G28" s="136"/>
      <c r="H28" s="136">
        <v>675000</v>
      </c>
      <c r="I28" s="214">
        <f t="shared" si="0"/>
        <v>675000</v>
      </c>
      <c r="J28" s="137"/>
      <c r="K28" s="137"/>
      <c r="L28" s="137"/>
      <c r="M28" s="215">
        <f t="shared" si="2"/>
        <v>0</v>
      </c>
      <c r="N28" s="215"/>
      <c r="O28" s="216"/>
      <c r="P28" s="217"/>
      <c r="Q28" s="217"/>
      <c r="R28" s="129"/>
      <c r="S28" s="125"/>
    </row>
    <row r="29" spans="1:19" s="121" customFormat="1" ht="15">
      <c r="A29" s="127" t="s">
        <v>222</v>
      </c>
      <c r="B29" s="124" t="s">
        <v>34</v>
      </c>
      <c r="C29" s="213">
        <f t="shared" si="1"/>
        <v>853690</v>
      </c>
      <c r="D29" s="135">
        <f>460000+4480</f>
        <v>464480</v>
      </c>
      <c r="E29" s="136">
        <f>125000+1210</f>
        <v>126210</v>
      </c>
      <c r="F29" s="136">
        <v>83000</v>
      </c>
      <c r="G29" s="136"/>
      <c r="H29" s="136"/>
      <c r="I29" s="214">
        <f t="shared" si="0"/>
        <v>673690</v>
      </c>
      <c r="J29" s="137">
        <v>180000</v>
      </c>
      <c r="K29" s="137"/>
      <c r="L29" s="137"/>
      <c r="M29" s="215">
        <f t="shared" si="2"/>
        <v>180000</v>
      </c>
      <c r="N29" s="215"/>
      <c r="O29" s="216"/>
      <c r="P29" s="217"/>
      <c r="Q29" s="217"/>
      <c r="R29" s="129">
        <v>0.2</v>
      </c>
      <c r="S29" s="125">
        <v>0.2</v>
      </c>
    </row>
    <row r="30" spans="1:19" s="121" customFormat="1" ht="30">
      <c r="A30" s="127" t="s">
        <v>374</v>
      </c>
      <c r="B30" s="124" t="s">
        <v>375</v>
      </c>
      <c r="C30" s="213">
        <f t="shared" si="1"/>
        <v>2558821</v>
      </c>
      <c r="D30" s="135">
        <f>1726000+14820</f>
        <v>1740820</v>
      </c>
      <c r="E30" s="136">
        <f>471000+4001</f>
        <v>475001</v>
      </c>
      <c r="F30" s="136">
        <v>343000</v>
      </c>
      <c r="G30" s="136"/>
      <c r="H30" s="136"/>
      <c r="I30" s="214">
        <f>SUM(D30:H30)</f>
        <v>2558821</v>
      </c>
      <c r="J30" s="137"/>
      <c r="K30" s="137"/>
      <c r="L30" s="137"/>
      <c r="M30" s="215">
        <f t="shared" si="2"/>
        <v>0</v>
      </c>
      <c r="N30" s="215"/>
      <c r="O30" s="216"/>
      <c r="P30" s="217"/>
      <c r="Q30" s="217"/>
      <c r="R30" s="129"/>
      <c r="S30" s="125"/>
    </row>
    <row r="31" spans="1:19" s="121" customFormat="1" ht="15">
      <c r="A31" s="127" t="s">
        <v>376</v>
      </c>
      <c r="B31" s="124" t="s">
        <v>377</v>
      </c>
      <c r="C31" s="213">
        <f t="shared" si="1"/>
        <v>362000</v>
      </c>
      <c r="D31" s="135">
        <v>291000</v>
      </c>
      <c r="E31" s="136">
        <v>71000</v>
      </c>
      <c r="F31" s="136"/>
      <c r="G31" s="136"/>
      <c r="H31" s="136"/>
      <c r="I31" s="214">
        <f>SUM(D31:H31)</f>
        <v>362000</v>
      </c>
      <c r="J31" s="137"/>
      <c r="K31" s="137"/>
      <c r="L31" s="137"/>
      <c r="M31" s="215">
        <f t="shared" si="2"/>
        <v>0</v>
      </c>
      <c r="N31" s="215"/>
      <c r="O31" s="216"/>
      <c r="P31" s="217"/>
      <c r="Q31" s="217"/>
      <c r="R31" s="129"/>
      <c r="S31" s="125"/>
    </row>
    <row r="32" spans="1:19" s="121" customFormat="1" ht="15">
      <c r="A32" s="127" t="s">
        <v>223</v>
      </c>
      <c r="B32" s="124" t="s">
        <v>32</v>
      </c>
      <c r="C32" s="213">
        <f t="shared" si="1"/>
        <v>240000</v>
      </c>
      <c r="D32" s="135"/>
      <c r="E32" s="136"/>
      <c r="F32" s="136"/>
      <c r="G32" s="136"/>
      <c r="H32" s="136">
        <v>240000</v>
      </c>
      <c r="I32" s="214">
        <f t="shared" si="0"/>
        <v>240000</v>
      </c>
      <c r="J32" s="137"/>
      <c r="K32" s="137"/>
      <c r="L32" s="137"/>
      <c r="M32" s="215">
        <f t="shared" si="2"/>
        <v>0</v>
      </c>
      <c r="N32" s="215"/>
      <c r="O32" s="216"/>
      <c r="P32" s="217"/>
      <c r="Q32" s="217"/>
      <c r="R32" s="129"/>
      <c r="S32" s="125"/>
    </row>
    <row r="33" spans="1:19" s="121" customFormat="1" ht="15">
      <c r="A33" s="127" t="s">
        <v>224</v>
      </c>
      <c r="B33" s="124" t="s">
        <v>225</v>
      </c>
      <c r="C33" s="213">
        <f t="shared" si="1"/>
        <v>50000</v>
      </c>
      <c r="D33" s="135"/>
      <c r="E33" s="136"/>
      <c r="F33" s="136"/>
      <c r="G33" s="136"/>
      <c r="H33" s="136">
        <v>50000</v>
      </c>
      <c r="I33" s="214">
        <f t="shared" si="0"/>
        <v>50000</v>
      </c>
      <c r="J33" s="137"/>
      <c r="K33" s="137"/>
      <c r="L33" s="137"/>
      <c r="M33" s="215">
        <f t="shared" si="2"/>
        <v>0</v>
      </c>
      <c r="N33" s="215"/>
      <c r="O33" s="216"/>
      <c r="P33" s="217"/>
      <c r="Q33" s="217"/>
      <c r="R33" s="129"/>
      <c r="S33" s="125"/>
    </row>
    <row r="34" spans="1:19" s="121" customFormat="1" ht="15">
      <c r="A34" s="127" t="s">
        <v>303</v>
      </c>
      <c r="B34" s="124" t="s">
        <v>304</v>
      </c>
      <c r="C34" s="213">
        <f t="shared" si="1"/>
        <v>6826225</v>
      </c>
      <c r="D34" s="135">
        <f>2567000+101750-94500+51975</f>
        <v>2626225</v>
      </c>
      <c r="E34" s="136">
        <v>700000</v>
      </c>
      <c r="F34" s="136">
        <v>3448000</v>
      </c>
      <c r="G34" s="136"/>
      <c r="H34" s="136"/>
      <c r="I34" s="214">
        <f t="shared" si="0"/>
        <v>6774225</v>
      </c>
      <c r="J34" s="137">
        <v>52000</v>
      </c>
      <c r="K34" s="137"/>
      <c r="L34" s="137"/>
      <c r="M34" s="215">
        <f t="shared" si="2"/>
        <v>52000</v>
      </c>
      <c r="N34" s="215"/>
      <c r="O34" s="216"/>
      <c r="P34" s="217"/>
      <c r="Q34" s="217"/>
      <c r="R34" s="186">
        <v>1</v>
      </c>
      <c r="S34" s="187">
        <v>1</v>
      </c>
    </row>
    <row r="35" spans="1:19" s="121" customFormat="1" ht="30">
      <c r="A35" s="127" t="s">
        <v>305</v>
      </c>
      <c r="B35" s="124" t="s">
        <v>306</v>
      </c>
      <c r="C35" s="213">
        <f t="shared" si="1"/>
        <v>1256745</v>
      </c>
      <c r="D35" s="135">
        <f>453000+20350+10395</f>
        <v>483745</v>
      </c>
      <c r="E35" s="136">
        <v>124000</v>
      </c>
      <c r="F35" s="136">
        <v>640000</v>
      </c>
      <c r="G35" s="136"/>
      <c r="H35" s="136"/>
      <c r="I35" s="214">
        <f t="shared" si="0"/>
        <v>1247745</v>
      </c>
      <c r="J35" s="137">
        <v>9000</v>
      </c>
      <c r="K35" s="137"/>
      <c r="L35" s="137"/>
      <c r="M35" s="215">
        <f t="shared" si="2"/>
        <v>9000</v>
      </c>
      <c r="N35" s="215"/>
      <c r="O35" s="216"/>
      <c r="P35" s="217"/>
      <c r="Q35" s="217"/>
      <c r="R35" s="129"/>
      <c r="S35" s="125"/>
    </row>
    <row r="36" spans="1:19" s="121" customFormat="1" ht="15">
      <c r="A36" s="127" t="s">
        <v>305</v>
      </c>
      <c r="B36" s="130" t="s">
        <v>378</v>
      </c>
      <c r="C36" s="213">
        <f>I36+M36+O36+P36</f>
        <v>1931755</v>
      </c>
      <c r="D36" s="135">
        <f>654000+46250+8505</f>
        <v>708755</v>
      </c>
      <c r="E36" s="136">
        <v>179000</v>
      </c>
      <c r="F36" s="136">
        <v>1031000</v>
      </c>
      <c r="G36" s="136"/>
      <c r="H36" s="136"/>
      <c r="I36" s="214">
        <f>SUM(D36:H36)</f>
        <v>1918755</v>
      </c>
      <c r="J36" s="137">
        <v>13000</v>
      </c>
      <c r="K36" s="137"/>
      <c r="L36" s="137"/>
      <c r="M36" s="215">
        <f>SUM(J36:L36)</f>
        <v>13000</v>
      </c>
      <c r="N36" s="215"/>
      <c r="O36" s="216"/>
      <c r="P36" s="217"/>
      <c r="Q36" s="217"/>
      <c r="R36" s="129"/>
      <c r="S36" s="125"/>
    </row>
    <row r="37" spans="1:19" s="121" customFormat="1" ht="30">
      <c r="A37" s="127">
        <v>104051</v>
      </c>
      <c r="B37" s="124" t="s">
        <v>361</v>
      </c>
      <c r="C37" s="213">
        <f t="shared" si="1"/>
        <v>46000</v>
      </c>
      <c r="D37" s="135"/>
      <c r="E37" s="136"/>
      <c r="F37" s="136"/>
      <c r="G37" s="136">
        <v>46000</v>
      </c>
      <c r="H37" s="136"/>
      <c r="I37" s="214">
        <f t="shared" si="0"/>
        <v>46000</v>
      </c>
      <c r="J37" s="137"/>
      <c r="K37" s="137"/>
      <c r="L37" s="137"/>
      <c r="M37" s="215">
        <f t="shared" si="2"/>
        <v>0</v>
      </c>
      <c r="N37" s="215"/>
      <c r="O37" s="216"/>
      <c r="P37" s="217"/>
      <c r="Q37" s="217"/>
      <c r="R37" s="129"/>
      <c r="S37" s="125"/>
    </row>
    <row r="38" spans="1:19" s="121" customFormat="1" ht="30">
      <c r="A38" s="127">
        <v>106020</v>
      </c>
      <c r="B38" s="124" t="s">
        <v>226</v>
      </c>
      <c r="C38" s="213">
        <f t="shared" si="1"/>
        <v>600000</v>
      </c>
      <c r="D38" s="135"/>
      <c r="E38" s="136"/>
      <c r="F38" s="136"/>
      <c r="G38" s="136">
        <v>600000</v>
      </c>
      <c r="H38" s="136"/>
      <c r="I38" s="214">
        <f t="shared" si="0"/>
        <v>600000</v>
      </c>
      <c r="J38" s="137"/>
      <c r="K38" s="137"/>
      <c r="L38" s="137"/>
      <c r="M38" s="215">
        <f t="shared" si="2"/>
        <v>0</v>
      </c>
      <c r="N38" s="215"/>
      <c r="O38" s="216"/>
      <c r="P38" s="217"/>
      <c r="Q38" s="217"/>
      <c r="R38" s="129">
        <v>0.6</v>
      </c>
      <c r="S38" s="125">
        <v>0.6</v>
      </c>
    </row>
    <row r="39" spans="1:19" s="121" customFormat="1" ht="15">
      <c r="A39" s="127" t="s">
        <v>227</v>
      </c>
      <c r="B39" s="130" t="s">
        <v>360</v>
      </c>
      <c r="C39" s="213">
        <f t="shared" si="1"/>
        <v>3905275</v>
      </c>
      <c r="D39" s="135">
        <f>1359000+16650+23625</f>
        <v>1399275</v>
      </c>
      <c r="E39" s="136">
        <v>371000</v>
      </c>
      <c r="F39" s="136">
        <v>2108000</v>
      </c>
      <c r="G39" s="136"/>
      <c r="H39" s="136"/>
      <c r="I39" s="214">
        <f t="shared" si="0"/>
        <v>3878275</v>
      </c>
      <c r="J39" s="137">
        <v>27000</v>
      </c>
      <c r="K39" s="137"/>
      <c r="L39" s="137"/>
      <c r="M39" s="215">
        <f t="shared" si="2"/>
        <v>27000</v>
      </c>
      <c r="N39" s="215"/>
      <c r="O39" s="216"/>
      <c r="P39" s="217"/>
      <c r="Q39" s="217"/>
      <c r="R39" s="129"/>
      <c r="S39" s="125"/>
    </row>
    <row r="40" spans="1:19" s="121" customFormat="1" ht="15">
      <c r="A40" s="127">
        <v>107052</v>
      </c>
      <c r="B40" s="131" t="s">
        <v>228</v>
      </c>
      <c r="C40" s="213">
        <f t="shared" si="1"/>
        <v>702000</v>
      </c>
      <c r="D40" s="135"/>
      <c r="E40" s="136"/>
      <c r="F40" s="136">
        <v>702000</v>
      </c>
      <c r="G40" s="136"/>
      <c r="H40" s="136"/>
      <c r="I40" s="214">
        <f t="shared" si="0"/>
        <v>702000</v>
      </c>
      <c r="J40" s="137"/>
      <c r="K40" s="137"/>
      <c r="L40" s="137"/>
      <c r="M40" s="215">
        <f t="shared" si="2"/>
        <v>0</v>
      </c>
      <c r="N40" s="215"/>
      <c r="O40" s="216"/>
      <c r="P40" s="217"/>
      <c r="Q40" s="217"/>
      <c r="R40" s="129"/>
      <c r="S40" s="125"/>
    </row>
    <row r="41" spans="1:19" s="121" customFormat="1" ht="27.75" customHeight="1" thickBot="1">
      <c r="A41" s="127">
        <v>107060</v>
      </c>
      <c r="B41" s="124" t="s">
        <v>229</v>
      </c>
      <c r="C41" s="213">
        <f t="shared" si="1"/>
        <v>2715000</v>
      </c>
      <c r="D41" s="135"/>
      <c r="E41" s="136"/>
      <c r="F41" s="136"/>
      <c r="G41" s="136">
        <v>2715000</v>
      </c>
      <c r="H41" s="136"/>
      <c r="I41" s="214">
        <f t="shared" si="0"/>
        <v>2715000</v>
      </c>
      <c r="J41" s="137"/>
      <c r="K41" s="137"/>
      <c r="L41" s="137"/>
      <c r="M41" s="215">
        <f t="shared" si="2"/>
        <v>0</v>
      </c>
      <c r="N41" s="215"/>
      <c r="O41" s="216"/>
      <c r="P41" s="217"/>
      <c r="Q41" s="217"/>
      <c r="R41" s="126">
        <v>0.4</v>
      </c>
      <c r="S41" s="125">
        <v>0.4</v>
      </c>
    </row>
    <row r="42" spans="1:19" s="358" customFormat="1" ht="18.75" customHeight="1" thickBot="1">
      <c r="A42" s="354"/>
      <c r="B42" s="355" t="s">
        <v>311</v>
      </c>
      <c r="C42" s="356">
        <f aca="true" t="shared" si="3" ref="C42:S42">SUM(C15:C41)</f>
        <v>118616303</v>
      </c>
      <c r="D42" s="356">
        <f t="shared" si="3"/>
        <v>17237760</v>
      </c>
      <c r="E42" s="356">
        <f t="shared" si="3"/>
        <v>4669007</v>
      </c>
      <c r="F42" s="356">
        <f t="shared" si="3"/>
        <v>22576508</v>
      </c>
      <c r="G42" s="356">
        <f t="shared" si="3"/>
        <v>3361000</v>
      </c>
      <c r="H42" s="356">
        <f t="shared" si="3"/>
        <v>42800269</v>
      </c>
      <c r="I42" s="356">
        <f t="shared" si="3"/>
        <v>90644544</v>
      </c>
      <c r="J42" s="356">
        <f>SUM(J15:J41)</f>
        <v>2848000</v>
      </c>
      <c r="K42" s="356">
        <f t="shared" si="3"/>
        <v>23205000</v>
      </c>
      <c r="L42" s="356">
        <f t="shared" si="3"/>
        <v>600000</v>
      </c>
      <c r="M42" s="356">
        <f t="shared" si="3"/>
        <v>26653000</v>
      </c>
      <c r="N42" s="356">
        <f t="shared" si="3"/>
        <v>1318759</v>
      </c>
      <c r="O42" s="356">
        <f t="shared" si="3"/>
        <v>0</v>
      </c>
      <c r="P42" s="356">
        <f t="shared" si="3"/>
        <v>0</v>
      </c>
      <c r="Q42" s="356">
        <f t="shared" si="3"/>
        <v>1318759</v>
      </c>
      <c r="R42" s="357">
        <f t="shared" si="3"/>
        <v>3.2</v>
      </c>
      <c r="S42" s="357">
        <f t="shared" si="3"/>
        <v>3.2</v>
      </c>
    </row>
    <row r="45" ht="12.75">
      <c r="C45" s="11">
        <f>I42+M42+Q42</f>
        <v>118616303</v>
      </c>
    </row>
  </sheetData>
  <sheetProtection/>
  <mergeCells count="31">
    <mergeCell ref="D12:D14"/>
    <mergeCell ref="J11:M11"/>
    <mergeCell ref="E12:E14"/>
    <mergeCell ref="D11:I11"/>
    <mergeCell ref="K1:S1"/>
    <mergeCell ref="R9:S9"/>
    <mergeCell ref="A7:S7"/>
    <mergeCell ref="K12:K14"/>
    <mergeCell ref="L12:L14"/>
    <mergeCell ref="A10:A14"/>
    <mergeCell ref="R11:S11"/>
    <mergeCell ref="B10:B14"/>
    <mergeCell ref="J12:J14"/>
    <mergeCell ref="A8:S8"/>
    <mergeCell ref="R13:S14"/>
    <mergeCell ref="F12:F14"/>
    <mergeCell ref="N11:Q11"/>
    <mergeCell ref="G12:G14"/>
    <mergeCell ref="H12:H14"/>
    <mergeCell ref="D10:Q10"/>
    <mergeCell ref="C10:C14"/>
    <mergeCell ref="P12:P14"/>
    <mergeCell ref="O12:O14"/>
    <mergeCell ref="A3:P3"/>
    <mergeCell ref="A4:S4"/>
    <mergeCell ref="A6:S6"/>
    <mergeCell ref="Q12:Q14"/>
    <mergeCell ref="N12:N14"/>
    <mergeCell ref="R10:S10"/>
    <mergeCell ref="I12:I14"/>
    <mergeCell ref="M12:M14"/>
  </mergeCells>
  <printOptions horizontalCentered="1"/>
  <pageMargins left="0" right="0" top="0" bottom="0" header="0.5118110236220472" footer="0.5118110236220472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42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9.125" style="200" customWidth="1"/>
    <col min="2" max="2" width="63.125" style="200" customWidth="1"/>
    <col min="3" max="6" width="26.25390625" style="200" customWidth="1"/>
    <col min="7" max="16384" width="9.125" style="200" customWidth="1"/>
  </cols>
  <sheetData>
    <row r="2" spans="1:6" s="188" customFormat="1" ht="15.75">
      <c r="A2" s="140" t="s">
        <v>443</v>
      </c>
      <c r="C2" s="189"/>
      <c r="D2" s="190"/>
      <c r="E2" s="190"/>
      <c r="F2" s="190"/>
    </row>
    <row r="3" spans="1:6" s="188" customFormat="1" ht="15.75">
      <c r="A3" s="140"/>
      <c r="C3" s="189"/>
      <c r="D3" s="190"/>
      <c r="E3" s="190"/>
      <c r="F3" s="190"/>
    </row>
    <row r="4" spans="1:6" s="72" customFormat="1" ht="15" customHeight="1">
      <c r="A4" s="455" t="s">
        <v>429</v>
      </c>
      <c r="B4" s="380"/>
      <c r="C4" s="380"/>
      <c r="D4" s="380"/>
      <c r="E4" s="380"/>
      <c r="F4" s="380"/>
    </row>
    <row r="5" spans="2:6" s="191" customFormat="1" ht="15" customHeight="1">
      <c r="B5" s="379"/>
      <c r="C5" s="456"/>
      <c r="D5" s="456"/>
      <c r="E5" s="456"/>
      <c r="F5" s="456"/>
    </row>
    <row r="6" spans="2:6" s="138" customFormat="1" ht="15" customHeight="1">
      <c r="B6" s="379" t="s">
        <v>38</v>
      </c>
      <c r="C6" s="379"/>
      <c r="D6" s="379"/>
      <c r="E6" s="379"/>
      <c r="F6" s="379"/>
    </row>
    <row r="7" spans="2:6" s="138" customFormat="1" ht="15.75">
      <c r="B7" s="417" t="s">
        <v>312</v>
      </c>
      <c r="C7" s="417"/>
      <c r="D7" s="417"/>
      <c r="E7" s="417"/>
      <c r="F7" s="417"/>
    </row>
    <row r="8" spans="2:6" s="138" customFormat="1" ht="15" customHeight="1">
      <c r="B8" s="379" t="s">
        <v>371</v>
      </c>
      <c r="C8" s="379"/>
      <c r="D8" s="379"/>
      <c r="E8" s="379"/>
      <c r="F8" s="379"/>
    </row>
    <row r="9" spans="2:6" s="188" customFormat="1" ht="12" customHeight="1" thickBot="1">
      <c r="B9" s="189"/>
      <c r="C9" s="194"/>
      <c r="D9" s="195"/>
      <c r="E9" s="195"/>
      <c r="F9" s="196"/>
    </row>
    <row r="10" spans="1:6" s="188" customFormat="1" ht="16.5" customHeight="1" thickBot="1">
      <c r="A10" s="396" t="s">
        <v>185</v>
      </c>
      <c r="B10" s="399" t="s">
        <v>186</v>
      </c>
      <c r="C10" s="402" t="s">
        <v>313</v>
      </c>
      <c r="D10" s="405" t="s">
        <v>296</v>
      </c>
      <c r="E10" s="405"/>
      <c r="F10" s="406"/>
    </row>
    <row r="11" spans="1:6" s="188" customFormat="1" ht="33" customHeight="1" thickBot="1">
      <c r="A11" s="397"/>
      <c r="B11" s="400"/>
      <c r="C11" s="403"/>
      <c r="D11" s="197" t="s">
        <v>297</v>
      </c>
      <c r="E11" s="198" t="s">
        <v>298</v>
      </c>
      <c r="F11" s="199" t="s">
        <v>299</v>
      </c>
    </row>
    <row r="12" spans="1:6" s="188" customFormat="1" ht="22.5" customHeight="1">
      <c r="A12" s="397"/>
      <c r="B12" s="400"/>
      <c r="C12" s="403"/>
      <c r="D12" s="407" t="s">
        <v>300</v>
      </c>
      <c r="E12" s="408"/>
      <c r="F12" s="409"/>
    </row>
    <row r="13" spans="1:6" ht="12.75">
      <c r="A13" s="397"/>
      <c r="B13" s="400"/>
      <c r="C13" s="403"/>
      <c r="D13" s="410"/>
      <c r="E13" s="411"/>
      <c r="F13" s="412"/>
    </row>
    <row r="14" spans="1:6" ht="3" customHeight="1" thickBot="1">
      <c r="A14" s="398"/>
      <c r="B14" s="401"/>
      <c r="C14" s="404"/>
      <c r="D14" s="413"/>
      <c r="E14" s="414"/>
      <c r="F14" s="415"/>
    </row>
    <row r="15" spans="1:6" ht="30">
      <c r="A15" s="123" t="s">
        <v>202</v>
      </c>
      <c r="B15" s="124" t="s">
        <v>203</v>
      </c>
      <c r="C15" s="203">
        <f>SUM(D15:F15)</f>
        <v>55466494</v>
      </c>
      <c r="D15" s="203">
        <f>13849000+40900494</f>
        <v>54749494</v>
      </c>
      <c r="E15" s="203">
        <v>717000</v>
      </c>
      <c r="F15" s="203"/>
    </row>
    <row r="16" spans="1:6" ht="15">
      <c r="A16" s="127" t="s">
        <v>204</v>
      </c>
      <c r="B16" s="124" t="s">
        <v>33</v>
      </c>
      <c r="C16" s="205">
        <f aca="true" t="shared" si="0" ref="C16:C40">SUM(D16:F16)</f>
        <v>64000</v>
      </c>
      <c r="D16" s="205">
        <v>64000</v>
      </c>
      <c r="E16" s="205"/>
      <c r="F16" s="205"/>
    </row>
    <row r="17" spans="1:6" ht="15">
      <c r="A17" s="127" t="s">
        <v>205</v>
      </c>
      <c r="B17" s="124" t="s">
        <v>206</v>
      </c>
      <c r="C17" s="205">
        <f t="shared" si="0"/>
        <v>2245000</v>
      </c>
      <c r="D17" s="205">
        <f>245000</f>
        <v>245000</v>
      </c>
      <c r="E17" s="205">
        <v>2000000</v>
      </c>
      <c r="F17" s="205"/>
    </row>
    <row r="18" spans="1:6" ht="15">
      <c r="A18" s="127" t="s">
        <v>301</v>
      </c>
      <c r="B18" s="124" t="s">
        <v>302</v>
      </c>
      <c r="C18" s="205">
        <f>SUM(D18:F18)</f>
        <v>2202904</v>
      </c>
      <c r="D18" s="205">
        <f>1139000+179759+884145</f>
        <v>2202904</v>
      </c>
      <c r="E18" s="205"/>
      <c r="F18" s="205"/>
    </row>
    <row r="19" spans="1:6" ht="15">
      <c r="A19" s="127" t="s">
        <v>416</v>
      </c>
      <c r="B19" s="124" t="s">
        <v>417</v>
      </c>
      <c r="C19" s="205">
        <f>SUM(D19:F19)</f>
        <v>777025</v>
      </c>
      <c r="D19" s="205">
        <v>777025</v>
      </c>
      <c r="E19" s="205"/>
      <c r="F19" s="205"/>
    </row>
    <row r="20" spans="1:6" ht="27" customHeight="1">
      <c r="A20" s="127" t="s">
        <v>207</v>
      </c>
      <c r="B20" s="124" t="s">
        <v>208</v>
      </c>
      <c r="C20" s="205">
        <f t="shared" si="0"/>
        <v>27000</v>
      </c>
      <c r="D20" s="205">
        <v>27000</v>
      </c>
      <c r="E20" s="205"/>
      <c r="F20" s="205"/>
    </row>
    <row r="21" spans="1:6" ht="15">
      <c r="A21" s="127" t="s">
        <v>379</v>
      </c>
      <c r="B21" s="124" t="s">
        <v>380</v>
      </c>
      <c r="C21" s="205">
        <f t="shared" si="0"/>
        <v>19021</v>
      </c>
      <c r="D21" s="296">
        <v>19021</v>
      </c>
      <c r="E21" s="136"/>
      <c r="F21" s="136"/>
    </row>
    <row r="22" spans="1:6" ht="15">
      <c r="A22" s="127" t="s">
        <v>209</v>
      </c>
      <c r="B22" s="124" t="s">
        <v>210</v>
      </c>
      <c r="C22" s="205">
        <f t="shared" si="0"/>
        <v>6313000</v>
      </c>
      <c r="D22" s="205">
        <v>6313000</v>
      </c>
      <c r="E22" s="205"/>
      <c r="F22" s="205"/>
    </row>
    <row r="23" spans="1:6" ht="15">
      <c r="A23" s="127" t="s">
        <v>211</v>
      </c>
      <c r="B23" s="124" t="s">
        <v>212</v>
      </c>
      <c r="C23" s="205">
        <f t="shared" si="0"/>
        <v>600000</v>
      </c>
      <c r="D23" s="205"/>
      <c r="E23" s="205">
        <v>600000</v>
      </c>
      <c r="F23" s="205"/>
    </row>
    <row r="24" spans="1:6" ht="15">
      <c r="A24" s="127" t="s">
        <v>213</v>
      </c>
      <c r="B24" s="124" t="s">
        <v>214</v>
      </c>
      <c r="C24" s="205">
        <f t="shared" si="0"/>
        <v>1900000</v>
      </c>
      <c r="D24" s="205">
        <v>1900000</v>
      </c>
      <c r="E24" s="205"/>
      <c r="F24" s="205"/>
    </row>
    <row r="25" spans="1:6" ht="15">
      <c r="A25" s="127" t="s">
        <v>215</v>
      </c>
      <c r="B25" s="124" t="s">
        <v>216</v>
      </c>
      <c r="C25" s="205">
        <f t="shared" si="0"/>
        <v>635000</v>
      </c>
      <c r="D25" s="205">
        <v>635000</v>
      </c>
      <c r="E25" s="205"/>
      <c r="F25" s="205"/>
    </row>
    <row r="26" spans="1:6" ht="15">
      <c r="A26" s="127" t="s">
        <v>217</v>
      </c>
      <c r="B26" s="124" t="s">
        <v>218</v>
      </c>
      <c r="C26" s="205">
        <f t="shared" si="0"/>
        <v>2379348</v>
      </c>
      <c r="D26" s="205">
        <f>2281000+61348</f>
        <v>2342348</v>
      </c>
      <c r="E26" s="205">
        <v>37000</v>
      </c>
      <c r="F26" s="205"/>
    </row>
    <row r="27" spans="1:6" ht="15">
      <c r="A27" s="127" t="s">
        <v>219</v>
      </c>
      <c r="B27" s="124" t="s">
        <v>31</v>
      </c>
      <c r="C27" s="205">
        <f t="shared" si="0"/>
        <v>23265000</v>
      </c>
      <c r="D27" s="205">
        <v>23265000</v>
      </c>
      <c r="E27" s="205"/>
      <c r="F27" s="205"/>
    </row>
    <row r="28" spans="1:6" ht="15">
      <c r="A28" s="127" t="s">
        <v>220</v>
      </c>
      <c r="B28" s="124" t="s">
        <v>221</v>
      </c>
      <c r="C28" s="205">
        <f t="shared" si="0"/>
        <v>675000</v>
      </c>
      <c r="D28" s="205">
        <v>675000</v>
      </c>
      <c r="E28" s="205"/>
      <c r="F28" s="205"/>
    </row>
    <row r="29" spans="1:6" ht="15">
      <c r="A29" s="127" t="s">
        <v>222</v>
      </c>
      <c r="B29" s="124" t="s">
        <v>34</v>
      </c>
      <c r="C29" s="205">
        <f t="shared" si="0"/>
        <v>853690</v>
      </c>
      <c r="D29" s="205">
        <f>833000+5690</f>
        <v>838690</v>
      </c>
      <c r="E29" s="205">
        <v>15000</v>
      </c>
      <c r="F29" s="205"/>
    </row>
    <row r="30" spans="1:6" ht="15">
      <c r="A30" s="127" t="s">
        <v>374</v>
      </c>
      <c r="B30" s="124" t="s">
        <v>381</v>
      </c>
      <c r="C30" s="205">
        <f t="shared" si="0"/>
        <v>2558821</v>
      </c>
      <c r="D30" s="205">
        <f>2463000+18821</f>
        <v>2481821</v>
      </c>
      <c r="E30" s="205">
        <v>77000</v>
      </c>
      <c r="F30" s="205"/>
    </row>
    <row r="31" spans="1:6" ht="15">
      <c r="A31" s="127" t="s">
        <v>376</v>
      </c>
      <c r="B31" s="124" t="s">
        <v>382</v>
      </c>
      <c r="C31" s="205">
        <f t="shared" si="0"/>
        <v>362000</v>
      </c>
      <c r="D31" s="205">
        <v>362000</v>
      </c>
      <c r="E31" s="205"/>
      <c r="F31" s="205"/>
    </row>
    <row r="32" spans="1:6" ht="15">
      <c r="A32" s="127" t="s">
        <v>223</v>
      </c>
      <c r="B32" s="124" t="s">
        <v>32</v>
      </c>
      <c r="C32" s="205">
        <f t="shared" si="0"/>
        <v>240000</v>
      </c>
      <c r="D32" s="205"/>
      <c r="E32" s="205">
        <v>240000</v>
      </c>
      <c r="F32" s="205"/>
    </row>
    <row r="33" spans="1:6" ht="15">
      <c r="A33" s="127" t="s">
        <v>224</v>
      </c>
      <c r="B33" s="124" t="s">
        <v>225</v>
      </c>
      <c r="C33" s="205">
        <f t="shared" si="0"/>
        <v>50000</v>
      </c>
      <c r="D33" s="205"/>
      <c r="E33" s="205">
        <v>50000</v>
      </c>
      <c r="F33" s="205"/>
    </row>
    <row r="34" spans="1:6" ht="15">
      <c r="A34" s="127" t="s">
        <v>303</v>
      </c>
      <c r="B34" s="124" t="s">
        <v>304</v>
      </c>
      <c r="C34" s="205">
        <f t="shared" si="0"/>
        <v>6826225</v>
      </c>
      <c r="D34" s="205">
        <f>6654000+59225</f>
        <v>6713225</v>
      </c>
      <c r="E34" s="205">
        <v>113000</v>
      </c>
      <c r="F34" s="205"/>
    </row>
    <row r="35" spans="1:6" ht="15">
      <c r="A35" s="127" t="s">
        <v>305</v>
      </c>
      <c r="B35" s="124" t="s">
        <v>306</v>
      </c>
      <c r="C35" s="205">
        <f t="shared" si="0"/>
        <v>1256745</v>
      </c>
      <c r="D35" s="205"/>
      <c r="E35" s="205">
        <f>1226000+30745</f>
        <v>1256745</v>
      </c>
      <c r="F35" s="205"/>
    </row>
    <row r="36" spans="1:6" ht="15">
      <c r="A36" s="127" t="s">
        <v>305</v>
      </c>
      <c r="B36" s="124" t="s">
        <v>383</v>
      </c>
      <c r="C36" s="205">
        <f t="shared" si="0"/>
        <v>1931755</v>
      </c>
      <c r="D36" s="205"/>
      <c r="E36" s="205">
        <f>1877000+54755</f>
        <v>1931755</v>
      </c>
      <c r="F36" s="205"/>
    </row>
    <row r="37" spans="1:6" ht="15">
      <c r="A37" s="127">
        <v>104051</v>
      </c>
      <c r="B37" s="131" t="s">
        <v>361</v>
      </c>
      <c r="C37" s="205">
        <f t="shared" si="0"/>
        <v>46000</v>
      </c>
      <c r="D37" s="205"/>
      <c r="E37" s="205"/>
      <c r="F37" s="205">
        <v>46000</v>
      </c>
    </row>
    <row r="38" spans="1:6" ht="15">
      <c r="A38" s="127">
        <v>106020</v>
      </c>
      <c r="B38" s="124" t="s">
        <v>226</v>
      </c>
      <c r="C38" s="205">
        <f t="shared" si="0"/>
        <v>600000</v>
      </c>
      <c r="D38" s="205">
        <v>600000</v>
      </c>
      <c r="E38" s="205"/>
      <c r="F38" s="205"/>
    </row>
    <row r="39" spans="1:13" ht="15">
      <c r="A39" s="127" t="s">
        <v>227</v>
      </c>
      <c r="B39" s="130" t="s">
        <v>360</v>
      </c>
      <c r="C39" s="205">
        <f t="shared" si="0"/>
        <v>3905275</v>
      </c>
      <c r="D39" s="205">
        <f>3806000+40275</f>
        <v>3846275</v>
      </c>
      <c r="E39" s="205">
        <v>59000</v>
      </c>
      <c r="F39" s="205"/>
      <c r="G39" s="319"/>
      <c r="H39" s="319"/>
      <c r="I39" s="319"/>
      <c r="J39" s="319"/>
      <c r="K39" s="319"/>
      <c r="L39" s="319"/>
      <c r="M39" s="319"/>
    </row>
    <row r="40" spans="1:13" ht="15">
      <c r="A40" s="127">
        <v>107052</v>
      </c>
      <c r="B40" s="131" t="s">
        <v>228</v>
      </c>
      <c r="C40" s="205">
        <f t="shared" si="0"/>
        <v>702000</v>
      </c>
      <c r="D40" s="297">
        <v>702000</v>
      </c>
      <c r="E40" s="136"/>
      <c r="F40" s="136"/>
      <c r="G40" s="320"/>
      <c r="H40" s="320"/>
      <c r="I40" s="321"/>
      <c r="J40" s="322"/>
      <c r="K40" s="322"/>
      <c r="L40" s="322"/>
      <c r="M40" s="321"/>
    </row>
    <row r="41" spans="1:6" ht="15.75" thickBot="1">
      <c r="A41" s="127">
        <v>107060</v>
      </c>
      <c r="B41" s="124" t="s">
        <v>229</v>
      </c>
      <c r="C41" s="205">
        <f>SUM(D41:F41)</f>
        <v>2715000</v>
      </c>
      <c r="D41" s="205">
        <v>2715000</v>
      </c>
      <c r="E41" s="205"/>
      <c r="F41" s="205"/>
    </row>
    <row r="42" spans="1:6" ht="33" customHeight="1" thickBot="1">
      <c r="A42" s="207"/>
      <c r="B42" s="208" t="s">
        <v>1</v>
      </c>
      <c r="C42" s="209">
        <f>SUM(C15:C41)</f>
        <v>118616303</v>
      </c>
      <c r="D42" s="209">
        <f>SUM(D15:D41)</f>
        <v>111473803</v>
      </c>
      <c r="E42" s="209">
        <f>SUM(E15:E41)</f>
        <v>7096500</v>
      </c>
      <c r="F42" s="209">
        <f>SUM(F15:F41)</f>
        <v>46000</v>
      </c>
    </row>
  </sheetData>
  <sheetProtection/>
  <mergeCells count="10">
    <mergeCell ref="A4:F4"/>
    <mergeCell ref="A10:A14"/>
    <mergeCell ref="B10:B14"/>
    <mergeCell ref="C10:C14"/>
    <mergeCell ref="D10:F10"/>
    <mergeCell ref="D12:F14"/>
    <mergeCell ref="B6:F6"/>
    <mergeCell ref="B7:F7"/>
    <mergeCell ref="B8:F8"/>
    <mergeCell ref="B5:F5"/>
  </mergeCells>
  <printOptions horizontalCentered="1"/>
  <pageMargins left="0" right="0" top="0" bottom="0" header="0.31496062992125984" footer="0.31496062992125984"/>
  <pageSetup fitToHeight="1" fitToWidth="1" horizontalDpi="600" verticalDpi="600" orientation="landscape" paperSize="9" scale="8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U3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2" width="9.125" style="12" customWidth="1"/>
    <col min="3" max="3" width="23.125" style="12" customWidth="1"/>
    <col min="4" max="4" width="17.375" style="12" customWidth="1"/>
    <col min="5" max="5" width="14.375" style="12" customWidth="1"/>
    <col min="6" max="6" width="17.125" style="12" customWidth="1"/>
    <col min="7" max="16384" width="9.125" style="12" customWidth="1"/>
  </cols>
  <sheetData>
    <row r="1" spans="1:10" ht="15.75">
      <c r="A1" s="140" t="s">
        <v>444</v>
      </c>
      <c r="C1" s="78"/>
      <c r="D1" s="78"/>
      <c r="E1" s="78"/>
      <c r="F1" s="78"/>
      <c r="G1" s="78"/>
      <c r="H1" s="78"/>
      <c r="I1" s="78"/>
      <c r="J1" s="78"/>
    </row>
    <row r="2" spans="1:10" ht="15.75">
      <c r="A2" s="140"/>
      <c r="C2" s="78"/>
      <c r="D2" s="78"/>
      <c r="E2" s="78"/>
      <c r="F2" s="78"/>
      <c r="G2" s="78"/>
      <c r="H2" s="78"/>
      <c r="I2" s="78"/>
      <c r="J2" s="78"/>
    </row>
    <row r="3" spans="1:6" ht="15">
      <c r="A3" s="469" t="s">
        <v>430</v>
      </c>
      <c r="B3" s="469"/>
      <c r="C3" s="469"/>
      <c r="D3" s="469"/>
      <c r="E3" s="469"/>
      <c r="F3" s="469"/>
    </row>
    <row r="4" spans="1:6" ht="15">
      <c r="A4" s="470"/>
      <c r="B4" s="470"/>
      <c r="C4" s="470"/>
      <c r="D4" s="470"/>
      <c r="E4" s="470"/>
      <c r="F4" s="470"/>
    </row>
    <row r="5" ht="12.75" customHeight="1"/>
    <row r="6" spans="1:6" s="22" customFormat="1" ht="15.75">
      <c r="A6" s="471" t="s">
        <v>3</v>
      </c>
      <c r="B6" s="471"/>
      <c r="C6" s="471"/>
      <c r="D6" s="471"/>
      <c r="E6" s="471"/>
      <c r="F6" s="471"/>
    </row>
    <row r="7" spans="1:6" s="22" customFormat="1" ht="15.75">
      <c r="A7" s="471" t="s">
        <v>384</v>
      </c>
      <c r="B7" s="471"/>
      <c r="C7" s="471"/>
      <c r="D7" s="471"/>
      <c r="E7" s="471"/>
      <c r="F7" s="471"/>
    </row>
    <row r="8" spans="1:6" ht="15">
      <c r="A8" s="470" t="s">
        <v>385</v>
      </c>
      <c r="B8" s="470"/>
      <c r="C8" s="470"/>
      <c r="D8" s="470"/>
      <c r="E8" s="470"/>
      <c r="F8" s="470"/>
    </row>
    <row r="9" ht="15">
      <c r="F9" s="132" t="s">
        <v>412</v>
      </c>
    </row>
    <row r="10" spans="1:6" ht="15">
      <c r="A10" s="457" t="s">
        <v>0</v>
      </c>
      <c r="B10" s="458"/>
      <c r="C10" s="458"/>
      <c r="D10" s="458"/>
      <c r="E10" s="459"/>
      <c r="F10" s="466" t="s">
        <v>8</v>
      </c>
    </row>
    <row r="11" spans="1:6" ht="15">
      <c r="A11" s="460"/>
      <c r="B11" s="461"/>
      <c r="C11" s="461"/>
      <c r="D11" s="461"/>
      <c r="E11" s="462"/>
      <c r="F11" s="467"/>
    </row>
    <row r="12" spans="1:6" ht="15">
      <c r="A12" s="463"/>
      <c r="B12" s="464"/>
      <c r="C12" s="464"/>
      <c r="D12" s="464"/>
      <c r="E12" s="465"/>
      <c r="F12" s="468"/>
    </row>
    <row r="13" spans="1:6" ht="15">
      <c r="A13" s="14" t="s">
        <v>230</v>
      </c>
      <c r="E13" s="23"/>
      <c r="F13" s="24"/>
    </row>
    <row r="14" spans="1:2" s="14" customFormat="1" ht="15">
      <c r="A14" s="132"/>
      <c r="B14" s="12"/>
    </row>
    <row r="15" spans="1:5" ht="29.25" customHeight="1">
      <c r="A15" s="132"/>
      <c r="B15" s="395" t="s">
        <v>231</v>
      </c>
      <c r="C15" s="395"/>
      <c r="D15" s="395"/>
      <c r="E15" s="395"/>
    </row>
    <row r="16" spans="1:6" ht="15.75">
      <c r="A16" s="133" t="s">
        <v>41</v>
      </c>
      <c r="B16" s="15" t="s">
        <v>17</v>
      </c>
      <c r="D16" s="13"/>
      <c r="F16" s="44"/>
    </row>
    <row r="17" spans="1:6" ht="15.75">
      <c r="A17" s="134" t="s">
        <v>21</v>
      </c>
      <c r="B17" s="16" t="s">
        <v>66</v>
      </c>
      <c r="F17" s="44">
        <v>70000</v>
      </c>
    </row>
    <row r="18" spans="1:6" ht="15">
      <c r="A18" s="13" t="s">
        <v>42</v>
      </c>
      <c r="B18" s="12" t="s">
        <v>22</v>
      </c>
      <c r="F18" s="44">
        <v>92000</v>
      </c>
    </row>
    <row r="19" ht="13.5" customHeight="1">
      <c r="F19" s="44"/>
    </row>
    <row r="20" spans="1:6" ht="33.75" customHeight="1">
      <c r="A20" s="14"/>
      <c r="B20" s="395" t="s">
        <v>232</v>
      </c>
      <c r="C20" s="395"/>
      <c r="D20" s="395"/>
      <c r="E20" s="395"/>
      <c r="F20" s="45">
        <f>SUM(F16:F19)</f>
        <v>162000</v>
      </c>
    </row>
    <row r="21" ht="13.5" customHeight="1">
      <c r="F21" s="44"/>
    </row>
    <row r="22" spans="1:6" ht="33" customHeight="1">
      <c r="A22" s="14"/>
      <c r="B22" s="395" t="s">
        <v>233</v>
      </c>
      <c r="C22" s="395"/>
      <c r="D22" s="395"/>
      <c r="E22" s="395"/>
      <c r="F22" s="44"/>
    </row>
    <row r="23" ht="13.5" customHeight="1">
      <c r="F23" s="44"/>
    </row>
    <row r="24" spans="1:6" ht="15.75">
      <c r="A24" s="13" t="s">
        <v>41</v>
      </c>
      <c r="B24" s="15" t="s">
        <v>18</v>
      </c>
      <c r="C24" s="15"/>
      <c r="F24" s="44">
        <v>50000</v>
      </c>
    </row>
    <row r="25" spans="1:6" ht="13.5" customHeight="1">
      <c r="A25" s="13"/>
      <c r="F25" s="44"/>
    </row>
    <row r="26" spans="1:255" ht="15.75">
      <c r="A26" s="13" t="s">
        <v>21</v>
      </c>
      <c r="B26" s="18" t="s">
        <v>19</v>
      </c>
      <c r="C26" s="18"/>
      <c r="D26" s="18"/>
      <c r="E26" s="18"/>
      <c r="F26" s="44">
        <v>40000</v>
      </c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18"/>
      <c r="DQ26" s="18"/>
      <c r="DR26" s="18"/>
      <c r="DS26" s="18"/>
      <c r="DT26" s="18"/>
      <c r="DU26" s="18"/>
      <c r="DV26" s="18"/>
      <c r="DW26" s="18"/>
      <c r="DX26" s="18"/>
      <c r="DY26" s="18"/>
      <c r="DZ26" s="18"/>
      <c r="EA26" s="18"/>
      <c r="EB26" s="18"/>
      <c r="EC26" s="18"/>
      <c r="ED26" s="18"/>
      <c r="EE26" s="18"/>
      <c r="EF26" s="18"/>
      <c r="EG26" s="18"/>
      <c r="EH26" s="18"/>
      <c r="EI26" s="18"/>
      <c r="EJ26" s="18"/>
      <c r="EK26" s="18"/>
      <c r="EL26" s="18"/>
      <c r="EM26" s="18"/>
      <c r="EN26" s="18"/>
      <c r="EO26" s="18"/>
      <c r="EP26" s="18"/>
      <c r="EQ26" s="18"/>
      <c r="ER26" s="18"/>
      <c r="ES26" s="18"/>
      <c r="ET26" s="18"/>
      <c r="EU26" s="18"/>
      <c r="EV26" s="18"/>
      <c r="EW26" s="18"/>
      <c r="EX26" s="18"/>
      <c r="EY26" s="18"/>
      <c r="EZ26" s="18"/>
      <c r="FA26" s="18"/>
      <c r="FB26" s="18"/>
      <c r="FC26" s="18"/>
      <c r="FD26" s="18"/>
      <c r="FE26" s="18"/>
      <c r="FF26" s="18"/>
      <c r="FG26" s="18"/>
      <c r="FH26" s="18"/>
      <c r="FI26" s="18"/>
      <c r="FJ26" s="18"/>
      <c r="FK26" s="18"/>
      <c r="FL26" s="18"/>
      <c r="FM26" s="18"/>
      <c r="FN26" s="18"/>
      <c r="FO26" s="18"/>
      <c r="FP26" s="18"/>
      <c r="FQ26" s="18"/>
      <c r="FR26" s="18"/>
      <c r="FS26" s="18"/>
      <c r="FT26" s="18"/>
      <c r="FU26" s="18"/>
      <c r="FV26" s="18"/>
      <c r="FW26" s="18"/>
      <c r="FX26" s="18"/>
      <c r="FY26" s="18"/>
      <c r="FZ26" s="18"/>
      <c r="GA26" s="18"/>
      <c r="GB26" s="18"/>
      <c r="GC26" s="18"/>
      <c r="GD26" s="18"/>
      <c r="GE26" s="18"/>
      <c r="GF26" s="18"/>
      <c r="GG26" s="18"/>
      <c r="GH26" s="18"/>
      <c r="GI26" s="18"/>
      <c r="GJ26" s="18"/>
      <c r="GK26" s="18"/>
      <c r="GL26" s="18"/>
      <c r="GM26" s="18"/>
      <c r="GN26" s="18"/>
      <c r="GO26" s="18"/>
      <c r="GP26" s="18"/>
      <c r="GQ26" s="18"/>
      <c r="GR26" s="18"/>
      <c r="GS26" s="18"/>
      <c r="GT26" s="18"/>
      <c r="GU26" s="18"/>
      <c r="GV26" s="18"/>
      <c r="GW26" s="18"/>
      <c r="GX26" s="18"/>
      <c r="GY26" s="18"/>
      <c r="GZ26" s="18"/>
      <c r="HA26" s="18"/>
      <c r="HB26" s="18"/>
      <c r="HC26" s="18"/>
      <c r="HD26" s="18"/>
      <c r="HE26" s="18"/>
      <c r="HF26" s="18"/>
      <c r="HG26" s="18"/>
      <c r="HH26" s="18"/>
      <c r="HI26" s="18"/>
      <c r="HJ26" s="18"/>
      <c r="HK26" s="18"/>
      <c r="HL26" s="18"/>
      <c r="HM26" s="18"/>
      <c r="HN26" s="18"/>
      <c r="HO26" s="18"/>
      <c r="HP26" s="18"/>
      <c r="HQ26" s="18"/>
      <c r="HR26" s="18"/>
      <c r="HS26" s="18"/>
      <c r="HT26" s="18"/>
      <c r="HU26" s="18"/>
      <c r="HV26" s="18"/>
      <c r="HW26" s="18"/>
      <c r="HX26" s="18"/>
      <c r="HY26" s="18"/>
      <c r="HZ26" s="18"/>
      <c r="IA26" s="18"/>
      <c r="IB26" s="18"/>
      <c r="IC26" s="18"/>
      <c r="ID26" s="18"/>
      <c r="IE26" s="18"/>
      <c r="IF26" s="18"/>
      <c r="IG26" s="18"/>
      <c r="IH26" s="18"/>
      <c r="II26" s="18"/>
      <c r="IJ26" s="18"/>
      <c r="IK26" s="18"/>
      <c r="IL26" s="18"/>
      <c r="IM26" s="18"/>
      <c r="IN26" s="18"/>
      <c r="IO26" s="18"/>
      <c r="IP26" s="18"/>
      <c r="IQ26" s="18"/>
      <c r="IR26" s="18"/>
      <c r="IS26" s="18"/>
      <c r="IT26" s="18"/>
      <c r="IU26" s="18"/>
    </row>
    <row r="27" spans="1:255" ht="15.75">
      <c r="A27" s="13" t="s">
        <v>42</v>
      </c>
      <c r="B27" s="18" t="s">
        <v>20</v>
      </c>
      <c r="C27" s="18"/>
      <c r="D27" s="18"/>
      <c r="E27" s="18"/>
      <c r="F27" s="44">
        <v>80000</v>
      </c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8"/>
      <c r="EA27" s="18"/>
      <c r="EB27" s="18"/>
      <c r="EC27" s="18"/>
      <c r="ED27" s="18"/>
      <c r="EE27" s="18"/>
      <c r="EF27" s="18"/>
      <c r="EG27" s="18"/>
      <c r="EH27" s="18"/>
      <c r="EI27" s="18"/>
      <c r="EJ27" s="18"/>
      <c r="EK27" s="18"/>
      <c r="EL27" s="18"/>
      <c r="EM27" s="18"/>
      <c r="EN27" s="18"/>
      <c r="EO27" s="18"/>
      <c r="EP27" s="18"/>
      <c r="EQ27" s="18"/>
      <c r="ER27" s="18"/>
      <c r="ES27" s="18"/>
      <c r="ET27" s="18"/>
      <c r="EU27" s="18"/>
      <c r="EV27" s="18"/>
      <c r="EW27" s="18"/>
      <c r="EX27" s="18"/>
      <c r="EY27" s="18"/>
      <c r="EZ27" s="18"/>
      <c r="FA27" s="18"/>
      <c r="FB27" s="18"/>
      <c r="FC27" s="18"/>
      <c r="FD27" s="18"/>
      <c r="FE27" s="18"/>
      <c r="FF27" s="18"/>
      <c r="FG27" s="18"/>
      <c r="FH27" s="18"/>
      <c r="FI27" s="18"/>
      <c r="FJ27" s="18"/>
      <c r="FK27" s="18"/>
      <c r="FL27" s="18"/>
      <c r="FM27" s="18"/>
      <c r="FN27" s="18"/>
      <c r="FO27" s="18"/>
      <c r="FP27" s="18"/>
      <c r="FQ27" s="18"/>
      <c r="FR27" s="18"/>
      <c r="FS27" s="18"/>
      <c r="FT27" s="18"/>
      <c r="FU27" s="18"/>
      <c r="FV27" s="18"/>
      <c r="FW27" s="18"/>
      <c r="FX27" s="18"/>
      <c r="FY27" s="18"/>
      <c r="FZ27" s="18"/>
      <c r="GA27" s="18"/>
      <c r="GB27" s="18"/>
      <c r="GC27" s="18"/>
      <c r="GD27" s="18"/>
      <c r="GE27" s="18"/>
      <c r="GF27" s="18"/>
      <c r="GG27" s="18"/>
      <c r="GH27" s="18"/>
      <c r="GI27" s="18"/>
      <c r="GJ27" s="18"/>
      <c r="GK27" s="18"/>
      <c r="GL27" s="18"/>
      <c r="GM27" s="18"/>
      <c r="GN27" s="18"/>
      <c r="GO27" s="18"/>
      <c r="GP27" s="18"/>
      <c r="GQ27" s="18"/>
      <c r="GR27" s="18"/>
      <c r="GS27" s="18"/>
      <c r="GT27" s="18"/>
      <c r="GU27" s="18"/>
      <c r="GV27" s="18"/>
      <c r="GW27" s="18"/>
      <c r="GX27" s="18"/>
      <c r="GY27" s="18"/>
      <c r="GZ27" s="18"/>
      <c r="HA27" s="18"/>
      <c r="HB27" s="18"/>
      <c r="HC27" s="18"/>
      <c r="HD27" s="18"/>
      <c r="HE27" s="18"/>
      <c r="HF27" s="18"/>
      <c r="HG27" s="18"/>
      <c r="HH27" s="18"/>
      <c r="HI27" s="18"/>
      <c r="HJ27" s="18"/>
      <c r="HK27" s="18"/>
      <c r="HL27" s="18"/>
      <c r="HM27" s="18"/>
      <c r="HN27" s="18"/>
      <c r="HO27" s="18"/>
      <c r="HP27" s="18"/>
      <c r="HQ27" s="18"/>
      <c r="HR27" s="18"/>
      <c r="HS27" s="18"/>
      <c r="HT27" s="18"/>
      <c r="HU27" s="18"/>
      <c r="HV27" s="18"/>
      <c r="HW27" s="18"/>
      <c r="HX27" s="18"/>
      <c r="HY27" s="18"/>
      <c r="HZ27" s="18"/>
      <c r="IA27" s="18"/>
      <c r="IB27" s="18"/>
      <c r="IC27" s="18"/>
      <c r="ID27" s="18"/>
      <c r="IE27" s="18"/>
      <c r="IF27" s="18"/>
      <c r="IG27" s="18"/>
      <c r="IH27" s="18"/>
      <c r="II27" s="18"/>
      <c r="IJ27" s="18"/>
      <c r="IK27" s="18"/>
      <c r="IL27" s="18"/>
      <c r="IM27" s="18"/>
      <c r="IN27" s="18"/>
      <c r="IO27" s="18"/>
      <c r="IP27" s="18"/>
      <c r="IQ27" s="18"/>
      <c r="IR27" s="18"/>
      <c r="IS27" s="18"/>
      <c r="IT27" s="18"/>
      <c r="IU27" s="18"/>
    </row>
    <row r="28" spans="1:255" ht="15.75">
      <c r="A28" s="13" t="s">
        <v>94</v>
      </c>
      <c r="B28" s="18" t="s">
        <v>44</v>
      </c>
      <c r="C28" s="18"/>
      <c r="D28" s="18"/>
      <c r="E28" s="18"/>
      <c r="F28" s="44">
        <f>80000+40000</f>
        <v>120000</v>
      </c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  <c r="DN28" s="18"/>
      <c r="DO28" s="18"/>
      <c r="DP28" s="18"/>
      <c r="DQ28" s="18"/>
      <c r="DR28" s="18"/>
      <c r="DS28" s="18"/>
      <c r="DT28" s="18"/>
      <c r="DU28" s="18"/>
      <c r="DV28" s="18"/>
      <c r="DW28" s="18"/>
      <c r="DX28" s="18"/>
      <c r="DY28" s="18"/>
      <c r="DZ28" s="18"/>
      <c r="EA28" s="18"/>
      <c r="EB28" s="18"/>
      <c r="EC28" s="18"/>
      <c r="ED28" s="18"/>
      <c r="EE28" s="18"/>
      <c r="EF28" s="18"/>
      <c r="EG28" s="18"/>
      <c r="EH28" s="18"/>
      <c r="EI28" s="18"/>
      <c r="EJ28" s="18"/>
      <c r="EK28" s="18"/>
      <c r="EL28" s="18"/>
      <c r="EM28" s="18"/>
      <c r="EN28" s="18"/>
      <c r="EO28" s="18"/>
      <c r="EP28" s="18"/>
      <c r="EQ28" s="18"/>
      <c r="ER28" s="18"/>
      <c r="ES28" s="18"/>
      <c r="ET28" s="18"/>
      <c r="EU28" s="18"/>
      <c r="EV28" s="18"/>
      <c r="EW28" s="18"/>
      <c r="EX28" s="18"/>
      <c r="EY28" s="18"/>
      <c r="EZ28" s="18"/>
      <c r="FA28" s="18"/>
      <c r="FB28" s="18"/>
      <c r="FC28" s="18"/>
      <c r="FD28" s="18"/>
      <c r="FE28" s="18"/>
      <c r="FF28" s="18"/>
      <c r="FG28" s="18"/>
      <c r="FH28" s="18"/>
      <c r="FI28" s="18"/>
      <c r="FJ28" s="18"/>
      <c r="FK28" s="18"/>
      <c r="FL28" s="18"/>
      <c r="FM28" s="18"/>
      <c r="FN28" s="18"/>
      <c r="FO28" s="18"/>
      <c r="FP28" s="18"/>
      <c r="FQ28" s="18"/>
      <c r="FR28" s="18"/>
      <c r="FS28" s="18"/>
      <c r="FT28" s="18"/>
      <c r="FU28" s="18"/>
      <c r="FV28" s="18"/>
      <c r="FW28" s="18"/>
      <c r="FX28" s="18"/>
      <c r="FY28" s="18"/>
      <c r="FZ28" s="18"/>
      <c r="GA28" s="18"/>
      <c r="GB28" s="18"/>
      <c r="GC28" s="18"/>
      <c r="GD28" s="18"/>
      <c r="GE28" s="18"/>
      <c r="GF28" s="18"/>
      <c r="GG28" s="18"/>
      <c r="GH28" s="18"/>
      <c r="GI28" s="18"/>
      <c r="GJ28" s="18"/>
      <c r="GK28" s="18"/>
      <c r="GL28" s="18"/>
      <c r="GM28" s="18"/>
      <c r="GN28" s="18"/>
      <c r="GO28" s="18"/>
      <c r="GP28" s="18"/>
      <c r="GQ28" s="18"/>
      <c r="GR28" s="18"/>
      <c r="GS28" s="18"/>
      <c r="GT28" s="18"/>
      <c r="GU28" s="18"/>
      <c r="GV28" s="18"/>
      <c r="GW28" s="18"/>
      <c r="GX28" s="18"/>
      <c r="GY28" s="18"/>
      <c r="GZ28" s="18"/>
      <c r="HA28" s="18"/>
      <c r="HB28" s="18"/>
      <c r="HC28" s="18"/>
      <c r="HD28" s="18"/>
      <c r="HE28" s="18"/>
      <c r="HF28" s="18"/>
      <c r="HG28" s="18"/>
      <c r="HH28" s="18"/>
      <c r="HI28" s="18"/>
      <c r="HJ28" s="18"/>
      <c r="HK28" s="18"/>
      <c r="HL28" s="18"/>
      <c r="HM28" s="18"/>
      <c r="HN28" s="18"/>
      <c r="HO28" s="18"/>
      <c r="HP28" s="18"/>
      <c r="HQ28" s="18"/>
      <c r="HR28" s="18"/>
      <c r="HS28" s="18"/>
      <c r="HT28" s="18"/>
      <c r="HU28" s="18"/>
      <c r="HV28" s="18"/>
      <c r="HW28" s="18"/>
      <c r="HX28" s="18"/>
      <c r="HY28" s="18"/>
      <c r="HZ28" s="18"/>
      <c r="IA28" s="18"/>
      <c r="IB28" s="18"/>
      <c r="IC28" s="18"/>
      <c r="ID28" s="18"/>
      <c r="IE28" s="18"/>
      <c r="IF28" s="18"/>
      <c r="IG28" s="18"/>
      <c r="IH28" s="18"/>
      <c r="II28" s="18"/>
      <c r="IJ28" s="18"/>
      <c r="IK28" s="18"/>
      <c r="IL28" s="18"/>
      <c r="IM28" s="18"/>
      <c r="IN28" s="18"/>
      <c r="IO28" s="18"/>
      <c r="IP28" s="18"/>
      <c r="IQ28" s="18"/>
      <c r="IR28" s="18"/>
      <c r="IS28" s="18"/>
      <c r="IT28" s="18"/>
      <c r="IU28" s="18"/>
    </row>
    <row r="29" spans="1:255" ht="15.75">
      <c r="A29" s="13" t="s">
        <v>96</v>
      </c>
      <c r="B29" s="18" t="s">
        <v>45</v>
      </c>
      <c r="C29" s="18"/>
      <c r="D29" s="18"/>
      <c r="E29" s="18"/>
      <c r="F29" s="44">
        <v>75000</v>
      </c>
      <c r="G29" s="60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8"/>
      <c r="DM29" s="18"/>
      <c r="DN29" s="18"/>
      <c r="DO29" s="18"/>
      <c r="DP29" s="18"/>
      <c r="DQ29" s="18"/>
      <c r="DR29" s="18"/>
      <c r="DS29" s="18"/>
      <c r="DT29" s="18"/>
      <c r="DU29" s="18"/>
      <c r="DV29" s="18"/>
      <c r="DW29" s="18"/>
      <c r="DX29" s="18"/>
      <c r="DY29" s="18"/>
      <c r="DZ29" s="18"/>
      <c r="EA29" s="18"/>
      <c r="EB29" s="18"/>
      <c r="EC29" s="18"/>
      <c r="ED29" s="18"/>
      <c r="EE29" s="18"/>
      <c r="EF29" s="18"/>
      <c r="EG29" s="18"/>
      <c r="EH29" s="18"/>
      <c r="EI29" s="18"/>
      <c r="EJ29" s="18"/>
      <c r="EK29" s="18"/>
      <c r="EL29" s="18"/>
      <c r="EM29" s="18"/>
      <c r="EN29" s="18"/>
      <c r="EO29" s="18"/>
      <c r="EP29" s="18"/>
      <c r="EQ29" s="18"/>
      <c r="ER29" s="18"/>
      <c r="ES29" s="18"/>
      <c r="ET29" s="18"/>
      <c r="EU29" s="18"/>
      <c r="EV29" s="18"/>
      <c r="EW29" s="18"/>
      <c r="EX29" s="18"/>
      <c r="EY29" s="18"/>
      <c r="EZ29" s="18"/>
      <c r="FA29" s="18"/>
      <c r="FB29" s="18"/>
      <c r="FC29" s="18"/>
      <c r="FD29" s="18"/>
      <c r="FE29" s="18"/>
      <c r="FF29" s="18"/>
      <c r="FG29" s="18"/>
      <c r="FH29" s="18"/>
      <c r="FI29" s="18"/>
      <c r="FJ29" s="18"/>
      <c r="FK29" s="18"/>
      <c r="FL29" s="18"/>
      <c r="FM29" s="18"/>
      <c r="FN29" s="18"/>
      <c r="FO29" s="18"/>
      <c r="FP29" s="18"/>
      <c r="FQ29" s="18"/>
      <c r="FR29" s="18"/>
      <c r="FS29" s="18"/>
      <c r="FT29" s="18"/>
      <c r="FU29" s="18"/>
      <c r="FV29" s="18"/>
      <c r="FW29" s="18"/>
      <c r="FX29" s="18"/>
      <c r="FY29" s="18"/>
      <c r="FZ29" s="18"/>
      <c r="GA29" s="18"/>
      <c r="GB29" s="18"/>
      <c r="GC29" s="18"/>
      <c r="GD29" s="18"/>
      <c r="GE29" s="18"/>
      <c r="GF29" s="18"/>
      <c r="GG29" s="18"/>
      <c r="GH29" s="18"/>
      <c r="GI29" s="18"/>
      <c r="GJ29" s="18"/>
      <c r="GK29" s="18"/>
      <c r="GL29" s="18"/>
      <c r="GM29" s="18"/>
      <c r="GN29" s="18"/>
      <c r="GO29" s="18"/>
      <c r="GP29" s="18"/>
      <c r="GQ29" s="18"/>
      <c r="GR29" s="18"/>
      <c r="GS29" s="18"/>
      <c r="GT29" s="18"/>
      <c r="GU29" s="18"/>
      <c r="GV29" s="18"/>
      <c r="GW29" s="18"/>
      <c r="GX29" s="18"/>
      <c r="GY29" s="18"/>
      <c r="GZ29" s="18"/>
      <c r="HA29" s="18"/>
      <c r="HB29" s="18"/>
      <c r="HC29" s="18"/>
      <c r="HD29" s="18"/>
      <c r="HE29" s="18"/>
      <c r="HF29" s="18"/>
      <c r="HG29" s="18"/>
      <c r="HH29" s="18"/>
      <c r="HI29" s="18"/>
      <c r="HJ29" s="18"/>
      <c r="HK29" s="18"/>
      <c r="HL29" s="18"/>
      <c r="HM29" s="18"/>
      <c r="HN29" s="18"/>
      <c r="HO29" s="18"/>
      <c r="HP29" s="18"/>
      <c r="HQ29" s="18"/>
      <c r="HR29" s="18"/>
      <c r="HS29" s="18"/>
      <c r="HT29" s="18"/>
      <c r="HU29" s="18"/>
      <c r="HV29" s="18"/>
      <c r="HW29" s="18"/>
      <c r="HX29" s="18"/>
      <c r="HY29" s="18"/>
      <c r="HZ29" s="18"/>
      <c r="IA29" s="18"/>
      <c r="IB29" s="18"/>
      <c r="IC29" s="18"/>
      <c r="ID29" s="18"/>
      <c r="IE29" s="18"/>
      <c r="IF29" s="18"/>
      <c r="IG29" s="18"/>
      <c r="IH29" s="18"/>
      <c r="II29" s="18"/>
      <c r="IJ29" s="18"/>
      <c r="IK29" s="18"/>
      <c r="IL29" s="18"/>
      <c r="IM29" s="18"/>
      <c r="IN29" s="18"/>
      <c r="IO29" s="18"/>
      <c r="IP29" s="18"/>
      <c r="IQ29" s="18"/>
      <c r="IR29" s="18"/>
      <c r="IS29" s="18"/>
      <c r="IT29" s="18"/>
      <c r="IU29" s="18"/>
    </row>
    <row r="30" spans="1:6" ht="13.5" customHeight="1">
      <c r="A30" s="13" t="s">
        <v>102</v>
      </c>
      <c r="B30" s="18" t="s">
        <v>67</v>
      </c>
      <c r="F30" s="44">
        <v>600000</v>
      </c>
    </row>
    <row r="31" spans="1:6" ht="13.5" customHeight="1">
      <c r="A31" s="18"/>
      <c r="F31" s="44"/>
    </row>
    <row r="32" spans="1:8" ht="32.25" customHeight="1">
      <c r="A32" s="14"/>
      <c r="B32" s="395" t="s">
        <v>234</v>
      </c>
      <c r="C32" s="395"/>
      <c r="D32" s="395"/>
      <c r="E32" s="395"/>
      <c r="F32" s="45">
        <f>SUM(F24:F31)</f>
        <v>965000</v>
      </c>
      <c r="G32" s="17"/>
      <c r="H32" s="17"/>
    </row>
    <row r="33" spans="1:8" ht="12.75" customHeight="1">
      <c r="A33" s="14"/>
      <c r="F33" s="44"/>
      <c r="G33" s="17"/>
      <c r="H33" s="17"/>
    </row>
    <row r="34" spans="1:7" s="19" customFormat="1" ht="15.75">
      <c r="A34" s="14" t="s">
        <v>235</v>
      </c>
      <c r="F34" s="45">
        <f>F32+F20</f>
        <v>1127000</v>
      </c>
      <c r="G34" s="20"/>
    </row>
    <row r="35" spans="1:7" s="19" customFormat="1" ht="15.75">
      <c r="A35" s="14"/>
      <c r="F35" s="45"/>
      <c r="G35" s="20"/>
    </row>
    <row r="36" spans="6:7" s="19" customFormat="1" ht="15.75">
      <c r="F36" s="44"/>
      <c r="G36" s="20"/>
    </row>
    <row r="37" spans="1:6" s="21" customFormat="1" ht="18.75">
      <c r="A37" s="21" t="s">
        <v>4</v>
      </c>
      <c r="F37" s="40">
        <f>F34</f>
        <v>1127000</v>
      </c>
    </row>
  </sheetData>
  <sheetProtection/>
  <mergeCells count="11">
    <mergeCell ref="B22:E22"/>
    <mergeCell ref="B32:E32"/>
    <mergeCell ref="A10:E12"/>
    <mergeCell ref="B15:E15"/>
    <mergeCell ref="B20:E20"/>
    <mergeCell ref="F10:F12"/>
    <mergeCell ref="A3:F3"/>
    <mergeCell ref="A4:F4"/>
    <mergeCell ref="A6:F6"/>
    <mergeCell ref="A8:F8"/>
    <mergeCell ref="A7:F7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4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67.875" style="27" customWidth="1"/>
    <col min="2" max="2" width="12.125" style="27" customWidth="1"/>
    <col min="3" max="3" width="16.00390625" style="39" customWidth="1"/>
    <col min="4" max="16384" width="9.125" style="27" customWidth="1"/>
  </cols>
  <sheetData>
    <row r="1" spans="1:4" ht="15.75">
      <c r="A1" s="140" t="s">
        <v>445</v>
      </c>
      <c r="B1" s="140"/>
      <c r="C1" s="140"/>
      <c r="D1" s="78"/>
    </row>
    <row r="2" spans="1:4" ht="15">
      <c r="A2" s="79"/>
      <c r="B2" s="79"/>
      <c r="C2" s="79"/>
      <c r="D2" s="78"/>
    </row>
    <row r="3" spans="1:3" ht="15.75" customHeight="1">
      <c r="A3" s="472" t="s">
        <v>431</v>
      </c>
      <c r="B3" s="472"/>
      <c r="C3" s="472"/>
    </row>
    <row r="4" spans="1:3" ht="15">
      <c r="A4" s="474"/>
      <c r="B4" s="380"/>
      <c r="C4" s="380"/>
    </row>
    <row r="5" spans="1:3" s="15" customFormat="1" ht="15.75" customHeight="1">
      <c r="A5" s="473" t="s">
        <v>36</v>
      </c>
      <c r="B5" s="473"/>
      <c r="C5" s="473"/>
    </row>
    <row r="6" spans="1:6" s="22" customFormat="1" ht="15.75">
      <c r="A6" s="471" t="s">
        <v>37</v>
      </c>
      <c r="B6" s="471"/>
      <c r="C6" s="471"/>
      <c r="D6" s="47"/>
      <c r="E6" s="47"/>
      <c r="F6" s="47"/>
    </row>
    <row r="7" spans="1:6" s="12" customFormat="1" ht="15">
      <c r="A7" s="470" t="s">
        <v>397</v>
      </c>
      <c r="B7" s="470"/>
      <c r="C7" s="470"/>
      <c r="D7" s="46"/>
      <c r="E7" s="46"/>
      <c r="F7" s="46"/>
    </row>
    <row r="8" spans="2:3" ht="15.75" customHeight="1" thickBot="1">
      <c r="B8" s="28"/>
      <c r="C8" s="38" t="s">
        <v>437</v>
      </c>
    </row>
    <row r="9" spans="1:3" ht="15" customHeight="1">
      <c r="A9" s="29"/>
      <c r="B9" s="30" t="s">
        <v>12</v>
      </c>
      <c r="C9" s="41" t="s">
        <v>28</v>
      </c>
    </row>
    <row r="10" spans="1:3" ht="15.75" customHeight="1">
      <c r="A10" s="31" t="s">
        <v>0</v>
      </c>
      <c r="B10" s="32"/>
      <c r="C10" s="42" t="s">
        <v>29</v>
      </c>
    </row>
    <row r="11" spans="1:3" ht="32.25" thickBot="1">
      <c r="A11" s="33"/>
      <c r="B11" s="34" t="s">
        <v>7</v>
      </c>
      <c r="C11" s="43" t="s">
        <v>30</v>
      </c>
    </row>
    <row r="12" ht="11.25" customHeight="1">
      <c r="C12" s="27"/>
    </row>
    <row r="13" ht="11.25" customHeight="1">
      <c r="B13" s="44"/>
    </row>
    <row r="14" spans="1:3" ht="15.75">
      <c r="A14" s="35" t="s">
        <v>23</v>
      </c>
      <c r="B14" s="44"/>
      <c r="C14" s="39">
        <f>B13*0.9</f>
        <v>0</v>
      </c>
    </row>
    <row r="15" spans="1:2" ht="15.75">
      <c r="A15" s="35" t="s">
        <v>6</v>
      </c>
      <c r="B15" s="44"/>
    </row>
    <row r="16" ht="15" customHeight="1">
      <c r="B16" s="44"/>
    </row>
    <row r="17" spans="1:2" ht="15.75">
      <c r="A17" s="27" t="s">
        <v>68</v>
      </c>
      <c r="B17" s="44">
        <v>350000</v>
      </c>
    </row>
    <row r="18" spans="1:2" ht="30">
      <c r="A18" s="181" t="s">
        <v>362</v>
      </c>
      <c r="B18" s="44">
        <v>600000</v>
      </c>
    </row>
    <row r="19" spans="1:2" ht="15.75">
      <c r="A19" s="181" t="s">
        <v>363</v>
      </c>
      <c r="B19" s="44">
        <v>715000</v>
      </c>
    </row>
    <row r="20" spans="1:2" ht="15.75">
      <c r="A20" s="181" t="s">
        <v>364</v>
      </c>
      <c r="B20" s="44">
        <v>440000</v>
      </c>
    </row>
    <row r="21" spans="1:2" ht="30">
      <c r="A21" s="181" t="s">
        <v>365</v>
      </c>
      <c r="B21" s="44">
        <v>46000</v>
      </c>
    </row>
    <row r="22" spans="1:2" ht="15.75">
      <c r="A22" s="27" t="s">
        <v>73</v>
      </c>
      <c r="B22" s="44">
        <v>210000</v>
      </c>
    </row>
    <row r="23" spans="1:2" ht="14.25" customHeight="1">
      <c r="A23" s="27" t="s">
        <v>386</v>
      </c>
      <c r="B23" s="349">
        <v>1000000</v>
      </c>
    </row>
    <row r="24" spans="1:2" ht="15.75">
      <c r="A24" s="35" t="s">
        <v>23</v>
      </c>
      <c r="B24" s="349"/>
    </row>
    <row r="25" spans="1:3" ht="15">
      <c r="A25" s="35" t="s">
        <v>24</v>
      </c>
      <c r="B25" s="344">
        <f>SUM(B17:B24)</f>
        <v>3361000</v>
      </c>
      <c r="C25" s="45"/>
    </row>
    <row r="26" ht="11.25" customHeight="1">
      <c r="B26" s="349"/>
    </row>
    <row r="27" spans="1:3" ht="15">
      <c r="A27" s="35" t="s">
        <v>25</v>
      </c>
      <c r="B27" s="344">
        <f>B25</f>
        <v>3361000</v>
      </c>
      <c r="C27" s="45">
        <f>C25</f>
        <v>0</v>
      </c>
    </row>
    <row r="28" ht="11.25" customHeight="1">
      <c r="B28" s="349"/>
    </row>
    <row r="29" spans="1:3" s="35" customFormat="1" ht="15.75">
      <c r="A29" s="35" t="s">
        <v>290</v>
      </c>
      <c r="B29" s="45"/>
      <c r="C29" s="40"/>
    </row>
    <row r="30" ht="11.25" customHeight="1">
      <c r="B30" s="44"/>
    </row>
    <row r="31" spans="1:2" ht="30" customHeight="1">
      <c r="A31" s="181" t="s">
        <v>291</v>
      </c>
      <c r="B31" s="44">
        <v>600000</v>
      </c>
    </row>
    <row r="32" ht="11.25" customHeight="1">
      <c r="B32" s="44"/>
    </row>
    <row r="33" spans="1:2" ht="15.75">
      <c r="A33" s="35" t="s">
        <v>292</v>
      </c>
      <c r="B33" s="45">
        <v>600000</v>
      </c>
    </row>
    <row r="34" ht="11.25" customHeight="1">
      <c r="B34" s="44"/>
    </row>
    <row r="35" spans="1:3" s="37" customFormat="1" ht="16.5">
      <c r="A35" s="36" t="s">
        <v>26</v>
      </c>
      <c r="B35" s="51"/>
      <c r="C35" s="39"/>
    </row>
    <row r="36" spans="1:3" s="37" customFormat="1" ht="16.5">
      <c r="A36" s="36" t="s">
        <v>27</v>
      </c>
      <c r="B36" s="350">
        <f>B27+B33</f>
        <v>3961000</v>
      </c>
      <c r="C36" s="52">
        <f>C27</f>
        <v>0</v>
      </c>
    </row>
    <row r="40" ht="15">
      <c r="C40" s="27"/>
    </row>
    <row r="41" ht="15.75">
      <c r="C41" s="15"/>
    </row>
    <row r="42" ht="15.75">
      <c r="C42" s="15"/>
    </row>
    <row r="43" ht="15.75">
      <c r="C43" s="40"/>
    </row>
  </sheetData>
  <sheetProtection/>
  <mergeCells count="5">
    <mergeCell ref="A7:C7"/>
    <mergeCell ref="A6:C6"/>
    <mergeCell ref="A3:C3"/>
    <mergeCell ref="A5:C5"/>
    <mergeCell ref="A4:C4"/>
  </mergeCells>
  <printOptions horizontalCentered="1"/>
  <pageMargins left="0" right="0" top="0.1968503937007874" bottom="0.1968503937007874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5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70.375" style="16" customWidth="1"/>
    <col min="2" max="2" width="21.875" style="16" customWidth="1"/>
    <col min="3" max="16384" width="9.125" style="16" customWidth="1"/>
  </cols>
  <sheetData>
    <row r="1" spans="1:3" s="218" customFormat="1" ht="15">
      <c r="A1" s="212" t="s">
        <v>446</v>
      </c>
      <c r="B1" s="212"/>
      <c r="C1" s="212"/>
    </row>
    <row r="2" spans="1:3" s="218" customFormat="1" ht="15">
      <c r="A2" s="212"/>
      <c r="B2" s="212"/>
      <c r="C2" s="212"/>
    </row>
    <row r="3" spans="1:3" s="218" customFormat="1" ht="15">
      <c r="A3" s="212" t="s">
        <v>432</v>
      </c>
      <c r="B3" s="212"/>
      <c r="C3" s="212"/>
    </row>
    <row r="4" spans="1:2" ht="15.75">
      <c r="A4" s="476"/>
      <c r="B4" s="477"/>
    </row>
    <row r="5" spans="1:2" s="220" customFormat="1" ht="18.75">
      <c r="A5" s="219" t="s">
        <v>314</v>
      </c>
      <c r="B5" s="219"/>
    </row>
    <row r="6" spans="1:2" s="220" customFormat="1" ht="18.75">
      <c r="A6" s="475" t="s">
        <v>315</v>
      </c>
      <c r="B6" s="475"/>
    </row>
    <row r="7" spans="1:2" s="220" customFormat="1" ht="19.5" thickBot="1">
      <c r="A7" s="475" t="s">
        <v>371</v>
      </c>
      <c r="B7" s="475"/>
    </row>
    <row r="8" spans="1:2" ht="15.75">
      <c r="A8" s="221"/>
      <c r="B8" s="222" t="s">
        <v>7</v>
      </c>
    </row>
    <row r="9" spans="1:2" ht="12" customHeight="1">
      <c r="A9" s="223" t="s">
        <v>316</v>
      </c>
      <c r="B9" s="223"/>
    </row>
    <row r="10" spans="1:2" ht="13.5" customHeight="1" thickBot="1">
      <c r="A10" s="224"/>
      <c r="B10" s="225" t="s">
        <v>438</v>
      </c>
    </row>
    <row r="11" spans="1:2" ht="15.75">
      <c r="A11" s="226"/>
      <c r="B11" s="227"/>
    </row>
    <row r="12" spans="1:2" ht="18.75" customHeight="1">
      <c r="A12" s="282" t="s">
        <v>410</v>
      </c>
      <c r="B12" s="227"/>
    </row>
    <row r="13" spans="1:2" ht="15.75">
      <c r="A13" s="231" t="s">
        <v>388</v>
      </c>
      <c r="B13" s="229">
        <v>80000</v>
      </c>
    </row>
    <row r="14" spans="1:2" ht="15.75">
      <c r="A14" s="231" t="s">
        <v>317</v>
      </c>
      <c r="B14" s="301">
        <v>22000</v>
      </c>
    </row>
    <row r="15" spans="1:2" ht="15.75">
      <c r="A15" s="226" t="s">
        <v>1</v>
      </c>
      <c r="B15" s="233">
        <f>SUM(B13:B14)</f>
        <v>102000</v>
      </c>
    </row>
    <row r="16" spans="1:2" ht="15.75">
      <c r="A16" s="226"/>
      <c r="B16" s="233"/>
    </row>
    <row r="17" spans="1:2" ht="15.75">
      <c r="A17" s="282" t="s">
        <v>408</v>
      </c>
      <c r="B17" s="227"/>
    </row>
    <row r="18" spans="1:2" ht="15.75">
      <c r="A18" s="231" t="s">
        <v>409</v>
      </c>
      <c r="B18" s="305">
        <v>2000000</v>
      </c>
    </row>
    <row r="19" spans="1:2" ht="15.75">
      <c r="A19" s="226" t="s">
        <v>1</v>
      </c>
      <c r="B19" s="233">
        <f>SUM(B18:B18)</f>
        <v>2000000</v>
      </c>
    </row>
    <row r="21" ht="15.75">
      <c r="A21" s="283" t="s">
        <v>367</v>
      </c>
    </row>
    <row r="22" spans="1:2" ht="15.75">
      <c r="A22" s="230" t="s">
        <v>387</v>
      </c>
      <c r="B22" s="284">
        <v>366000</v>
      </c>
    </row>
    <row r="23" spans="1:2" ht="16.5" customHeight="1">
      <c r="A23" s="231" t="s">
        <v>317</v>
      </c>
      <c r="B23" s="232">
        <v>99000</v>
      </c>
    </row>
    <row r="24" spans="1:2" ht="13.5" customHeight="1">
      <c r="A24" s="226" t="s">
        <v>1</v>
      </c>
      <c r="B24" s="233">
        <f>SUM(B22:B23)</f>
        <v>465000</v>
      </c>
    </row>
    <row r="25" spans="1:2" ht="13.5" customHeight="1">
      <c r="A25" s="226"/>
      <c r="B25" s="233"/>
    </row>
    <row r="26" spans="1:2" ht="13.5" customHeight="1">
      <c r="A26" s="299" t="s">
        <v>394</v>
      </c>
      <c r="B26" s="233"/>
    </row>
    <row r="27" spans="1:2" ht="13.5" customHeight="1">
      <c r="A27" s="231" t="s">
        <v>395</v>
      </c>
      <c r="B27" s="229">
        <v>142000</v>
      </c>
    </row>
    <row r="28" ht="13.5" customHeight="1">
      <c r="A28" s="231" t="s">
        <v>317</v>
      </c>
    </row>
    <row r="29" spans="1:2" ht="13.5" customHeight="1">
      <c r="A29" s="226" t="s">
        <v>1</v>
      </c>
      <c r="B29" s="305">
        <v>38000</v>
      </c>
    </row>
    <row r="30" spans="1:2" ht="13.5" customHeight="1">
      <c r="A30" s="226"/>
      <c r="B30" s="233">
        <f>B27+B29</f>
        <v>180000</v>
      </c>
    </row>
    <row r="31" spans="1:2" ht="13.5" customHeight="1">
      <c r="A31" s="299" t="s">
        <v>389</v>
      </c>
      <c r="B31" s="227"/>
    </row>
    <row r="32" spans="1:2" ht="13.5" customHeight="1">
      <c r="A32" s="300" t="s">
        <v>390</v>
      </c>
      <c r="B32" s="298">
        <v>41000</v>
      </c>
    </row>
    <row r="33" spans="1:2" ht="13.5" customHeight="1">
      <c r="A33" s="231" t="s">
        <v>317</v>
      </c>
      <c r="B33" s="301">
        <v>11000</v>
      </c>
    </row>
    <row r="34" spans="1:2" ht="13.5" customHeight="1">
      <c r="A34" s="226" t="s">
        <v>1</v>
      </c>
      <c r="B34" s="233">
        <f>SUM(B32:B33)</f>
        <v>52000</v>
      </c>
    </row>
    <row r="35" spans="1:2" ht="13.5" customHeight="1">
      <c r="A35" s="226"/>
      <c r="B35" s="233"/>
    </row>
    <row r="36" spans="1:2" ht="13.5" customHeight="1">
      <c r="A36" s="299" t="s">
        <v>391</v>
      </c>
      <c r="B36" s="233"/>
    </row>
    <row r="37" spans="1:2" ht="13.5" customHeight="1">
      <c r="A37" s="300" t="s">
        <v>390</v>
      </c>
      <c r="B37" s="302">
        <v>7000</v>
      </c>
    </row>
    <row r="38" spans="1:2" ht="13.5" customHeight="1">
      <c r="A38" s="231" t="s">
        <v>317</v>
      </c>
      <c r="B38" s="303">
        <v>2000</v>
      </c>
    </row>
    <row r="39" spans="1:2" ht="13.5" customHeight="1">
      <c r="A39" s="226" t="s">
        <v>1</v>
      </c>
      <c r="B39" s="233">
        <f>SUM(B37:B38)</f>
        <v>9000</v>
      </c>
    </row>
    <row r="40" spans="1:2" ht="13.5" customHeight="1">
      <c r="A40" s="226"/>
      <c r="B40" s="233"/>
    </row>
    <row r="41" spans="1:2" ht="13.5" customHeight="1">
      <c r="A41" s="299" t="s">
        <v>392</v>
      </c>
      <c r="B41" s="233"/>
    </row>
    <row r="42" spans="1:2" ht="13.5" customHeight="1">
      <c r="A42" s="300" t="s">
        <v>390</v>
      </c>
      <c r="B42" s="302">
        <v>10000</v>
      </c>
    </row>
    <row r="43" spans="1:2" ht="13.5" customHeight="1">
      <c r="A43" s="231" t="s">
        <v>317</v>
      </c>
      <c r="B43" s="303">
        <v>3000</v>
      </c>
    </row>
    <row r="44" spans="1:2" ht="13.5" customHeight="1">
      <c r="A44" s="226" t="s">
        <v>1</v>
      </c>
      <c r="B44" s="233">
        <f>SUM(B42:B43)</f>
        <v>13000</v>
      </c>
    </row>
    <row r="45" spans="1:2" ht="13.5" customHeight="1">
      <c r="A45" s="226"/>
      <c r="B45" s="233"/>
    </row>
    <row r="46" spans="1:2" ht="13.5" customHeight="1">
      <c r="A46" s="304" t="s">
        <v>393</v>
      </c>
      <c r="B46" s="233"/>
    </row>
    <row r="47" spans="1:2" ht="13.5" customHeight="1">
      <c r="A47" s="300" t="s">
        <v>390</v>
      </c>
      <c r="B47" s="302">
        <v>21000</v>
      </c>
    </row>
    <row r="48" spans="1:2" ht="13.5" customHeight="1">
      <c r="A48" s="231" t="s">
        <v>317</v>
      </c>
      <c r="B48" s="303">
        <v>6000</v>
      </c>
    </row>
    <row r="49" spans="1:2" ht="13.5" customHeight="1">
      <c r="A49" s="226" t="s">
        <v>1</v>
      </c>
      <c r="B49" s="233">
        <f>SUM(B47:B48)</f>
        <v>27000</v>
      </c>
    </row>
    <row r="50" spans="1:2" ht="13.5" customHeight="1">
      <c r="A50" s="226"/>
      <c r="B50" s="228"/>
    </row>
    <row r="51" spans="1:2" ht="15.75">
      <c r="A51" s="226" t="s">
        <v>318</v>
      </c>
      <c r="B51" s="351">
        <f>B15+B24+B34+B39+B44+B49+B19+B30</f>
        <v>2848000</v>
      </c>
    </row>
  </sheetData>
  <sheetProtection/>
  <mergeCells count="3">
    <mergeCell ref="A6:B6"/>
    <mergeCell ref="A7:B7"/>
    <mergeCell ref="A4:B4"/>
  </mergeCells>
  <printOptions horizontalCentered="1"/>
  <pageMargins left="0" right="0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PMH_SÁRVÁR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PÉNZÜGY</dc:creator>
  <cp:keywords/>
  <dc:description/>
  <cp:lastModifiedBy>Marsits Judit</cp:lastModifiedBy>
  <cp:lastPrinted>2016-05-13T09:08:34Z</cp:lastPrinted>
  <dcterms:created xsi:type="dcterms:W3CDTF">2002-11-26T17:22:50Z</dcterms:created>
  <dcterms:modified xsi:type="dcterms:W3CDTF">2016-05-23T07:51:01Z</dcterms:modified>
  <cp:category/>
  <cp:version/>
  <cp:contentType/>
  <cp:contentStatus/>
</cp:coreProperties>
</file>